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ttp://home.utc.wa.gov/sites/ue-140762/Staffs Testimony and Exhibits/"/>
    </mc:Choice>
  </mc:AlternateContent>
  <bookViews>
    <workbookView xWindow="0" yWindow="0" windowWidth="23040" windowHeight="8850"/>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38">'Adj 7.1 Interest True-up'!$A$1:$G$40</definedName>
    <definedName name="_xlnm.Print_Area" localSheetId="7">'Adjustments - Pro Forma'!$A$1:$BC$80</definedName>
    <definedName name="_xlnm.Print_Area" localSheetId="6">'Adjustments - restating'!$A$1:$BE$80</definedName>
    <definedName name="_xlnm.Print_Area" localSheetId="2">RevReqCalc!$A$1:$F$23</definedName>
    <definedName name="_xlnm.Print_Area" localSheetId="0">RevReqSummary!$A$1:$L$81</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RevReqSummary!$A:$B,RevReqSummary!$1:$7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J80" i="6" l="1"/>
  <c r="AY11" i="87"/>
  <c r="C69" i="7" l="1"/>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A1" i="87"/>
  <c r="A2"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Z11" i="87"/>
  <c r="BA11" i="87"/>
  <c r="BB11" i="87"/>
  <c r="BC11" i="87"/>
  <c r="N14" i="87"/>
  <c r="O14" i="87"/>
  <c r="Z14" i="87"/>
  <c r="BC14" i="87"/>
  <c r="C15" i="87"/>
  <c r="N16" i="87"/>
  <c r="O16" i="87"/>
  <c r="L17" i="87"/>
  <c r="M17" i="87"/>
  <c r="N17" i="87"/>
  <c r="O17" i="87"/>
  <c r="BC17" i="87"/>
  <c r="N18" i="87"/>
  <c r="O18" i="87"/>
  <c r="BC18" i="87"/>
  <c r="N19" i="87"/>
  <c r="O19" i="87"/>
  <c r="N20" i="87"/>
  <c r="O20" i="87"/>
  <c r="L21" i="87"/>
  <c r="M21" i="87"/>
  <c r="N21" i="87"/>
  <c r="O21" i="87"/>
  <c r="C22" i="87"/>
  <c r="L23" i="87"/>
  <c r="M23" i="87"/>
  <c r="O23" i="87"/>
  <c r="S23" i="87"/>
  <c r="S24" i="87" s="1"/>
  <c r="S68" i="87" s="1"/>
  <c r="S75" i="87" s="1"/>
  <c r="S76" i="87" s="1"/>
  <c r="S30" i="87" s="1"/>
  <c r="AQ23" i="87"/>
  <c r="D24" i="87"/>
  <c r="E24" i="87"/>
  <c r="F24" i="87"/>
  <c r="G24" i="87"/>
  <c r="H24" i="87"/>
  <c r="I24" i="87"/>
  <c r="J24" i="87"/>
  <c r="K24" i="87"/>
  <c r="M24" i="87"/>
  <c r="O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S26" i="87"/>
  <c r="AT26" i="87"/>
  <c r="C26" i="87" s="1"/>
  <c r="BC26" i="87"/>
  <c r="C27" i="87"/>
  <c r="AU27" i="87"/>
  <c r="AO28" i="87"/>
  <c r="G31" i="87"/>
  <c r="AD31" i="87"/>
  <c r="AF31" i="87"/>
  <c r="AJ31" i="87"/>
  <c r="AQ31" i="87"/>
  <c r="AS31" i="87"/>
  <c r="AU31" i="87"/>
  <c r="BC31" i="87"/>
  <c r="C32" i="87"/>
  <c r="G33" i="87"/>
  <c r="C33" i="87" s="1"/>
  <c r="AS39" i="87"/>
  <c r="BC39" i="87"/>
  <c r="C39" i="87" s="1"/>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S50" i="87"/>
  <c r="AU50" i="87"/>
  <c r="AV50" i="87"/>
  <c r="AW50" i="87"/>
  <c r="AX50" i="87"/>
  <c r="AX63" i="87" s="1"/>
  <c r="AY50" i="87"/>
  <c r="AZ50" i="87"/>
  <c r="BA50" i="87"/>
  <c r="BB50" i="87"/>
  <c r="BB63" i="87" s="1"/>
  <c r="BC50" i="87"/>
  <c r="AD53" i="87"/>
  <c r="AS53" i="87"/>
  <c r="AT53" i="87"/>
  <c r="AT61" i="87" s="1"/>
  <c r="AT63" i="87" s="1"/>
  <c r="BC53" i="87"/>
  <c r="C54" i="87"/>
  <c r="AT54" i="87"/>
  <c r="G55" i="87"/>
  <c r="AD55" i="87"/>
  <c r="C55" i="87" s="1"/>
  <c r="AS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S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O68" i="87"/>
  <c r="Q68" i="87"/>
  <c r="Q75" i="87" s="1"/>
  <c r="U68" i="87"/>
  <c r="U75" i="87" s="1"/>
  <c r="W68" i="87"/>
  <c r="AD68" i="87"/>
  <c r="AM68" i="87"/>
  <c r="AQ68" i="87"/>
  <c r="AU68" i="87"/>
  <c r="AY68" i="87"/>
  <c r="C69" i="87"/>
  <c r="C70" i="87"/>
  <c r="G72" i="87"/>
  <c r="AB72" i="87"/>
  <c r="AQ72" i="87"/>
  <c r="AS72" i="87"/>
  <c r="AU72" i="87"/>
  <c r="BC72" i="87"/>
  <c r="G73" i="87"/>
  <c r="AD73" i="87"/>
  <c r="C73" i="87" s="1"/>
  <c r="AF73" i="87"/>
  <c r="AQ73" i="87"/>
  <c r="AS73" i="87"/>
  <c r="AU73" i="87"/>
  <c r="BC73" i="87"/>
  <c r="O75" i="87"/>
  <c r="O76" i="87" s="1"/>
  <c r="O30" i="87" s="1"/>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S72" i="9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S63" i="87"/>
  <c r="AO63" i="87"/>
  <c r="AK63" i="87"/>
  <c r="AI63" i="87"/>
  <c r="AJ77" i="87"/>
  <c r="AJ78" i="87" s="1"/>
  <c r="AJ80" i="87" s="1"/>
  <c r="AJ29" i="87" s="1"/>
  <c r="W77" i="87"/>
  <c r="W78" i="87" s="1"/>
  <c r="W80" i="87" s="1"/>
  <c r="W29" i="87" s="1"/>
  <c r="W34" i="87" s="1"/>
  <c r="W36" i="87" s="1"/>
  <c r="S77" i="87"/>
  <c r="S78" i="87" s="1"/>
  <c r="S80" i="87" s="1"/>
  <c r="S29" i="87" s="1"/>
  <c r="O77" i="87"/>
  <c r="O78" i="87" s="1"/>
  <c r="O80" i="87" s="1"/>
  <c r="O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C72" i="87"/>
  <c r="AD75" i="87"/>
  <c r="C53" i="87"/>
  <c r="C61" i="87" s="1"/>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S68" i="87"/>
  <c r="AS75" i="87" s="1"/>
  <c r="AO68" i="87"/>
  <c r="AO75" i="87" s="1"/>
  <c r="AK68" i="87"/>
  <c r="AK75" i="87" s="1"/>
  <c r="AF68" i="87"/>
  <c r="AF75" i="87" s="1"/>
  <c r="AB68" i="87"/>
  <c r="AB75" i="87" s="1"/>
  <c r="BC63" i="87"/>
  <c r="C41" i="87"/>
  <c r="C50" i="87" s="1"/>
  <c r="C63" i="87" s="1"/>
  <c r="AJ34" i="87"/>
  <c r="AJ36" i="87" s="1"/>
  <c r="AE34" i="87"/>
  <c r="AE36" i="87" s="1"/>
  <c r="BC24" i="87"/>
  <c r="C31" i="87"/>
  <c r="S34" i="87"/>
  <c r="S36" i="87" s="1"/>
  <c r="Q34" i="87"/>
  <c r="Q36" i="87" s="1"/>
  <c r="O34" i="87"/>
  <c r="O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AS76" i="87"/>
  <c r="AS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S77" i="87"/>
  <c r="AS78" i="87" s="1"/>
  <c r="AS80" i="87" s="1"/>
  <c r="AS29" i="87" s="1"/>
  <c r="AS34" i="87" s="1"/>
  <c r="AS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0" i="6"/>
  <c r="F70" i="6" s="1"/>
  <c r="K75" i="87" l="1"/>
  <c r="G15" i="101"/>
  <c r="J52" i="6"/>
  <c r="J62" i="6"/>
  <c r="J64"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2" i="128"/>
  <c r="A1" i="128"/>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K79" i="91"/>
  <c r="AL79" i="91"/>
  <c r="AM79" i="91"/>
  <c r="AN79" i="91"/>
  <c r="AO79" i="91"/>
  <c r="AP79" i="91"/>
  <c r="AQ79" i="91"/>
  <c r="AR79" i="91"/>
  <c r="AS79" i="91"/>
  <c r="AT79" i="91"/>
  <c r="AU79" i="91"/>
  <c r="AV79" i="91"/>
  <c r="AW79" i="91"/>
  <c r="AX79" i="91"/>
  <c r="AY79" i="91"/>
  <c r="AZ79" i="91"/>
  <c r="BA79" i="91"/>
  <c r="BB79" i="91"/>
  <c r="D79"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M9" i="91"/>
  <c r="N9" i="91"/>
  <c r="O9" i="91"/>
  <c r="P9" i="91"/>
  <c r="Q9" i="91"/>
  <c r="R9" i="91"/>
  <c r="S9" i="91"/>
  <c r="T9" i="91"/>
  <c r="U9" i="91"/>
  <c r="V9" i="91"/>
  <c r="W9" i="91"/>
  <c r="X9" i="91"/>
  <c r="Y9" i="91"/>
  <c r="AB9" i="91"/>
  <c r="AC9" i="91"/>
  <c r="AD9" i="91"/>
  <c r="AE9" i="91"/>
  <c r="AF9" i="91"/>
  <c r="AG9" i="91"/>
  <c r="AH9" i="91"/>
  <c r="AI9" i="91"/>
  <c r="AJ9" i="91"/>
  <c r="AK9" i="91"/>
  <c r="AL9" i="91"/>
  <c r="AM9" i="91"/>
  <c r="AN9" i="91"/>
  <c r="AO9" i="91"/>
  <c r="AP9" i="91"/>
  <c r="AQ9" i="91"/>
  <c r="AR9" i="91"/>
  <c r="AS9" i="91"/>
  <c r="AT9" i="91"/>
  <c r="AU9" i="91"/>
  <c r="AV9" i="91"/>
  <c r="AW9" i="91"/>
  <c r="AX9" i="91"/>
  <c r="AY9" i="91"/>
  <c r="AZ9" i="91"/>
  <c r="BA9" i="91"/>
  <c r="BB9" i="91"/>
  <c r="E10" i="91"/>
  <c r="F10" i="91"/>
  <c r="G10" i="91"/>
  <c r="M10" i="91"/>
  <c r="N10" i="91"/>
  <c r="O10" i="91"/>
  <c r="P10" i="91"/>
  <c r="R10" i="91"/>
  <c r="S10" i="91"/>
  <c r="T10" i="91"/>
  <c r="U10" i="91"/>
  <c r="V10" i="91"/>
  <c r="W10" i="91"/>
  <c r="X10" i="91"/>
  <c r="Y10" i="91"/>
  <c r="Z10" i="91"/>
  <c r="AA10" i="91"/>
  <c r="AC10" i="91"/>
  <c r="AD10" i="91"/>
  <c r="AE10" i="91"/>
  <c r="AF10" i="91"/>
  <c r="AG10" i="91"/>
  <c r="AH10" i="91"/>
  <c r="AI10" i="91"/>
  <c r="AJ10" i="91"/>
  <c r="AK10" i="91"/>
  <c r="AL10" i="91"/>
  <c r="AM10" i="91"/>
  <c r="AN10" i="91"/>
  <c r="AO10" i="91"/>
  <c r="AP10" i="91"/>
  <c r="AQ10" i="91"/>
  <c r="AR10" i="91"/>
  <c r="AS10" i="91"/>
  <c r="AT10" i="91"/>
  <c r="AU10" i="91"/>
  <c r="AV10" i="91"/>
  <c r="AW10" i="91"/>
  <c r="AX10" i="91"/>
  <c r="AZ10" i="91"/>
  <c r="BA10" i="91"/>
  <c r="BB10" i="91"/>
  <c r="E14" i="91"/>
  <c r="F14" i="91"/>
  <c r="G14" i="91"/>
  <c r="H14" i="91"/>
  <c r="I14" i="91"/>
  <c r="J14" i="91"/>
  <c r="K14" i="91"/>
  <c r="L14" i="91"/>
  <c r="M14" i="91"/>
  <c r="P14" i="91"/>
  <c r="R14" i="91"/>
  <c r="S14" i="91"/>
  <c r="T14" i="91"/>
  <c r="U14" i="91"/>
  <c r="V14" i="91"/>
  <c r="X14" i="91"/>
  <c r="AB14" i="91"/>
  <c r="AC14" i="91"/>
  <c r="AD14" i="91"/>
  <c r="AE14" i="91"/>
  <c r="AF14" i="91"/>
  <c r="AH14" i="91"/>
  <c r="AI14" i="91"/>
  <c r="AJ14" i="91"/>
  <c r="AK14" i="91"/>
  <c r="AL14" i="91"/>
  <c r="AM14" i="91"/>
  <c r="AN14" i="91"/>
  <c r="AO14" i="91"/>
  <c r="AP14" i="91"/>
  <c r="AQ14" i="91"/>
  <c r="AR14" i="91"/>
  <c r="AS14" i="91"/>
  <c r="AT14" i="91"/>
  <c r="AU14" i="91"/>
  <c r="AV14" i="91"/>
  <c r="AW14" i="91"/>
  <c r="AX14" i="91"/>
  <c r="AY14" i="91"/>
  <c r="AZ14" i="91"/>
  <c r="BA14" i="91"/>
  <c r="BB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P16" i="91"/>
  <c r="Q16" i="91"/>
  <c r="R16" i="91"/>
  <c r="S16" i="91"/>
  <c r="T16" i="91"/>
  <c r="U16" i="91"/>
  <c r="V16" i="91"/>
  <c r="X16" i="91"/>
  <c r="Z16" i="91"/>
  <c r="AA16" i="91"/>
  <c r="AB16" i="91"/>
  <c r="AC16" i="91"/>
  <c r="AD16" i="91"/>
  <c r="AE16" i="91"/>
  <c r="AF16" i="91"/>
  <c r="AH16" i="91"/>
  <c r="AI16" i="91"/>
  <c r="AJ16" i="91"/>
  <c r="AK16" i="91"/>
  <c r="AL16" i="91"/>
  <c r="AM16" i="91"/>
  <c r="AN16" i="91"/>
  <c r="AO16" i="91"/>
  <c r="AP16" i="91"/>
  <c r="AQ16" i="91"/>
  <c r="AR16" i="91"/>
  <c r="AT16" i="91"/>
  <c r="AU16" i="91"/>
  <c r="AV16" i="91"/>
  <c r="AW16" i="91"/>
  <c r="AX16" i="91"/>
  <c r="AY16" i="91"/>
  <c r="BA16" i="91"/>
  <c r="BB16" i="91"/>
  <c r="E17" i="91"/>
  <c r="F17" i="91"/>
  <c r="G17" i="91"/>
  <c r="H17" i="91"/>
  <c r="I17" i="91"/>
  <c r="J17" i="91"/>
  <c r="K17" i="91"/>
  <c r="Q17" i="91"/>
  <c r="R17" i="91"/>
  <c r="T17" i="91"/>
  <c r="U17" i="91"/>
  <c r="V17" i="91"/>
  <c r="X17" i="91"/>
  <c r="AB17" i="91"/>
  <c r="AC17" i="91"/>
  <c r="AD17" i="91"/>
  <c r="AE17" i="91"/>
  <c r="AF17" i="91"/>
  <c r="AH17" i="91"/>
  <c r="AI17" i="91"/>
  <c r="AJ17" i="91"/>
  <c r="AK17" i="91"/>
  <c r="AL17" i="91"/>
  <c r="AM17" i="91"/>
  <c r="AN17" i="91"/>
  <c r="AO17" i="91"/>
  <c r="AP17" i="91"/>
  <c r="AQ17" i="91"/>
  <c r="AR17" i="91"/>
  <c r="AS17" i="91"/>
  <c r="AT17" i="91"/>
  <c r="AU17" i="91"/>
  <c r="AV17" i="91"/>
  <c r="AW17" i="91"/>
  <c r="AX17" i="91"/>
  <c r="AY17" i="91"/>
  <c r="AZ17" i="91"/>
  <c r="BA17" i="91"/>
  <c r="BB17" i="91"/>
  <c r="E18" i="91"/>
  <c r="F18" i="91"/>
  <c r="G18" i="91"/>
  <c r="H18" i="91"/>
  <c r="J18" i="91"/>
  <c r="K18" i="91"/>
  <c r="L18" i="91"/>
  <c r="M18" i="91"/>
  <c r="P18" i="91"/>
  <c r="Q18" i="91"/>
  <c r="R18" i="91"/>
  <c r="T18" i="91"/>
  <c r="U18" i="91"/>
  <c r="V18" i="91"/>
  <c r="X18" i="91"/>
  <c r="AB18" i="91"/>
  <c r="AC18" i="91"/>
  <c r="AD18" i="91"/>
  <c r="AE18" i="91"/>
  <c r="AF18" i="91"/>
  <c r="AH18" i="91"/>
  <c r="AI18" i="91"/>
  <c r="AJ18" i="91"/>
  <c r="AK18" i="91"/>
  <c r="AL18" i="91"/>
  <c r="AM18" i="91"/>
  <c r="AN18" i="91"/>
  <c r="AO18" i="91"/>
  <c r="AP18" i="91"/>
  <c r="AQ18" i="91"/>
  <c r="AR18" i="91"/>
  <c r="AS18" i="91"/>
  <c r="AT18" i="91"/>
  <c r="AU18" i="91"/>
  <c r="AV18" i="91"/>
  <c r="AW18" i="91"/>
  <c r="AX18" i="91"/>
  <c r="AY18" i="91"/>
  <c r="AZ18" i="91"/>
  <c r="BA18" i="91"/>
  <c r="BB18" i="91"/>
  <c r="E19" i="91"/>
  <c r="F19" i="91"/>
  <c r="G19" i="91"/>
  <c r="H19" i="91"/>
  <c r="I19" i="91"/>
  <c r="J19" i="91"/>
  <c r="K19" i="91"/>
  <c r="L19" i="91"/>
  <c r="P19" i="91"/>
  <c r="Q19" i="91"/>
  <c r="R19" i="91"/>
  <c r="T19" i="91"/>
  <c r="U19" i="91"/>
  <c r="V19" i="91"/>
  <c r="X19" i="91"/>
  <c r="Z19" i="91"/>
  <c r="AA19" i="91"/>
  <c r="AB19" i="91"/>
  <c r="AC19" i="91"/>
  <c r="AD19" i="91"/>
  <c r="AE19" i="91"/>
  <c r="AF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P20" i="91"/>
  <c r="Q20" i="91"/>
  <c r="R20" i="91"/>
  <c r="S20" i="91"/>
  <c r="T20" i="91"/>
  <c r="U20" i="91"/>
  <c r="Z20" i="91"/>
  <c r="AA20" i="91"/>
  <c r="AB20" i="91"/>
  <c r="AC20" i="91"/>
  <c r="AD20" i="91"/>
  <c r="AE20" i="91"/>
  <c r="AF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Q21" i="91"/>
  <c r="S21" i="91"/>
  <c r="U21" i="91"/>
  <c r="V21" i="91"/>
  <c r="W21" i="91"/>
  <c r="X21" i="91"/>
  <c r="Z21" i="91"/>
  <c r="AB21" i="91"/>
  <c r="AC21" i="91"/>
  <c r="AD21" i="91"/>
  <c r="AE21" i="91"/>
  <c r="AF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P23" i="91"/>
  <c r="Q23" i="91"/>
  <c r="R23" i="91"/>
  <c r="V23" i="91"/>
  <c r="X23" i="91"/>
  <c r="Z23" i="91"/>
  <c r="AB23" i="91"/>
  <c r="AC23" i="91"/>
  <c r="AD23" i="91"/>
  <c r="AE23" i="91"/>
  <c r="AF23" i="91"/>
  <c r="AH23" i="91"/>
  <c r="AI23" i="91"/>
  <c r="AJ23" i="91"/>
  <c r="AK23" i="91"/>
  <c r="AL23" i="91"/>
  <c r="AM23" i="91"/>
  <c r="AN23" i="91"/>
  <c r="AO23" i="91"/>
  <c r="AP23" i="91"/>
  <c r="AR23" i="91"/>
  <c r="AS23" i="91"/>
  <c r="AT23" i="91"/>
  <c r="AU23" i="91"/>
  <c r="AV23" i="91"/>
  <c r="AW23" i="91"/>
  <c r="AX23" i="91"/>
  <c r="AY23" i="91"/>
  <c r="AZ23" i="91"/>
  <c r="BA23" i="91"/>
  <c r="BB23" i="91"/>
  <c r="BC23" i="91"/>
  <c r="E26" i="91"/>
  <c r="F26" i="91"/>
  <c r="G26" i="91"/>
  <c r="H26" i="91"/>
  <c r="I26" i="91"/>
  <c r="J26" i="91"/>
  <c r="K26" i="91"/>
  <c r="L26" i="91"/>
  <c r="M26" i="91"/>
  <c r="N26" i="91"/>
  <c r="O26" i="91"/>
  <c r="P26" i="91"/>
  <c r="Q26" i="91"/>
  <c r="R26" i="91"/>
  <c r="S26" i="91"/>
  <c r="T26" i="91"/>
  <c r="U26" i="91"/>
  <c r="V26" i="91"/>
  <c r="W26" i="91"/>
  <c r="X26" i="91"/>
  <c r="Y26" i="91"/>
  <c r="Z26" i="91"/>
  <c r="AA26" i="91"/>
  <c r="AB26" i="91"/>
  <c r="AD26" i="91"/>
  <c r="AE26" i="91"/>
  <c r="AG26" i="91"/>
  <c r="AH26" i="91"/>
  <c r="AI26" i="91"/>
  <c r="AJ26" i="91"/>
  <c r="AK26" i="91"/>
  <c r="AL26" i="91"/>
  <c r="AM26" i="91"/>
  <c r="AN26" i="91"/>
  <c r="AO26" i="91"/>
  <c r="AP26" i="91"/>
  <c r="AQ26" i="91"/>
  <c r="AR26" i="91"/>
  <c r="AU26" i="91"/>
  <c r="AW26" i="91"/>
  <c r="AX26" i="91"/>
  <c r="AY26" i="91"/>
  <c r="BA26" i="91"/>
  <c r="BB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D28" i="91"/>
  <c r="AE28" i="91"/>
  <c r="AF28" i="91"/>
  <c r="AG28" i="91"/>
  <c r="AH28" i="91"/>
  <c r="AJ28" i="91"/>
  <c r="AK28" i="91"/>
  <c r="AM28" i="91"/>
  <c r="AN28" i="91"/>
  <c r="AP28" i="91"/>
  <c r="AQ28" i="91"/>
  <c r="AR28" i="91"/>
  <c r="AS28" i="91"/>
  <c r="AT28" i="91"/>
  <c r="AU28" i="91"/>
  <c r="AV28" i="91"/>
  <c r="AW28" i="91"/>
  <c r="AX28" i="91"/>
  <c r="AY28" i="91"/>
  <c r="AZ28" i="91"/>
  <c r="BA28" i="91"/>
  <c r="BB28" i="91"/>
  <c r="BC28" i="91"/>
  <c r="F31" i="91"/>
  <c r="H31" i="91"/>
  <c r="I31" i="91"/>
  <c r="J31" i="91"/>
  <c r="K31" i="91"/>
  <c r="L31" i="91"/>
  <c r="M31" i="91"/>
  <c r="N31" i="91"/>
  <c r="O31" i="91"/>
  <c r="P31" i="91"/>
  <c r="Q31" i="91"/>
  <c r="R31" i="91"/>
  <c r="S31" i="91"/>
  <c r="T31" i="91"/>
  <c r="U31" i="91"/>
  <c r="V31" i="91"/>
  <c r="W31" i="91"/>
  <c r="X31" i="91"/>
  <c r="Y31" i="91"/>
  <c r="Z31" i="91"/>
  <c r="AA31" i="91"/>
  <c r="AB31" i="91"/>
  <c r="AH31" i="91"/>
  <c r="AI31" i="91"/>
  <c r="AK31" i="91"/>
  <c r="AL31" i="91"/>
  <c r="AO31" i="91"/>
  <c r="AP31" i="91"/>
  <c r="AR31" i="91"/>
  <c r="AT31" i="91"/>
  <c r="AV31" i="91"/>
  <c r="AW31" i="91"/>
  <c r="AX31" i="91"/>
  <c r="AY31" i="91"/>
  <c r="AZ31" i="91"/>
  <c r="BA31" i="91"/>
  <c r="BB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H33" i="91"/>
  <c r="I33" i="91"/>
  <c r="J33" i="91"/>
  <c r="K33" i="91"/>
  <c r="L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D39" i="91"/>
  <c r="AE39" i="91"/>
  <c r="AF39" i="91"/>
  <c r="AG39" i="91"/>
  <c r="AH39" i="91"/>
  <c r="AI39" i="91"/>
  <c r="AJ39" i="91"/>
  <c r="AK39" i="91"/>
  <c r="AL39" i="91"/>
  <c r="AM39" i="91"/>
  <c r="AN39" i="91"/>
  <c r="AO39" i="91"/>
  <c r="AQ39" i="91"/>
  <c r="AR39" i="91"/>
  <c r="AT39" i="91"/>
  <c r="AU39" i="91"/>
  <c r="AW39" i="91"/>
  <c r="AX39" i="91"/>
  <c r="AY39" i="91"/>
  <c r="BB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R41" i="91"/>
  <c r="AS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U47" i="91"/>
  <c r="AV47" i="91"/>
  <c r="AW47" i="91"/>
  <c r="AX47" i="91"/>
  <c r="AY47" i="91"/>
  <c r="AZ47" i="91"/>
  <c r="BA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E53" i="91"/>
  <c r="F53" i="91"/>
  <c r="G53" i="91"/>
  <c r="H53" i="91"/>
  <c r="I53" i="91"/>
  <c r="J53" i="91"/>
  <c r="K53" i="91"/>
  <c r="L53" i="91"/>
  <c r="M53" i="91"/>
  <c r="N53" i="91"/>
  <c r="O53" i="91"/>
  <c r="P53" i="91"/>
  <c r="Q53" i="91"/>
  <c r="R53" i="91"/>
  <c r="S53" i="91"/>
  <c r="T53" i="91"/>
  <c r="U53" i="91"/>
  <c r="V53" i="91"/>
  <c r="W53" i="91"/>
  <c r="X53" i="91"/>
  <c r="Y53" i="91"/>
  <c r="Z53" i="91"/>
  <c r="AA53" i="91"/>
  <c r="AB53" i="91"/>
  <c r="AG53" i="91"/>
  <c r="AH53" i="91"/>
  <c r="AI53" i="91"/>
  <c r="AJ53" i="91"/>
  <c r="AK53" i="91"/>
  <c r="AL53" i="91"/>
  <c r="AM53" i="91"/>
  <c r="AN53" i="91"/>
  <c r="AO53" i="91"/>
  <c r="AQ53" i="91"/>
  <c r="AR53" i="91"/>
  <c r="AU53" i="91"/>
  <c r="AV53" i="91"/>
  <c r="AW53" i="91"/>
  <c r="AX53" i="91"/>
  <c r="AY53" i="91"/>
  <c r="BA53" i="91"/>
  <c r="BB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F54" i="91"/>
  <c r="AG54" i="91"/>
  <c r="AH54" i="91"/>
  <c r="AI54" i="91"/>
  <c r="AJ54" i="91"/>
  <c r="AK54" i="91"/>
  <c r="AL54" i="91"/>
  <c r="AM54" i="91"/>
  <c r="AN54" i="91"/>
  <c r="AO54" i="91"/>
  <c r="AP54" i="91"/>
  <c r="AQ54" i="91"/>
  <c r="AR54" i="91"/>
  <c r="AS54" i="91"/>
  <c r="AU54" i="91"/>
  <c r="AV54" i="91"/>
  <c r="AW54" i="91"/>
  <c r="AX54" i="91"/>
  <c r="AY54" i="91"/>
  <c r="AZ54" i="91"/>
  <c r="BA54" i="91"/>
  <c r="BB54" i="91"/>
  <c r="BC54" i="91"/>
  <c r="E55" i="91"/>
  <c r="F55" i="91"/>
  <c r="H55" i="91"/>
  <c r="I55" i="91"/>
  <c r="J55" i="91"/>
  <c r="K55" i="91"/>
  <c r="L55" i="91"/>
  <c r="M55" i="91"/>
  <c r="N55" i="91"/>
  <c r="O55" i="91"/>
  <c r="P55" i="91"/>
  <c r="Q55" i="91"/>
  <c r="R55" i="91"/>
  <c r="S55" i="91"/>
  <c r="T55" i="91"/>
  <c r="U55" i="91"/>
  <c r="V55" i="91"/>
  <c r="W55" i="91"/>
  <c r="X55" i="91"/>
  <c r="Y55" i="91"/>
  <c r="Z55" i="91"/>
  <c r="AA55" i="91"/>
  <c r="AB55" i="91"/>
  <c r="AH55" i="91"/>
  <c r="AI55" i="91"/>
  <c r="AJ55" i="91"/>
  <c r="AL55" i="91"/>
  <c r="AO55" i="91"/>
  <c r="AR55" i="91"/>
  <c r="AV55" i="91"/>
  <c r="AW55" i="91"/>
  <c r="AX55" i="91"/>
  <c r="AY55" i="91"/>
  <c r="AZ55" i="91"/>
  <c r="BA55" i="91"/>
  <c r="BB55" i="91"/>
  <c r="E56" i="91"/>
  <c r="F56" i="91"/>
  <c r="G56" i="91"/>
  <c r="H56" i="91"/>
  <c r="I56" i="91"/>
  <c r="J56" i="91"/>
  <c r="K56" i="91"/>
  <c r="L56" i="91"/>
  <c r="M56" i="91"/>
  <c r="N56" i="91"/>
  <c r="O56" i="91"/>
  <c r="P56" i="91"/>
  <c r="Q56" i="91"/>
  <c r="R56" i="91"/>
  <c r="S56" i="91"/>
  <c r="T56" i="91"/>
  <c r="U56" i="91"/>
  <c r="V56" i="91"/>
  <c r="W56" i="91"/>
  <c r="X56" i="91"/>
  <c r="Y56" i="91"/>
  <c r="Z56" i="91"/>
  <c r="AA56" i="91"/>
  <c r="AB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Y58" i="91"/>
  <c r="AZ58" i="91"/>
  <c r="BA58" i="91"/>
  <c r="BB58" i="91"/>
  <c r="BC58" i="91"/>
  <c r="E59" i="91"/>
  <c r="F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X59" i="91"/>
  <c r="AY59" i="91"/>
  <c r="AZ59" i="91"/>
  <c r="BA59" i="91"/>
  <c r="BB59" i="91"/>
  <c r="BC59"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H72" i="91"/>
  <c r="I72" i="91"/>
  <c r="J72" i="91"/>
  <c r="K72" i="91"/>
  <c r="L72" i="91"/>
  <c r="M72" i="91"/>
  <c r="N72" i="91"/>
  <c r="O72" i="91"/>
  <c r="P72" i="91"/>
  <c r="Q72" i="91"/>
  <c r="T72" i="91"/>
  <c r="V72" i="91"/>
  <c r="Y72" i="91"/>
  <c r="Z72" i="91"/>
  <c r="AA72" i="91"/>
  <c r="AD72" i="91"/>
  <c r="AE72" i="91"/>
  <c r="AH72" i="91"/>
  <c r="AI72" i="91"/>
  <c r="AJ72" i="91"/>
  <c r="AK72" i="91"/>
  <c r="AL72" i="91"/>
  <c r="AM72" i="91"/>
  <c r="AN72" i="91"/>
  <c r="AO72" i="91"/>
  <c r="AR72" i="91"/>
  <c r="AT72" i="91"/>
  <c r="AV72" i="91"/>
  <c r="AW72" i="91"/>
  <c r="AX72" i="91"/>
  <c r="AY72" i="91"/>
  <c r="E73" i="91"/>
  <c r="F73" i="91"/>
  <c r="H73" i="91"/>
  <c r="I73" i="91"/>
  <c r="J73" i="91"/>
  <c r="K73" i="91"/>
  <c r="L73" i="91"/>
  <c r="M73" i="91"/>
  <c r="N73" i="91"/>
  <c r="O73" i="91"/>
  <c r="P73" i="91"/>
  <c r="Q73" i="91"/>
  <c r="R73" i="91"/>
  <c r="T73" i="91"/>
  <c r="U73" i="91"/>
  <c r="V73" i="91"/>
  <c r="W73" i="91"/>
  <c r="X73" i="91"/>
  <c r="Y73" i="91"/>
  <c r="Z73" i="91"/>
  <c r="AA73" i="91"/>
  <c r="AB73" i="91"/>
  <c r="AG73" i="91"/>
  <c r="AH73" i="91"/>
  <c r="AI73" i="91"/>
  <c r="AJ73" i="91"/>
  <c r="AK73" i="91"/>
  <c r="AL73" i="91"/>
  <c r="AM73" i="91"/>
  <c r="AN73" i="91"/>
  <c r="AO73" i="91"/>
  <c r="AR73" i="91"/>
  <c r="AT73" i="91"/>
  <c r="AX73" i="91"/>
  <c r="AY73" i="91"/>
  <c r="AZ73" i="91"/>
  <c r="BA73" i="91"/>
  <c r="BB73"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A2" i="91"/>
  <c r="A1" i="91"/>
  <c r="Y11" i="7"/>
  <c r="Y24" i="7"/>
  <c r="Y50" i="7"/>
  <c r="Y61" i="7"/>
  <c r="X24" i="87" l="1"/>
  <c r="X68" i="87" s="1"/>
  <c r="K76" i="87"/>
  <c r="K30" i="87" s="1"/>
  <c r="Y63" i="7"/>
  <c r="N61" i="91"/>
  <c r="T11" i="91"/>
  <c r="AJ11" i="91"/>
  <c r="V50" i="91"/>
  <c r="AZ11" i="91"/>
  <c r="AH61" i="91"/>
  <c r="F50" i="91"/>
  <c r="AL50" i="91"/>
  <c r="C15" i="91"/>
  <c r="C40" i="91"/>
  <c r="C48" i="91"/>
  <c r="AK24" i="91"/>
  <c r="BB61" i="91"/>
  <c r="V61" i="91"/>
  <c r="V63" i="91" s="1"/>
  <c r="H32" i="128" s="1"/>
  <c r="F61" i="91"/>
  <c r="AD50" i="91"/>
  <c r="N50" i="91"/>
  <c r="AH50" i="91"/>
  <c r="AH63" i="91" s="1"/>
  <c r="H50" i="128" s="1"/>
  <c r="AR50" i="91"/>
  <c r="Z50" i="91"/>
  <c r="R50" i="91"/>
  <c r="J50" i="91"/>
  <c r="AW24" i="91"/>
  <c r="E24" i="91"/>
  <c r="Z61" i="91"/>
  <c r="R61" i="91"/>
  <c r="J61" i="91"/>
  <c r="AL61" i="91"/>
  <c r="AB61" i="91"/>
  <c r="X61" i="91"/>
  <c r="T61" i="91"/>
  <c r="P61" i="91"/>
  <c r="L61" i="91"/>
  <c r="H61" i="91"/>
  <c r="AJ61" i="91"/>
  <c r="AV61" i="91"/>
  <c r="AN50" i="91"/>
  <c r="AJ50" i="91"/>
  <c r="AF50" i="91"/>
  <c r="AX50" i="91"/>
  <c r="AB50" i="91"/>
  <c r="X50" i="91"/>
  <c r="X63" i="91" s="1"/>
  <c r="H34" i="128" s="1"/>
  <c r="T50" i="91"/>
  <c r="T63" i="91" s="1"/>
  <c r="H30" i="128" s="1"/>
  <c r="P50" i="91"/>
  <c r="P63" i="91" s="1"/>
  <c r="H26" i="128" s="1"/>
  <c r="L50" i="91"/>
  <c r="L63" i="91" s="1"/>
  <c r="H20" i="128" s="1"/>
  <c r="H50" i="91"/>
  <c r="H63" i="91" s="1"/>
  <c r="H16" i="128" s="1"/>
  <c r="C22" i="91"/>
  <c r="AC24" i="91"/>
  <c r="BA24" i="91"/>
  <c r="AO24" i="91"/>
  <c r="AB63" i="91"/>
  <c r="H40" i="128" s="1"/>
  <c r="C43" i="91"/>
  <c r="C49" i="91"/>
  <c r="D24" i="91"/>
  <c r="E22" i="9"/>
  <c r="K89" i="128" s="1"/>
  <c r="K86" i="128"/>
  <c r="Y68" i="7"/>
  <c r="Y75" i="7" s="1"/>
  <c r="Y76" i="7" s="1"/>
  <c r="Y77" i="7" s="1"/>
  <c r="Y78" i="7" s="1"/>
  <c r="Y80" i="7" s="1"/>
  <c r="AR11" i="91"/>
  <c r="N63" i="91"/>
  <c r="H24" i="128" s="1"/>
  <c r="BA11" i="91"/>
  <c r="AW11" i="91"/>
  <c r="AU11" i="91"/>
  <c r="AS11" i="91"/>
  <c r="AV11" i="91"/>
  <c r="AN11" i="91"/>
  <c r="AF11" i="91"/>
  <c r="X11" i="91"/>
  <c r="P11" i="91"/>
  <c r="AQ11" i="91"/>
  <c r="AO11" i="91"/>
  <c r="AM11" i="91"/>
  <c r="AK11" i="91"/>
  <c r="AI11" i="91"/>
  <c r="AG11" i="91"/>
  <c r="AE11" i="91"/>
  <c r="AC11" i="91"/>
  <c r="Y11" i="91"/>
  <c r="W11" i="91"/>
  <c r="U11" i="91"/>
  <c r="S11" i="91"/>
  <c r="O11" i="91"/>
  <c r="M11" i="91"/>
  <c r="G11" i="91"/>
  <c r="BB11" i="91"/>
  <c r="AX11" i="91"/>
  <c r="AT11" i="91"/>
  <c r="AP11" i="91"/>
  <c r="AL11" i="91"/>
  <c r="AH11" i="91"/>
  <c r="AD11" i="91"/>
  <c r="V11" i="91"/>
  <c r="R11" i="91"/>
  <c r="N11" i="91"/>
  <c r="BA61" i="91"/>
  <c r="AY61" i="91"/>
  <c r="AO61" i="91"/>
  <c r="AI61" i="91"/>
  <c r="AA61" i="91"/>
  <c r="Y61" i="91"/>
  <c r="W61" i="91"/>
  <c r="U61" i="91"/>
  <c r="S61" i="91"/>
  <c r="Q61" i="91"/>
  <c r="O61" i="91"/>
  <c r="M61" i="91"/>
  <c r="K61" i="91"/>
  <c r="I61" i="91"/>
  <c r="E61" i="91"/>
  <c r="AY50" i="91"/>
  <c r="AW50" i="91"/>
  <c r="AO50" i="91"/>
  <c r="AM50" i="91"/>
  <c r="AK50" i="91"/>
  <c r="AI50" i="91"/>
  <c r="AG50" i="91"/>
  <c r="AE50" i="91"/>
  <c r="AA50" i="91"/>
  <c r="Y50" i="91"/>
  <c r="W50" i="91"/>
  <c r="U50" i="91"/>
  <c r="S50" i="91"/>
  <c r="Q50" i="91"/>
  <c r="O50" i="91"/>
  <c r="M50" i="91"/>
  <c r="K50" i="91"/>
  <c r="I50" i="91"/>
  <c r="G50" i="91"/>
  <c r="E50" i="91"/>
  <c r="BB24" i="91"/>
  <c r="AX24" i="91"/>
  <c r="AV24" i="91"/>
  <c r="AT24" i="91"/>
  <c r="AR24" i="91"/>
  <c r="AP24" i="91"/>
  <c r="AN24" i="91"/>
  <c r="AL24" i="91"/>
  <c r="AJ24" i="91"/>
  <c r="AH24" i="91"/>
  <c r="AF24" i="91"/>
  <c r="AD24" i="91"/>
  <c r="AB24" i="91"/>
  <c r="J24" i="91"/>
  <c r="H24" i="91"/>
  <c r="F24" i="91"/>
  <c r="AY24" i="91"/>
  <c r="AU24" i="91"/>
  <c r="AM24" i="91"/>
  <c r="AI24" i="91"/>
  <c r="AE24" i="91"/>
  <c r="K24" i="91"/>
  <c r="G24" i="91"/>
  <c r="C42" i="91"/>
  <c r="D50" i="91"/>
  <c r="C32" i="91"/>
  <c r="D61" i="91"/>
  <c r="D63" i="91" s="1"/>
  <c r="H12" i="128" s="1"/>
  <c r="C8" i="91"/>
  <c r="K77" i="87" l="1"/>
  <c r="K78" i="87" s="1"/>
  <c r="K80" i="87" s="1"/>
  <c r="K29" i="87" s="1"/>
  <c r="K34" i="87" s="1"/>
  <c r="K36" i="87" s="1"/>
  <c r="X75" i="87"/>
  <c r="F63" i="91"/>
  <c r="H14" i="128" s="1"/>
  <c r="AI63" i="91"/>
  <c r="H51" i="128" s="1"/>
  <c r="AJ68" i="91"/>
  <c r="AJ75" i="91" s="1"/>
  <c r="AL63" i="91"/>
  <c r="H54" i="128" s="1"/>
  <c r="K63" i="91"/>
  <c r="H19" i="128" s="1"/>
  <c r="O63" i="91"/>
  <c r="H25" i="128" s="1"/>
  <c r="S63" i="91"/>
  <c r="H29" i="128" s="1"/>
  <c r="W63" i="91"/>
  <c r="H33" i="128" s="1"/>
  <c r="AA63" i="91"/>
  <c r="H39" i="128" s="1"/>
  <c r="J63" i="91"/>
  <c r="H18" i="128" s="1"/>
  <c r="Z63" i="91"/>
  <c r="H38" i="128" s="1"/>
  <c r="R63" i="91"/>
  <c r="H28" i="128" s="1"/>
  <c r="AJ63" i="91"/>
  <c r="H52" i="128" s="1"/>
  <c r="AY63" i="91"/>
  <c r="H69" i="128" s="1"/>
  <c r="AR68" i="91"/>
  <c r="AR75" i="91" s="1"/>
  <c r="AR76" i="91" s="1"/>
  <c r="AR30" i="91" s="1"/>
  <c r="Y29" i="7"/>
  <c r="Y34" i="7" s="1"/>
  <c r="Y36" i="7" s="1"/>
  <c r="AD68" i="91"/>
  <c r="BB68" i="91"/>
  <c r="AE68" i="91"/>
  <c r="AM68" i="91"/>
  <c r="AM75" i="91" s="1"/>
  <c r="AJ76" i="91"/>
  <c r="AJ30" i="91" s="1"/>
  <c r="AN68" i="91"/>
  <c r="AN75" i="91" s="1"/>
  <c r="AW68" i="91"/>
  <c r="BA68" i="91"/>
  <c r="E63" i="91"/>
  <c r="H13" i="128" s="1"/>
  <c r="I63" i="91"/>
  <c r="H17" i="128" s="1"/>
  <c r="M63" i="91"/>
  <c r="H23" i="128" s="1"/>
  <c r="Q63" i="91"/>
  <c r="H27" i="128" s="1"/>
  <c r="U63" i="91"/>
  <c r="H31" i="128" s="1"/>
  <c r="Y63" i="91"/>
  <c r="H35" i="128" s="1"/>
  <c r="AO63" i="91"/>
  <c r="H57" i="128" s="1"/>
  <c r="AH68" i="91"/>
  <c r="AP68" i="91"/>
  <c r="AK68" i="91"/>
  <c r="AK75" i="91" s="1"/>
  <c r="X76" i="87" l="1"/>
  <c r="X30" i="87" s="1"/>
  <c r="AI68" i="87"/>
  <c r="AI75" i="87" s="1"/>
  <c r="AL68" i="87"/>
  <c r="AL75" i="87" s="1"/>
  <c r="C10" i="87"/>
  <c r="AK76" i="91"/>
  <c r="AK30" i="91" s="1"/>
  <c r="AR77" i="91"/>
  <c r="AR78" i="91" s="1"/>
  <c r="AR80" i="91" s="1"/>
  <c r="AR29" i="91" s="1"/>
  <c r="AR34" i="91" s="1"/>
  <c r="AR36" i="91" s="1"/>
  <c r="G62" i="128" s="1"/>
  <c r="AN76" i="91"/>
  <c r="AN30" i="91" s="1"/>
  <c r="AJ77" i="91"/>
  <c r="AJ78" i="91" s="1"/>
  <c r="AM76" i="91"/>
  <c r="AM30" i="91" s="1"/>
  <c r="AY10" i="91" l="1"/>
  <c r="X77" i="87"/>
  <c r="X78" i="87" s="1"/>
  <c r="X80" i="87" s="1"/>
  <c r="X29" i="87" s="1"/>
  <c r="X34" i="87" s="1"/>
  <c r="X36" i="87" s="1"/>
  <c r="AL76" i="87"/>
  <c r="AL30" i="87" s="1"/>
  <c r="C28" i="87"/>
  <c r="AI76" i="87"/>
  <c r="AI30" i="87" s="1"/>
  <c r="AM77" i="91"/>
  <c r="AM78" i="91" s="1"/>
  <c r="AM80" i="91" s="1"/>
  <c r="AM29" i="91" s="1"/>
  <c r="AN77" i="91"/>
  <c r="AN78" i="91" s="1"/>
  <c r="AN80" i="91" s="1"/>
  <c r="AN29" i="91" s="1"/>
  <c r="AK77" i="91"/>
  <c r="AK78" i="91" s="1"/>
  <c r="AK80" i="91" s="1"/>
  <c r="AK29" i="91" s="1"/>
  <c r="AK34" i="91" s="1"/>
  <c r="AK36" i="91" s="1"/>
  <c r="G53" i="128" s="1"/>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AA23" i="91" l="1"/>
  <c r="AA21" i="91"/>
  <c r="G26" i="55" l="1"/>
  <c r="C12" i="9"/>
  <c r="D89" i="128" s="1"/>
  <c r="E9" i="9"/>
  <c r="F86" i="128" s="1"/>
  <c r="E10" i="9"/>
  <c r="F87" i="128" s="1"/>
  <c r="E11" i="9"/>
  <c r="F88" i="128" s="1"/>
  <c r="E8" i="9"/>
  <c r="F85" i="128" s="1"/>
  <c r="J85" i="128" l="1"/>
  <c r="J88" i="128"/>
  <c r="J86" i="128"/>
  <c r="J87" i="128"/>
  <c r="BC79" i="91"/>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AE54" i="91"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AG55" i="91"/>
  <c r="AG61" i="91" s="1"/>
  <c r="AG63" i="91" s="1"/>
  <c r="H47" i="128" s="1"/>
  <c r="AG61" i="7"/>
  <c r="AG63" i="7" s="1"/>
  <c r="G90" i="132"/>
  <c r="AG31" i="7" s="1"/>
  <c r="AG31" i="91" s="1"/>
  <c r="G74" i="132"/>
  <c r="AG72" i="7" s="1"/>
  <c r="AG72" i="91" s="1"/>
  <c r="A1" i="115" l="1"/>
  <c r="A2" i="115"/>
  <c r="D229" i="114" l="1"/>
  <c r="D197" i="114"/>
  <c r="D187" i="114"/>
  <c r="D174" i="114"/>
  <c r="D138" i="114"/>
  <c r="D98" i="114"/>
  <c r="D69" i="114"/>
  <c r="D47" i="114"/>
  <c r="F10" i="40"/>
  <c r="X20" i="91" s="1"/>
  <c r="X24" i="91" s="1"/>
  <c r="X68" i="91" s="1"/>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72" i="91" s="1"/>
  <c r="X75" i="91" s="1"/>
  <c r="X61" i="7"/>
  <c r="X50" i="7"/>
  <c r="X24" i="7"/>
  <c r="X68" i="7" s="1"/>
  <c r="D68" i="111"/>
  <c r="D44" i="111"/>
  <c r="D39" i="111"/>
  <c r="D34" i="111"/>
  <c r="D28" i="111"/>
  <c r="D19" i="111"/>
  <c r="D14" i="111"/>
  <c r="F24" i="111"/>
  <c r="C20" i="87" l="1"/>
  <c r="Y20" i="87"/>
  <c r="Y17" i="87"/>
  <c r="C16" i="87"/>
  <c r="Y16" i="87"/>
  <c r="Y18" i="87"/>
  <c r="C19" i="87"/>
  <c r="Y19" i="87"/>
  <c r="C21" i="87"/>
  <c r="Y21" i="87"/>
  <c r="G231" i="114"/>
  <c r="C23" i="87"/>
  <c r="D70" i="111"/>
  <c r="X76" i="91"/>
  <c r="X30" i="91" s="1"/>
  <c r="Y18" i="91"/>
  <c r="Y14" i="91"/>
  <c r="Y19" i="91"/>
  <c r="Y20" i="91"/>
  <c r="Y17" i="91"/>
  <c r="Y21" i="91"/>
  <c r="Y16" i="91"/>
  <c r="X75" i="7"/>
  <c r="X76" i="7" s="1"/>
  <c r="X77" i="7" s="1"/>
  <c r="X78" i="7" s="1"/>
  <c r="X80" i="7" s="1"/>
  <c r="X63" i="7"/>
  <c r="D24" i="95"/>
  <c r="D19" i="95"/>
  <c r="D13" i="95"/>
  <c r="D67" i="34"/>
  <c r="D61" i="34"/>
  <c r="D56" i="34"/>
  <c r="D52" i="34"/>
  <c r="D45" i="34"/>
  <c r="D23" i="34"/>
  <c r="D17" i="34"/>
  <c r="F60" i="34"/>
  <c r="D35" i="34"/>
  <c r="D13" i="131"/>
  <c r="Y23" i="91" l="1"/>
  <c r="Y24" i="91" s="1"/>
  <c r="Y68" i="91" s="1"/>
  <c r="Y75" i="91" s="1"/>
  <c r="Y24" i="87"/>
  <c r="Y68" i="87" s="1"/>
  <c r="X77" i="91"/>
  <c r="X78" i="91" s="1"/>
  <c r="X80" i="91" s="1"/>
  <c r="X29" i="91" s="1"/>
  <c r="X34" i="91" s="1"/>
  <c r="X36" i="91" s="1"/>
  <c r="G34" i="128" s="1"/>
  <c r="X29" i="7"/>
  <c r="X34" i="7" s="1"/>
  <c r="X36" i="7" s="1"/>
  <c r="D69" i="34"/>
  <c r="L17" i="91"/>
  <c r="L21" i="91"/>
  <c r="L23" i="91"/>
  <c r="L24" i="7"/>
  <c r="L50" i="7"/>
  <c r="L61" i="7"/>
  <c r="Y75" i="87" l="1"/>
  <c r="L24" i="91"/>
  <c r="Y76" i="91"/>
  <c r="Y30" i="91" s="1"/>
  <c r="L63" i="7"/>
  <c r="D28" i="32"/>
  <c r="D45" i="32"/>
  <c r="D34" i="32"/>
  <c r="Y76" i="87" l="1"/>
  <c r="Y30" i="87" s="1"/>
  <c r="Y77" i="91"/>
  <c r="Y78" i="91" s="1"/>
  <c r="Y80" i="91" s="1"/>
  <c r="Y29" i="91" s="1"/>
  <c r="Y34" i="91" s="1"/>
  <c r="Y36" i="91" s="1"/>
  <c r="G35" i="128" s="1"/>
  <c r="D68" i="33"/>
  <c r="D62" i="33"/>
  <c r="D57" i="33"/>
  <c r="D53" i="33"/>
  <c r="D46" i="33"/>
  <c r="D36" i="33"/>
  <c r="D24" i="33"/>
  <c r="D18" i="33"/>
  <c r="Y77" i="87" l="1"/>
  <c r="Y78" i="87" s="1"/>
  <c r="Y80" i="87" s="1"/>
  <c r="Y29" i="87" s="1"/>
  <c r="Y34" i="87" s="1"/>
  <c r="Y36" i="87" s="1"/>
  <c r="D70" i="33"/>
  <c r="A2" i="8" l="1"/>
  <c r="A1" i="8"/>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109"/>
  <c r="A2" i="83" s="1"/>
  <c r="A1" i="109"/>
  <c r="A1" i="83" s="1"/>
  <c r="BC73" i="91" l="1"/>
  <c r="BC10" i="91"/>
  <c r="A2" i="127"/>
  <c r="A1" i="127"/>
  <c r="F10" i="127" l="1"/>
  <c r="A2" i="126"/>
  <c r="A1"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AZ16" i="91" s="1"/>
  <c r="AZ24" i="91" s="1"/>
  <c r="F23" i="122"/>
  <c r="G23" i="122" s="1"/>
  <c r="F22" i="122"/>
  <c r="G22" i="122" s="1"/>
  <c r="F21" i="122"/>
  <c r="G21" i="122" s="1"/>
  <c r="F16" i="122"/>
  <c r="G16" i="122" s="1"/>
  <c r="F10" i="122"/>
  <c r="G10" i="122" s="1"/>
  <c r="F11" i="122"/>
  <c r="A2" i="122"/>
  <c r="A1" i="122"/>
  <c r="A2" i="101" l="1"/>
  <c r="A1" i="101"/>
  <c r="A2" i="100"/>
  <c r="A1" i="100"/>
  <c r="A2" i="75" l="1"/>
  <c r="A1" i="75"/>
  <c r="A2" i="73" l="1"/>
  <c r="A1" i="73"/>
  <c r="F18" i="74" l="1"/>
  <c r="F19" i="74"/>
  <c r="F20" i="74"/>
  <c r="A2" i="74"/>
  <c r="A1" i="74"/>
  <c r="F50" i="72" l="1"/>
  <c r="G50" i="72" s="1"/>
  <c r="A2" i="72"/>
  <c r="A1" i="72"/>
  <c r="F45" i="121" l="1"/>
  <c r="G45" i="121" s="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2" i="121"/>
  <c r="A1" i="121"/>
  <c r="A2" i="71" l="1"/>
  <c r="A1" i="71"/>
  <c r="F25" i="70" l="1"/>
  <c r="G25" i="70" s="1"/>
  <c r="F26" i="70"/>
  <c r="G26" i="70" s="1"/>
  <c r="A2" i="70"/>
  <c r="A1" i="70"/>
  <c r="D15" i="69"/>
  <c r="D16" i="69"/>
  <c r="D17" i="69"/>
  <c r="F26" i="69" l="1"/>
  <c r="G26" i="69" s="1"/>
  <c r="AP72" i="7" s="1"/>
  <c r="AP72" i="91" s="1"/>
  <c r="F27" i="69"/>
  <c r="G27" i="69" s="1"/>
  <c r="F28" i="69"/>
  <c r="G28" i="69" s="1"/>
  <c r="AP73" i="7" l="1"/>
  <c r="AP73" i="91" s="1"/>
  <c r="AP75" i="91" s="1"/>
  <c r="A2" i="69"/>
  <c r="A1" i="69"/>
  <c r="A2" i="63"/>
  <c r="A1" i="63"/>
  <c r="A2" i="62"/>
  <c r="A1" i="62"/>
  <c r="A2" i="61"/>
  <c r="A1" i="61"/>
  <c r="A2" i="120"/>
  <c r="A1" i="120"/>
  <c r="G31" i="61"/>
  <c r="F19" i="58"/>
  <c r="G19" i="58" s="1"/>
  <c r="F20" i="58"/>
  <c r="G20" i="58" s="1"/>
  <c r="F21" i="58"/>
  <c r="G21" i="58" s="1"/>
  <c r="F22" i="58"/>
  <c r="G22" i="58" s="1"/>
  <c r="F23" i="58"/>
  <c r="G23" i="58" s="1"/>
  <c r="F24" i="58"/>
  <c r="G24" i="58" s="1"/>
  <c r="F25" i="58"/>
  <c r="G25" i="58" s="1"/>
  <c r="A2" i="58"/>
  <c r="A1" i="58"/>
  <c r="A2" i="57"/>
  <c r="A1" i="57"/>
  <c r="A2" i="119"/>
  <c r="A1" i="119"/>
  <c r="AP76" i="91" l="1"/>
  <c r="AP30" i="91" s="1"/>
  <c r="A2" i="55"/>
  <c r="A1" i="55"/>
  <c r="A2" i="132"/>
  <c r="A1" i="132"/>
  <c r="A2" i="117"/>
  <c r="A1" i="117"/>
  <c r="F10" i="132"/>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AG20" i="91" s="1"/>
  <c r="F50" i="132"/>
  <c r="F52" i="132"/>
  <c r="G52" i="132" s="1"/>
  <c r="AG21" i="7" s="1"/>
  <c r="AG21" i="91"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AP77" i="91"/>
  <c r="AP78" i="91" s="1"/>
  <c r="AP80" i="91" s="1"/>
  <c r="AP29" i="91" s="1"/>
  <c r="AP34" i="91" s="1"/>
  <c r="AP36" i="91" s="1"/>
  <c r="G60" i="128" s="1"/>
  <c r="AG14" i="91"/>
  <c r="AG18" i="7"/>
  <c r="AG18" i="91" s="1"/>
  <c r="AG17" i="7"/>
  <c r="AG17" i="91" s="1"/>
  <c r="AG16" i="7"/>
  <c r="AG16" i="91" s="1"/>
  <c r="AG23" i="7"/>
  <c r="AG23" i="91" s="1"/>
  <c r="AG19" i="7"/>
  <c r="AG19" i="91" s="1"/>
  <c r="G58" i="132"/>
  <c r="G125" i="117"/>
  <c r="AF55" i="7" s="1"/>
  <c r="AF55" i="91" s="1"/>
  <c r="G109" i="117"/>
  <c r="AF31" i="7" s="1"/>
  <c r="G76" i="117"/>
  <c r="AF53" i="7" s="1"/>
  <c r="AF53" i="91" s="1"/>
  <c r="AF61" i="91" s="1"/>
  <c r="AF63" i="91" s="1"/>
  <c r="H46" i="128" s="1"/>
  <c r="G93" i="117"/>
  <c r="AF72" i="7" s="1"/>
  <c r="AF72" i="91" s="1"/>
  <c r="AG24" i="7" l="1"/>
  <c r="AG68" i="7" s="1"/>
  <c r="AG75" i="7" s="1"/>
  <c r="AG24" i="91"/>
  <c r="AG68" i="91" s="1"/>
  <c r="AG75" i="91" s="1"/>
  <c r="F95" i="115"/>
  <c r="G95" i="115" s="1"/>
  <c r="AG76" i="91" l="1"/>
  <c r="AG30" i="91" s="1"/>
  <c r="AG76" i="7"/>
  <c r="AG30" i="7" s="1"/>
  <c r="G149" i="115"/>
  <c r="D22" i="53"/>
  <c r="AG77" i="7" l="1"/>
  <c r="AG78" i="7" s="1"/>
  <c r="AG80" i="7" s="1"/>
  <c r="AG29" i="7" s="1"/>
  <c r="AG34" i="7" s="1"/>
  <c r="AG36" i="7" s="1"/>
  <c r="AG77" i="91"/>
  <c r="AG78" i="91" s="1"/>
  <c r="AG80" i="91" s="1"/>
  <c r="AG29" i="91" s="1"/>
  <c r="AG34" i="91" s="1"/>
  <c r="AG36" i="91" s="1"/>
  <c r="G47" i="128" s="1"/>
  <c r="A2" i="53"/>
  <c r="A1" i="53"/>
  <c r="F8" i="85" l="1"/>
  <c r="F9" i="85"/>
  <c r="F10" i="85"/>
  <c r="F11" i="85"/>
  <c r="A2" i="85"/>
  <c r="A1" i="85"/>
  <c r="A2" i="84" l="1"/>
  <c r="A1" i="84"/>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AL28" i="91" s="1"/>
  <c r="AL68" i="91" s="1"/>
  <c r="AL75" i="91" s="1"/>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C17" i="87" s="1"/>
  <c r="F10" i="50"/>
  <c r="F9" i="50"/>
  <c r="D31" i="50"/>
  <c r="F8" i="50"/>
  <c r="AA9" i="87" s="1"/>
  <c r="A2" i="50"/>
  <c r="A1" i="50"/>
  <c r="AA14" i="87" l="1"/>
  <c r="AA11" i="87"/>
  <c r="C9" i="87"/>
  <c r="C11" i="87" s="1"/>
  <c r="AA18" i="87"/>
  <c r="C18" i="87" s="1"/>
  <c r="AQ72" i="7"/>
  <c r="G18" i="69"/>
  <c r="AL76" i="91"/>
  <c r="AL30" i="91" s="1"/>
  <c r="G93" i="115"/>
  <c r="AE53" i="7" s="1"/>
  <c r="AE53" i="91" s="1"/>
  <c r="AA14" i="91"/>
  <c r="AQ55" i="7"/>
  <c r="AQ55" i="91" s="1"/>
  <c r="AQ61" i="91" s="1"/>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C14" i="87"/>
  <c r="C24" i="87" s="1"/>
  <c r="C68" i="87" s="1"/>
  <c r="AA68" i="87"/>
  <c r="AL77" i="91"/>
  <c r="AL78" i="91" s="1"/>
  <c r="AL80" i="91" s="1"/>
  <c r="AL29" i="91" s="1"/>
  <c r="AL34" i="91" s="1"/>
  <c r="AL36" i="91" s="1"/>
  <c r="G54" i="128" s="1"/>
  <c r="G31" i="49"/>
  <c r="G20" i="49"/>
  <c r="AA75" i="87" l="1"/>
  <c r="C67" i="87"/>
  <c r="A2" i="49"/>
  <c r="A1" i="49"/>
  <c r="AA76" i="87" l="1"/>
  <c r="AA30" i="87" s="1"/>
  <c r="A2" i="114"/>
  <c r="A1" i="114"/>
  <c r="AA77" i="87" l="1"/>
  <c r="AA78" i="87" s="1"/>
  <c r="AA80" i="87" s="1"/>
  <c r="AA29" i="87" s="1"/>
  <c r="AA34" i="87" s="1"/>
  <c r="AA36" i="87" s="1"/>
  <c r="A2" i="40"/>
  <c r="A1" i="40"/>
  <c r="A2" i="111" l="1"/>
  <c r="A1" i="111"/>
  <c r="A2" i="94"/>
  <c r="A1" i="94"/>
  <c r="A2" i="104"/>
  <c r="A1" i="104"/>
  <c r="A2" i="105"/>
  <c r="A1" i="105"/>
  <c r="F9" i="11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W16" i="91" s="1"/>
  <c r="G44" i="111"/>
  <c r="W20" i="7" s="1"/>
  <c r="W20" i="91" s="1"/>
  <c r="G68" i="111"/>
  <c r="G39" i="111"/>
  <c r="W19" i="7" s="1"/>
  <c r="W19" i="91" s="1"/>
  <c r="G34" i="111"/>
  <c r="W18" i="7" s="1"/>
  <c r="W18" i="91" s="1"/>
  <c r="G28" i="111"/>
  <c r="W17" i="7" s="1"/>
  <c r="W17" i="91" s="1"/>
  <c r="G14" i="111"/>
  <c r="W14" i="7" s="1"/>
  <c r="F9" i="94"/>
  <c r="W14" i="91" l="1"/>
  <c r="G70" i="111"/>
  <c r="W23" i="7"/>
  <c r="W23" i="91" s="1"/>
  <c r="W24" i="7" l="1"/>
  <c r="W24" i="91"/>
  <c r="W68" i="91" s="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A2" i="95" l="1"/>
  <c r="A1" i="95"/>
  <c r="F18" i="38"/>
  <c r="F17" i="38"/>
  <c r="F9" i="38"/>
  <c r="F10" i="38"/>
  <c r="F11" i="38"/>
  <c r="F12" i="38"/>
  <c r="F13" i="38"/>
  <c r="F8" i="38"/>
  <c r="A2" i="38"/>
  <c r="A1" i="38"/>
  <c r="F10" i="36" l="1"/>
  <c r="F9" i="36"/>
  <c r="G9" i="36" s="1"/>
  <c r="F9" i="113"/>
  <c r="G9" i="113" s="1"/>
  <c r="F10" i="113"/>
  <c r="G10" i="113" s="1"/>
  <c r="F11" i="113"/>
  <c r="G11" i="113" s="1"/>
  <c r="P21" i="7" s="1"/>
  <c r="P21" i="91" s="1"/>
  <c r="F12" i="113"/>
  <c r="G12" i="113" s="1"/>
  <c r="F8" i="113"/>
  <c r="G8" i="113" s="1"/>
  <c r="G10" i="36"/>
  <c r="Q10" i="7" s="1"/>
  <c r="Q10" i="91" s="1"/>
  <c r="Q11" i="91" s="1"/>
  <c r="A2" i="36"/>
  <c r="A1" i="36"/>
  <c r="F8" i="34"/>
  <c r="F9" i="34"/>
  <c r="F10" i="34"/>
  <c r="F11" i="34"/>
  <c r="F12" i="34"/>
  <c r="F13" i="34"/>
  <c r="F14" i="34"/>
  <c r="F15" i="34"/>
  <c r="F16" i="34"/>
  <c r="F19" i="34"/>
  <c r="F20" i="34"/>
  <c r="F21" i="34"/>
  <c r="F22" i="34"/>
  <c r="F25" i="34"/>
  <c r="F26" i="34"/>
  <c r="F27" i="34"/>
  <c r="F29" i="34"/>
  <c r="F30" i="34"/>
  <c r="F31" i="34"/>
  <c r="F32" i="34"/>
  <c r="F33" i="34"/>
  <c r="F34" i="34"/>
  <c r="F37" i="34"/>
  <c r="F38" i="34"/>
  <c r="F39" i="34"/>
  <c r="F40" i="34"/>
  <c r="F41" i="34"/>
  <c r="F42" i="34"/>
  <c r="F43" i="34"/>
  <c r="F44" i="34"/>
  <c r="F48" i="34"/>
  <c r="F49" i="34"/>
  <c r="F51" i="34"/>
  <c r="F54" i="34"/>
  <c r="F55" i="34"/>
  <c r="F58" i="34"/>
  <c r="F59" i="34"/>
  <c r="F63" i="34"/>
  <c r="F64" i="34"/>
  <c r="F65" i="34"/>
  <c r="F66" i="34"/>
  <c r="F7" i="34"/>
  <c r="G11" i="36" l="1"/>
  <c r="Q14" i="7"/>
  <c r="Q14" i="91" s="1"/>
  <c r="Q24" i="91" s="1"/>
  <c r="Q68" i="91" s="1"/>
  <c r="Q75" i="91" s="1"/>
  <c r="D13" i="113"/>
  <c r="Q76" i="91" l="1"/>
  <c r="Q30" i="91" s="1"/>
  <c r="G13" i="113"/>
  <c r="A2" i="113"/>
  <c r="A1" i="113"/>
  <c r="A1" i="33"/>
  <c r="A2" i="33"/>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91" s="1"/>
  <c r="G58" i="34"/>
  <c r="G59" i="34"/>
  <c r="A2" i="34"/>
  <c r="A1"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Q77" i="91" l="1"/>
  <c r="Q78" i="91" s="1"/>
  <c r="Q80" i="91" s="1"/>
  <c r="Q29" i="91" s="1"/>
  <c r="Q34" i="91" s="1"/>
  <c r="Q36" i="91" s="1"/>
  <c r="G27" i="128" s="1"/>
  <c r="G61" i="34"/>
  <c r="O21" i="91" s="1"/>
  <c r="G67" i="34"/>
  <c r="O23" i="91" s="1"/>
  <c r="G45" i="34"/>
  <c r="G23" i="34"/>
  <c r="G52" i="34"/>
  <c r="O19" i="91" s="1"/>
  <c r="G35" i="34"/>
  <c r="G62" i="33"/>
  <c r="N21" i="7" s="1"/>
  <c r="G68" i="33"/>
  <c r="N23" i="7" s="1"/>
  <c r="N23" i="91" s="1"/>
  <c r="G53" i="33"/>
  <c r="N19" i="7" s="1"/>
  <c r="G46" i="33"/>
  <c r="N18" i="7" s="1"/>
  <c r="G36" i="33"/>
  <c r="N17" i="7" s="1"/>
  <c r="G24" i="33"/>
  <c r="N16" i="7" s="1"/>
  <c r="G18" i="33"/>
  <c r="O17" i="91" l="1"/>
  <c r="O18" i="91"/>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A2" i="32"/>
  <c r="A1" i="32"/>
  <c r="G28" i="32" l="1"/>
  <c r="M20" i="7" s="1"/>
  <c r="M20" i="91" s="1"/>
  <c r="G45" i="32"/>
  <c r="G34" i="32"/>
  <c r="G11" i="131"/>
  <c r="G10" i="131"/>
  <c r="A2" i="131"/>
  <c r="A1" i="131"/>
  <c r="G13" i="131" l="1"/>
  <c r="M23" i="7"/>
  <c r="G47" i="32"/>
  <c r="L10" i="7"/>
  <c r="M21" i="7"/>
  <c r="A2" i="112"/>
  <c r="A1" i="112"/>
  <c r="G9" i="106"/>
  <c r="L11" i="7" l="1"/>
  <c r="L68" i="7" s="1"/>
  <c r="L75" i="7" s="1"/>
  <c r="L76" i="7" s="1"/>
  <c r="L30" i="7" s="1"/>
  <c r="L10" i="91"/>
  <c r="L11" i="91" s="1"/>
  <c r="L68" i="91" s="1"/>
  <c r="L75" i="91" s="1"/>
  <c r="A2" i="106"/>
  <c r="A1" i="106"/>
  <c r="A2" i="27"/>
  <c r="A1" i="27"/>
  <c r="G9" i="26"/>
  <c r="L77" i="7" l="1"/>
  <c r="L78" i="7" s="1"/>
  <c r="L80" i="7" s="1"/>
  <c r="L29" i="7" s="1"/>
  <c r="L34" i="7" s="1"/>
  <c r="L36" i="7" s="1"/>
  <c r="L76" i="91"/>
  <c r="L30" i="91" s="1"/>
  <c r="A2" i="26"/>
  <c r="A1" i="26"/>
  <c r="A2" i="25"/>
  <c r="A1" i="25"/>
  <c r="L77" i="91" l="1"/>
  <c r="L78" i="91" s="1"/>
  <c r="L80" i="91" s="1"/>
  <c r="L29" i="91" s="1"/>
  <c r="L34" i="91" s="1"/>
  <c r="L36" i="91" s="1"/>
  <c r="G20" i="128" s="1"/>
  <c r="A2" i="24"/>
  <c r="A1" i="24"/>
  <c r="A2" i="23"/>
  <c r="A1" i="23"/>
  <c r="A2" i="21"/>
  <c r="A1" i="21"/>
  <c r="A2" i="7"/>
  <c r="A1" i="7"/>
  <c r="A2" i="9"/>
  <c r="A1" i="9"/>
  <c r="A1" i="10"/>
  <c r="A2" i="10"/>
  <c r="C22" i="9" l="1"/>
  <c r="H89" i="128" s="1"/>
  <c r="C13" i="6"/>
  <c r="F19" i="9" l="1"/>
  <c r="AF31" i="91" l="1"/>
  <c r="AF73" i="91"/>
  <c r="D13" i="26" l="1"/>
  <c r="D11" i="53" l="1"/>
  <c r="J89" i="128" l="1"/>
  <c r="E9" i="10"/>
  <c r="F9" i="10" s="1"/>
  <c r="G10" i="127"/>
  <c r="G9" i="94" l="1"/>
  <c r="V20" i="7" s="1"/>
  <c r="V20" i="91" s="1"/>
  <c r="V24" i="91" s="1"/>
  <c r="V68" i="91" s="1"/>
  <c r="V75" i="91" s="1"/>
  <c r="V76" i="91" l="1"/>
  <c r="V30" i="91" s="1"/>
  <c r="V77" i="91" l="1"/>
  <c r="V78" i="91" s="1"/>
  <c r="V80" i="91" s="1"/>
  <c r="V29" i="91" s="1"/>
  <c r="V34" i="91" s="1"/>
  <c r="V36" i="91" s="1"/>
  <c r="G32" i="128" s="1"/>
  <c r="C25" i="8"/>
  <c r="D93" i="115" l="1"/>
  <c r="K11" i="7" l="1"/>
  <c r="K24" i="7"/>
  <c r="K50" i="7"/>
  <c r="K61" i="7"/>
  <c r="K63" i="7" l="1"/>
  <c r="K68" i="7"/>
  <c r="K75" i="7" s="1"/>
  <c r="AE31" i="91"/>
  <c r="AE55" i="91"/>
  <c r="AE61" i="91" s="1"/>
  <c r="AE63" i="91" s="1"/>
  <c r="H45" i="128" s="1"/>
  <c r="AE73" i="91"/>
  <c r="AE75" i="91" s="1"/>
  <c r="AE76" i="91" l="1"/>
  <c r="AE30" i="91" s="1"/>
  <c r="K76" i="7"/>
  <c r="K30" i="7" s="1"/>
  <c r="BB47" i="7"/>
  <c r="BB47" i="91" s="1"/>
  <c r="BB50" i="91" s="1"/>
  <c r="BB63" i="91" s="1"/>
  <c r="H72" i="128" s="1"/>
  <c r="AE77" i="91" l="1"/>
  <c r="AE78" i="91" s="1"/>
  <c r="AE80" i="91" s="1"/>
  <c r="AE29" i="91" s="1"/>
  <c r="AE34" i="91" s="1"/>
  <c r="AE36" i="91" s="1"/>
  <c r="G45" i="128" s="1"/>
  <c r="K77" i="7"/>
  <c r="K78" i="7" s="1"/>
  <c r="K80" i="7" s="1"/>
  <c r="BB50" i="7"/>
  <c r="BA61" i="7"/>
  <c r="BB61" i="7"/>
  <c r="BA72" i="91"/>
  <c r="BA75" i="91" s="1"/>
  <c r="BB72" i="91"/>
  <c r="BB75" i="91" s="1"/>
  <c r="BA11" i="7"/>
  <c r="BB11" i="7"/>
  <c r="BA24" i="7"/>
  <c r="BB24" i="7"/>
  <c r="AZ11" i="7"/>
  <c r="AZ72" i="91"/>
  <c r="BA76" i="91" l="1"/>
  <c r="BA30" i="91" s="1"/>
  <c r="BB76" i="91"/>
  <c r="BB30" i="91" s="1"/>
  <c r="K29" i="7"/>
  <c r="K34" i="7" s="1"/>
  <c r="K36" i="7" s="1"/>
  <c r="BB63" i="7"/>
  <c r="BA68" i="7"/>
  <c r="BA75" i="7" s="1"/>
  <c r="BA76" i="7" s="1"/>
  <c r="BA77" i="7" s="1"/>
  <c r="BA78" i="7" s="1"/>
  <c r="BA80" i="7" s="1"/>
  <c r="BA29" i="7" s="1"/>
  <c r="BB68" i="7"/>
  <c r="BB75" i="7" s="1"/>
  <c r="BB76" i="7" s="1"/>
  <c r="BB77" i="7" s="1"/>
  <c r="BB78" i="7" s="1"/>
  <c r="BB80" i="7" s="1"/>
  <c r="BB29" i="7" s="1"/>
  <c r="BB34" i="7" s="1"/>
  <c r="BB36" i="7" s="1"/>
  <c r="BA77" i="91" l="1"/>
  <c r="BA78" i="91" s="1"/>
  <c r="BA80" i="91" s="1"/>
  <c r="BA29" i="91" s="1"/>
  <c r="BA34" i="91" s="1"/>
  <c r="BA36" i="91" s="1"/>
  <c r="G71" i="128" s="1"/>
  <c r="BB77" i="91"/>
  <c r="BB78" i="91" s="1"/>
  <c r="BB80" i="91" s="1"/>
  <c r="BB29" i="91" s="1"/>
  <c r="BB34" i="91" s="1"/>
  <c r="BB36" i="91" s="1"/>
  <c r="G72" i="128" s="1"/>
  <c r="BA34" i="7"/>
  <c r="BA36" i="7" s="1"/>
  <c r="AF50" i="7" l="1"/>
  <c r="AE50" i="7" l="1"/>
  <c r="AE24" i="7"/>
  <c r="AE68" i="7" l="1"/>
  <c r="AE75" i="7" s="1"/>
  <c r="AE76" i="7" s="1"/>
  <c r="AE61" i="7" l="1"/>
  <c r="AE63" i="7" s="1"/>
  <c r="AE77" i="7"/>
  <c r="AE78" i="7" s="1"/>
  <c r="AE80" i="7" s="1"/>
  <c r="AE29" i="7" s="1"/>
  <c r="AE34" i="7" s="1"/>
  <c r="AE36" i="7" s="1"/>
  <c r="Q11" i="7"/>
  <c r="P17" i="7"/>
  <c r="P17" i="91" s="1"/>
  <c r="P24" i="91" s="1"/>
  <c r="P68" i="91" s="1"/>
  <c r="P75" i="91" s="1"/>
  <c r="P76" i="91" l="1"/>
  <c r="P30" i="91" s="1"/>
  <c r="D46" i="109"/>
  <c r="P77" i="91" l="1"/>
  <c r="P78" i="91" s="1"/>
  <c r="P80" i="91" s="1"/>
  <c r="P29" i="91" s="1"/>
  <c r="P34" i="91" s="1"/>
  <c r="P36" i="91" s="1"/>
  <c r="G26" i="128" s="1"/>
  <c r="BC16" i="91"/>
  <c r="G76" i="109"/>
  <c r="G75" i="109"/>
  <c r="G74" i="109"/>
  <c r="G73" i="109"/>
  <c r="G72" i="109"/>
  <c r="BC31" i="91" s="1"/>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BC72" i="91" l="1"/>
  <c r="BC55" i="91"/>
  <c r="G286" i="126"/>
  <c r="BA39" i="7" s="1"/>
  <c r="BA39" i="91" s="1"/>
  <c r="BA50" i="91" s="1"/>
  <c r="BA63" i="91" s="1"/>
  <c r="H71" i="128" s="1"/>
  <c r="G30" i="122"/>
  <c r="D25" i="122"/>
  <c r="G20" i="122"/>
  <c r="G15" i="122"/>
  <c r="D12" i="122"/>
  <c r="G24" i="122"/>
  <c r="BA50" i="7" l="1"/>
  <c r="BA63" i="7" s="1"/>
  <c r="G25" i="122"/>
  <c r="AZ26" i="91" s="1"/>
  <c r="AZ68" i="91" s="1"/>
  <c r="AZ75" i="91" s="1"/>
  <c r="AZ24" i="7"/>
  <c r="G17" i="122"/>
  <c r="AZ53" i="91" s="1"/>
  <c r="AZ61" i="91" s="1"/>
  <c r="AZ76" i="91" l="1"/>
  <c r="AZ30" i="91" s="1"/>
  <c r="AZ61" i="7"/>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AS55" i="91" s="1"/>
  <c r="G44" i="121"/>
  <c r="G43" i="121"/>
  <c r="AS73" i="91" s="1"/>
  <c r="G42" i="121"/>
  <c r="AS72" i="91" s="1"/>
  <c r="AS16" i="91"/>
  <c r="AS24" i="91" s="1"/>
  <c r="G49" i="121"/>
  <c r="G38" i="121"/>
  <c r="G31" i="121"/>
  <c r="G27" i="121"/>
  <c r="G20" i="121"/>
  <c r="G10" i="121"/>
  <c r="D39" i="121"/>
  <c r="D28" i="121"/>
  <c r="D18" i="121"/>
  <c r="G16" i="71"/>
  <c r="G17" i="71"/>
  <c r="G18" i="71"/>
  <c r="G15" i="71"/>
  <c r="G14" i="71"/>
  <c r="G13" i="71"/>
  <c r="G12" i="71"/>
  <c r="AZ77" i="91" l="1"/>
  <c r="AZ78" i="91" s="1"/>
  <c r="AZ80" i="91" s="1"/>
  <c r="AZ29" i="91" s="1"/>
  <c r="AZ34" i="91" s="1"/>
  <c r="AZ36" i="91" s="1"/>
  <c r="G70" i="128" s="1"/>
  <c r="AS31" i="91"/>
  <c r="AZ29" i="7"/>
  <c r="AZ34" i="7" s="1"/>
  <c r="AZ36" i="7" s="1"/>
  <c r="G65" i="72"/>
  <c r="G9" i="122"/>
  <c r="G12" i="122" s="1"/>
  <c r="AZ39" i="7" s="1"/>
  <c r="AZ39" i="91" s="1"/>
  <c r="AZ50" i="91" s="1"/>
  <c r="AZ63" i="91" s="1"/>
  <c r="H70" i="128" s="1"/>
  <c r="G28" i="121"/>
  <c r="AS53" i="91" s="1"/>
  <c r="AS61" i="91" s="1"/>
  <c r="G82" i="72"/>
  <c r="G18" i="121"/>
  <c r="AS39" i="91" s="1"/>
  <c r="AS50" i="91" s="1"/>
  <c r="G39" i="121"/>
  <c r="AS26" i="91" s="1"/>
  <c r="AS68" i="91" s="1"/>
  <c r="AS75" i="91" s="1"/>
  <c r="G10" i="71"/>
  <c r="G11" i="71"/>
  <c r="G9" i="71"/>
  <c r="D19" i="71"/>
  <c r="AS63" i="91" l="1"/>
  <c r="H63" i="128" s="1"/>
  <c r="AS76" i="91"/>
  <c r="AS30" i="91" s="1"/>
  <c r="AT41" i="7"/>
  <c r="AT41" i="91" s="1"/>
  <c r="AZ50" i="7"/>
  <c r="AZ63" i="7" s="1"/>
  <c r="AP55" i="7"/>
  <c r="AP55" i="91" s="1"/>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AS77" i="91" l="1"/>
  <c r="AS78" i="91" s="1"/>
  <c r="AS80" i="91" s="1"/>
  <c r="AS29" i="91" s="1"/>
  <c r="AS34" i="91" s="1"/>
  <c r="AS36" i="91" s="1"/>
  <c r="G63" i="128" s="1"/>
  <c r="G17" i="58"/>
  <c r="G16" i="58"/>
  <c r="G14" i="58"/>
  <c r="G13" i="58"/>
  <c r="G12" i="58"/>
  <c r="G11" i="58"/>
  <c r="G10" i="58"/>
  <c r="G15" i="58"/>
  <c r="G9" i="58"/>
  <c r="D26" i="58"/>
  <c r="AI28" i="91"/>
  <c r="AI68" i="91" s="1"/>
  <c r="AI75" i="91" s="1"/>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AI76" i="91" l="1"/>
  <c r="AI30" i="91" s="1"/>
  <c r="G26" i="58"/>
  <c r="AK55" i="7" s="1"/>
  <c r="AK55" i="91" s="1"/>
  <c r="AK61" i="91" s="1"/>
  <c r="AK63" i="91" s="1"/>
  <c r="H53" i="128" s="1"/>
  <c r="AF61" i="7"/>
  <c r="AF63" i="7" s="1"/>
  <c r="G41" i="117"/>
  <c r="AF26" i="7" s="1"/>
  <c r="AF26" i="91" s="1"/>
  <c r="AF68" i="91" s="1"/>
  <c r="AF75" i="91" s="1"/>
  <c r="AI77" i="91" l="1"/>
  <c r="AI78" i="91" s="1"/>
  <c r="AI80" i="91" s="1"/>
  <c r="AI29" i="91" s="1"/>
  <c r="AI34" i="91" s="1"/>
  <c r="AI36" i="91" s="1"/>
  <c r="G51" i="128" s="1"/>
  <c r="AF76" i="91"/>
  <c r="AF30" i="91" s="1"/>
  <c r="AF68" i="7"/>
  <c r="AF75" i="7" s="1"/>
  <c r="D26" i="50"/>
  <c r="D11" i="50"/>
  <c r="AF77" i="91" l="1"/>
  <c r="AF78" i="91" s="1"/>
  <c r="AF80" i="91" s="1"/>
  <c r="AF29" i="91" s="1"/>
  <c r="AF34" i="91" s="1"/>
  <c r="AF36" i="91" s="1"/>
  <c r="G46" i="128" s="1"/>
  <c r="D33" i="50"/>
  <c r="AF76" i="7"/>
  <c r="G16" i="104"/>
  <c r="G15" i="104"/>
  <c r="G14" i="104"/>
  <c r="G13" i="104"/>
  <c r="G17" i="105"/>
  <c r="G16" i="105"/>
  <c r="G15" i="105"/>
  <c r="G14" i="105"/>
  <c r="G13" i="105"/>
  <c r="G12" i="105"/>
  <c r="G11" i="105"/>
  <c r="T23" i="7" s="1"/>
  <c r="T23" i="91" s="1"/>
  <c r="G23" i="95"/>
  <c r="G22" i="95"/>
  <c r="G18" i="95"/>
  <c r="S17" i="7" s="1"/>
  <c r="S17" i="91" s="1"/>
  <c r="G17" i="95"/>
  <c r="S19" i="7" s="1"/>
  <c r="S19" i="91" s="1"/>
  <c r="G16" i="95"/>
  <c r="S23" i="91"/>
  <c r="D11" i="36"/>
  <c r="AF30" i="7" l="1"/>
  <c r="S18" i="7"/>
  <c r="S18" i="91" s="1"/>
  <c r="S24" i="91" s="1"/>
  <c r="S68" i="91" s="1"/>
  <c r="G19" i="95"/>
  <c r="G24" i="95"/>
  <c r="AF77" i="7"/>
  <c r="AF78" i="7" s="1"/>
  <c r="AF80" i="7" s="1"/>
  <c r="M19" i="7"/>
  <c r="M19" i="91" s="1"/>
  <c r="G19" i="32"/>
  <c r="S73" i="7" l="1"/>
  <c r="AF29" i="7"/>
  <c r="AF34" i="7" s="1"/>
  <c r="AF36" i="7" s="1"/>
  <c r="K10" i="91" l="1"/>
  <c r="K11" i="91" s="1"/>
  <c r="K68" i="91" s="1"/>
  <c r="K75" i="91" s="1"/>
  <c r="K76" i="91" l="1"/>
  <c r="K30" i="91" s="1"/>
  <c r="K77" i="91" l="1"/>
  <c r="K78" i="91" s="1"/>
  <c r="K80" i="91" s="1"/>
  <c r="K29" i="91" s="1"/>
  <c r="K34" i="91" s="1"/>
  <c r="K36" i="91" s="1"/>
  <c r="G19" i="128" s="1"/>
  <c r="F24" i="7" l="1"/>
  <c r="G17" i="55" l="1"/>
  <c r="G12" i="32" l="1"/>
  <c r="M33" i="7" s="1"/>
  <c r="M33" i="91" s="1"/>
  <c r="C40" i="7" l="1"/>
  <c r="E42" i="6" s="1"/>
  <c r="C42" i="7"/>
  <c r="E44" i="6" s="1"/>
  <c r="F44" i="6" s="1"/>
  <c r="C43" i="7"/>
  <c r="E45" i="6" s="1"/>
  <c r="F45" i="6" s="1"/>
  <c r="C48" i="7"/>
  <c r="E50" i="6" s="1"/>
  <c r="C32" i="7"/>
  <c r="E34" i="6" s="1"/>
  <c r="C15" i="7"/>
  <c r="E17" i="6" s="1"/>
  <c r="C22" i="7"/>
  <c r="E24" i="6" s="1"/>
  <c r="C8" i="7"/>
  <c r="E10" i="6" s="1"/>
  <c r="BC11" i="7"/>
  <c r="BC24" i="7"/>
  <c r="BC50" i="7"/>
  <c r="BC61" i="7"/>
  <c r="G71" i="6"/>
  <c r="G70" i="6"/>
  <c r="G58" i="6"/>
  <c r="G59" i="6"/>
  <c r="G42" i="6"/>
  <c r="G44" i="6"/>
  <c r="G45" i="6"/>
  <c r="G46" i="6"/>
  <c r="G47" i="6"/>
  <c r="G49" i="6"/>
  <c r="G50" i="6"/>
  <c r="G34" i="6"/>
  <c r="E31" i="91"/>
  <c r="G24" i="6"/>
  <c r="G17" i="6"/>
  <c r="G10" i="6"/>
  <c r="H45" i="6" l="1"/>
  <c r="H44" i="6"/>
  <c r="BC63" i="7"/>
  <c r="BC68" i="7"/>
  <c r="BC75" i="7" s="1"/>
  <c r="BC76" i="7" s="1"/>
  <c r="BC77" i="7" s="1"/>
  <c r="BC78" i="7" s="1"/>
  <c r="BC80" i="7" s="1"/>
  <c r="AA61" i="7"/>
  <c r="AA50" i="7"/>
  <c r="AA11" i="7"/>
  <c r="W72" i="7"/>
  <c r="W72" i="91" s="1"/>
  <c r="W75" i="91" s="1"/>
  <c r="W61" i="7"/>
  <c r="V61" i="7"/>
  <c r="W50" i="7"/>
  <c r="V50" i="7"/>
  <c r="W11" i="7"/>
  <c r="V11" i="7"/>
  <c r="W76" i="91" l="1"/>
  <c r="W30" i="91" s="1"/>
  <c r="BC29" i="7"/>
  <c r="BC34" i="7" s="1"/>
  <c r="BC36" i="7" s="1"/>
  <c r="AA24" i="7"/>
  <c r="AA68" i="7" s="1"/>
  <c r="AA75" i="7" s="1"/>
  <c r="AA76" i="7" s="1"/>
  <c r="AA77" i="7" s="1"/>
  <c r="AA78" i="7" s="1"/>
  <c r="AA80" i="7" s="1"/>
  <c r="AA29" i="7" s="1"/>
  <c r="AA63" i="7"/>
  <c r="W63" i="7"/>
  <c r="V63" i="7"/>
  <c r="J61" i="7"/>
  <c r="J50" i="7"/>
  <c r="W77" i="91" l="1"/>
  <c r="W78" i="91" s="1"/>
  <c r="W80" i="91" s="1"/>
  <c r="W29" i="91" s="1"/>
  <c r="W34" i="91" s="1"/>
  <c r="W36" i="91" s="1"/>
  <c r="G33" i="128" s="1"/>
  <c r="AA34" i="7"/>
  <c r="AA36" i="7" s="1"/>
  <c r="J24" i="7"/>
  <c r="J11" i="7"/>
  <c r="J63" i="7"/>
  <c r="J68" i="7" l="1"/>
  <c r="J75" i="7" s="1"/>
  <c r="J76" i="7" s="1"/>
  <c r="J30" i="7" s="1"/>
  <c r="D68" i="61"/>
  <c r="D12" i="49"/>
  <c r="D17" i="104"/>
  <c r="D9" i="104"/>
  <c r="D19" i="104" s="1"/>
  <c r="G70" i="61"/>
  <c r="G53" i="61"/>
  <c r="D89" i="61" l="1"/>
  <c r="G71" i="61"/>
  <c r="G45" i="109"/>
  <c r="G43" i="109"/>
  <c r="BC18" i="91" s="1"/>
  <c r="G40" i="109"/>
  <c r="BC9" i="91" s="1"/>
  <c r="BC11" i="91" s="1"/>
  <c r="J77" i="7"/>
  <c r="J78" i="7" s="1"/>
  <c r="J80" i="7" s="1"/>
  <c r="J29" i="7" s="1"/>
  <c r="G10" i="105"/>
  <c r="T21" i="7" s="1"/>
  <c r="G8" i="104"/>
  <c r="G11" i="104"/>
  <c r="G54" i="61"/>
  <c r="G68" i="61" s="1"/>
  <c r="G72" i="61"/>
  <c r="G12" i="104"/>
  <c r="G73" i="61"/>
  <c r="G87" i="61" l="1"/>
  <c r="G89" i="61" s="1"/>
  <c r="AM31" i="7" s="1"/>
  <c r="AM31" i="91" s="1"/>
  <c r="AM34" i="91" s="1"/>
  <c r="AM36" i="91" s="1"/>
  <c r="G55" i="128" s="1"/>
  <c r="G19" i="105"/>
  <c r="T21" i="91" s="1"/>
  <c r="T24" i="91" s="1"/>
  <c r="T68" i="91" s="1"/>
  <c r="T75" i="91" s="1"/>
  <c r="G9" i="104"/>
  <c r="G17" i="104"/>
  <c r="J10" i="91"/>
  <c r="J11" i="91" s="1"/>
  <c r="J68" i="91" s="1"/>
  <c r="J75" i="91" s="1"/>
  <c r="J34" i="7"/>
  <c r="J36" i="7" s="1"/>
  <c r="G44" i="109"/>
  <c r="BC14" i="91" s="1"/>
  <c r="G29" i="109"/>
  <c r="G37" i="109" s="1"/>
  <c r="BC26" i="91" s="1"/>
  <c r="G19" i="109"/>
  <c r="G27" i="109" s="1"/>
  <c r="BC53" i="91" s="1"/>
  <c r="BC61" i="91" s="1"/>
  <c r="G9" i="109"/>
  <c r="G17" i="109" s="1"/>
  <c r="BC39" i="91" s="1"/>
  <c r="BC50" i="91" s="1"/>
  <c r="G41" i="109"/>
  <c r="BC17" i="91" s="1"/>
  <c r="W68" i="7"/>
  <c r="W75" i="7" s="1"/>
  <c r="W76" i="7" s="1"/>
  <c r="W77" i="7" s="1"/>
  <c r="W78" i="7" s="1"/>
  <c r="W80" i="7" s="1"/>
  <c r="BC63" i="91" l="1"/>
  <c r="H74" i="128" s="1"/>
  <c r="BC24" i="91"/>
  <c r="BC68" i="91" s="1"/>
  <c r="BC75" i="91" s="1"/>
  <c r="J76" i="91"/>
  <c r="J30" i="91" s="1"/>
  <c r="T76" i="91"/>
  <c r="T30" i="91" s="1"/>
  <c r="W29" i="7"/>
  <c r="G19" i="104"/>
  <c r="U23" i="7" s="1"/>
  <c r="U23" i="91" s="1"/>
  <c r="U24" i="91" s="1"/>
  <c r="U68" i="91" s="1"/>
  <c r="G46" i="109"/>
  <c r="BC76" i="91" l="1"/>
  <c r="BC30" i="91" s="1"/>
  <c r="J77" i="91"/>
  <c r="J78" i="91" s="1"/>
  <c r="J80" i="91" s="1"/>
  <c r="J29" i="91" s="1"/>
  <c r="J34" i="91" s="1"/>
  <c r="J36" i="91" s="1"/>
  <c r="G18" i="128" s="1"/>
  <c r="T77" i="91"/>
  <c r="T78" i="91" s="1"/>
  <c r="T80" i="91" s="1"/>
  <c r="T29" i="91" s="1"/>
  <c r="T34" i="91" s="1"/>
  <c r="T36" i="91" s="1"/>
  <c r="G30" i="128" s="1"/>
  <c r="W34" i="7"/>
  <c r="W36" i="7" s="1"/>
  <c r="F61" i="7"/>
  <c r="F63" i="7" s="1"/>
  <c r="BC77" i="91" l="1"/>
  <c r="BC78" i="91" s="1"/>
  <c r="BC80" i="91" s="1"/>
  <c r="BC29" i="91" s="1"/>
  <c r="BC34" i="91" s="1"/>
  <c r="BC36" i="91" s="1"/>
  <c r="G74" i="128" s="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72" i="91" s="1"/>
  <c r="U75" i="91" s="1"/>
  <c r="U61" i="7"/>
  <c r="T61" i="7"/>
  <c r="U50" i="7"/>
  <c r="U63" i="7" s="1"/>
  <c r="S50" i="7"/>
  <c r="S61" i="7"/>
  <c r="U76" i="91" l="1"/>
  <c r="U30" i="91" s="1"/>
  <c r="AW24" i="7"/>
  <c r="AW68" i="7" s="1"/>
  <c r="S63" i="7"/>
  <c r="AN68" i="7"/>
  <c r="AN75" i="7" s="1"/>
  <c r="G16" i="74"/>
  <c r="G15" i="74"/>
  <c r="G14" i="74"/>
  <c r="U77" i="91" l="1"/>
  <c r="U78" i="91" s="1"/>
  <c r="U80" i="91" s="1"/>
  <c r="U29" i="91" s="1"/>
  <c r="U34" i="91" s="1"/>
  <c r="U36" i="91" s="1"/>
  <c r="G31" i="128" s="1"/>
  <c r="AN76" i="7"/>
  <c r="AN30" i="7" s="1"/>
  <c r="AN77" i="7" l="1"/>
  <c r="AN78" i="7" s="1"/>
  <c r="AN80" i="7" s="1"/>
  <c r="AN29" i="7" s="1"/>
  <c r="G9" i="101"/>
  <c r="G24" i="74"/>
  <c r="G25" i="74"/>
  <c r="G23" i="74"/>
  <c r="AU72" i="91" s="1"/>
  <c r="G12" i="74"/>
  <c r="G11" i="74"/>
  <c r="G10" i="74"/>
  <c r="G9" i="74"/>
  <c r="AU27" i="91" s="1"/>
  <c r="AU68" i="91" s="1"/>
  <c r="C27" i="91" l="1"/>
  <c r="AY11" i="91"/>
  <c r="AY68" i="91" s="1"/>
  <c r="AY75" i="91" s="1"/>
  <c r="AU41" i="91"/>
  <c r="AU50" i="91" s="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AP53" i="91" s="1"/>
  <c r="AP61" i="91" s="1"/>
  <c r="G10" i="69"/>
  <c r="AP41" i="7" s="1"/>
  <c r="AP41" i="91" s="1"/>
  <c r="G12" i="100"/>
  <c r="AX58" i="7" s="1"/>
  <c r="AX58" i="91"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0" i="6" s="1"/>
  <c r="G16" i="53"/>
  <c r="AD55" i="91" s="1"/>
  <c r="G15" i="53"/>
  <c r="AD31" i="91" s="1"/>
  <c r="G14" i="53"/>
  <c r="AD73" i="91" s="1"/>
  <c r="AD75" i="91" s="1"/>
  <c r="G12" i="85"/>
  <c r="AD76" i="91" l="1"/>
  <c r="AD30" i="91" s="1"/>
  <c r="AX61" i="91"/>
  <c r="AX63" i="91" s="1"/>
  <c r="H68" i="128" s="1"/>
  <c r="C58" i="91"/>
  <c r="AY76" i="91"/>
  <c r="AY30" i="91" s="1"/>
  <c r="AX33" i="7"/>
  <c r="AX33" i="91" s="1"/>
  <c r="AX68" i="91" s="1"/>
  <c r="AX75" i="91" s="1"/>
  <c r="D50" i="61"/>
  <c r="V24" i="7"/>
  <c r="G41" i="72"/>
  <c r="AT46" i="7" s="1"/>
  <c r="G28" i="61"/>
  <c r="C58" i="7"/>
  <c r="E60" i="6" s="1"/>
  <c r="T50" i="7"/>
  <c r="T63" i="7" s="1"/>
  <c r="G33" i="61"/>
  <c r="G48" i="61"/>
  <c r="U24" i="7"/>
  <c r="U68" i="7" s="1"/>
  <c r="U75" i="7" s="1"/>
  <c r="U76" i="7" s="1"/>
  <c r="U77" i="7" s="1"/>
  <c r="U78" i="7" s="1"/>
  <c r="U80" i="7" s="1"/>
  <c r="U29" i="7" s="1"/>
  <c r="G25" i="72"/>
  <c r="G17" i="38"/>
  <c r="R72" i="7" s="1"/>
  <c r="R72" i="91" s="1"/>
  <c r="D14" i="38"/>
  <c r="G12" i="38"/>
  <c r="G8" i="38"/>
  <c r="G15" i="27"/>
  <c r="G19" i="25"/>
  <c r="G55" i="91" s="1"/>
  <c r="AD77" i="91" l="1"/>
  <c r="AD78" i="91" s="1"/>
  <c r="AD80" i="91" s="1"/>
  <c r="AD29" i="91" s="1"/>
  <c r="AD34" i="91" s="1"/>
  <c r="AD36" i="91" s="1"/>
  <c r="G44" i="128" s="1"/>
  <c r="C46" i="7"/>
  <c r="E48" i="6" s="1"/>
  <c r="AT46" i="91"/>
  <c r="C46" i="91" s="1"/>
  <c r="AX76" i="91"/>
  <c r="AX30" i="91" s="1"/>
  <c r="AY77" i="91"/>
  <c r="AY78" i="91" s="1"/>
  <c r="AY80" i="91" s="1"/>
  <c r="AY29" i="91" s="1"/>
  <c r="AY34" i="91" s="1"/>
  <c r="AY36" i="91" s="1"/>
  <c r="G69" i="128" s="1"/>
  <c r="S24" i="7"/>
  <c r="S68" i="7" s="1"/>
  <c r="S75" i="7" s="1"/>
  <c r="S76" i="7" s="1"/>
  <c r="S77" i="7" s="1"/>
  <c r="S78" i="7" s="1"/>
  <c r="S80" i="7" s="1"/>
  <c r="S29" i="7" s="1"/>
  <c r="AT45" i="7"/>
  <c r="AT45" i="91" s="1"/>
  <c r="C45" i="91" s="1"/>
  <c r="V68" i="7"/>
  <c r="V75" i="7" s="1"/>
  <c r="V76" i="7" s="1"/>
  <c r="V77" i="7" s="1"/>
  <c r="V78" i="7" s="1"/>
  <c r="V80" i="7" s="1"/>
  <c r="G14" i="38"/>
  <c r="R21" i="7" s="1"/>
  <c r="R21" i="91" s="1"/>
  <c r="R24" i="91" s="1"/>
  <c r="R68" i="91" s="1"/>
  <c r="R75" i="91" s="1"/>
  <c r="G10" i="27"/>
  <c r="G9" i="27"/>
  <c r="G50" i="61"/>
  <c r="AM55" i="7" s="1"/>
  <c r="AM55" i="91" s="1"/>
  <c r="AM61" i="91" s="1"/>
  <c r="AM63" i="91" s="1"/>
  <c r="H55" i="128" s="1"/>
  <c r="T24" i="7"/>
  <c r="T68" i="7" s="1"/>
  <c r="T75" i="7" s="1"/>
  <c r="T76" i="7" s="1"/>
  <c r="T77" i="7" s="1"/>
  <c r="T78" i="7" s="1"/>
  <c r="T80" i="7" s="1"/>
  <c r="N14" i="91"/>
  <c r="N16" i="91"/>
  <c r="M17" i="91"/>
  <c r="N17" i="91"/>
  <c r="N18" i="91"/>
  <c r="N19" i="91"/>
  <c r="N20" i="91"/>
  <c r="M21" i="91"/>
  <c r="N21" i="91"/>
  <c r="M23" i="91"/>
  <c r="AT26" i="91"/>
  <c r="AT68" i="91" s="1"/>
  <c r="AT75" i="91" s="1"/>
  <c r="AQ31" i="91"/>
  <c r="G51" i="6"/>
  <c r="AT53" i="91"/>
  <c r="AT54" i="91"/>
  <c r="AT55" i="91"/>
  <c r="G60" i="6"/>
  <c r="AB72" i="91"/>
  <c r="AQ72" i="91"/>
  <c r="AT61" i="91" l="1"/>
  <c r="AT76" i="91"/>
  <c r="AT30" i="91" s="1"/>
  <c r="N24" i="91"/>
  <c r="N68" i="91" s="1"/>
  <c r="N75" i="91" s="1"/>
  <c r="M24" i="91"/>
  <c r="M68" i="91" s="1"/>
  <c r="M75" i="91" s="1"/>
  <c r="M76" i="91" s="1"/>
  <c r="R76" i="91"/>
  <c r="R30" i="91" s="1"/>
  <c r="AX77" i="91"/>
  <c r="AX78" i="91" s="1"/>
  <c r="AX80" i="91" s="1"/>
  <c r="AX29" i="91" s="1"/>
  <c r="AX34" i="91" s="1"/>
  <c r="AX36" i="91" s="1"/>
  <c r="G68" i="128" s="1"/>
  <c r="T29" i="7"/>
  <c r="T34" i="7" s="1"/>
  <c r="T36" i="7" s="1"/>
  <c r="V29" i="7"/>
  <c r="V34" i="7" s="1"/>
  <c r="V36" i="7" s="1"/>
  <c r="C54" i="91"/>
  <c r="C19" i="91"/>
  <c r="C20" i="91"/>
  <c r="C21" i="91"/>
  <c r="C45" i="7"/>
  <c r="E47" i="6" s="1"/>
  <c r="G48" i="6"/>
  <c r="G56" i="6"/>
  <c r="S34" i="7"/>
  <c r="S36" i="7" s="1"/>
  <c r="U34" i="7"/>
  <c r="U36" i="7" s="1"/>
  <c r="G28" i="6"/>
  <c r="G41" i="6"/>
  <c r="AT77" i="91" l="1"/>
  <c r="AT78" i="91" s="1"/>
  <c r="AT80" i="91" s="1"/>
  <c r="AT29" i="91" s="1"/>
  <c r="AT34" i="91" s="1"/>
  <c r="AT36" i="91" s="1"/>
  <c r="G64" i="128" s="1"/>
  <c r="N76" i="91"/>
  <c r="N30" i="91" s="1"/>
  <c r="M30" i="91"/>
  <c r="M77" i="91"/>
  <c r="M78" i="91" s="1"/>
  <c r="M80" i="91" s="1"/>
  <c r="M29" i="91" s="1"/>
  <c r="R77" i="91"/>
  <c r="R78" i="91" s="1"/>
  <c r="R80" i="91" s="1"/>
  <c r="R29" i="91" s="1"/>
  <c r="R34" i="91" s="1"/>
  <c r="R36" i="91" s="1"/>
  <c r="G28" i="128" s="1"/>
  <c r="M34" i="91" l="1"/>
  <c r="M36" i="91" s="1"/>
  <c r="G23" i="128" s="1"/>
  <c r="N77" i="91"/>
  <c r="N78" i="91" s="1"/>
  <c r="N80" i="91" s="1"/>
  <c r="N29" i="91" s="1"/>
  <c r="N34" i="91" s="1"/>
  <c r="N36" i="91" s="1"/>
  <c r="G24" i="128" s="1"/>
  <c r="AA17" i="91" l="1"/>
  <c r="G14" i="75" l="1"/>
  <c r="AW73" i="7" s="1"/>
  <c r="AW73" i="91" s="1"/>
  <c r="AW75" i="91" s="1"/>
  <c r="D10" i="75"/>
  <c r="G9" i="75"/>
  <c r="G20" i="74"/>
  <c r="G19" i="74"/>
  <c r="AU31" i="91" s="1"/>
  <c r="G18" i="74"/>
  <c r="AU73" i="91" s="1"/>
  <c r="AU75" i="91" s="1"/>
  <c r="G17" i="73"/>
  <c r="AV39" i="7" s="1"/>
  <c r="AV39" i="91" s="1"/>
  <c r="AV50" i="91" s="1"/>
  <c r="AV63" i="91" s="1"/>
  <c r="H66" i="128" s="1"/>
  <c r="G13" i="73"/>
  <c r="AV73" i="7" s="1"/>
  <c r="AV73" i="91" s="1"/>
  <c r="G9" i="73"/>
  <c r="AV26" i="7" s="1"/>
  <c r="AV26" i="91" s="1"/>
  <c r="AV68" i="91" s="1"/>
  <c r="G49" i="72"/>
  <c r="G48" i="72"/>
  <c r="G46" i="72"/>
  <c r="G45" i="72"/>
  <c r="G44" i="72"/>
  <c r="G43" i="72"/>
  <c r="G17" i="72"/>
  <c r="G16" i="72"/>
  <c r="G15" i="72"/>
  <c r="G14" i="72"/>
  <c r="G13" i="72"/>
  <c r="G12" i="72"/>
  <c r="G11" i="72"/>
  <c r="G10" i="72"/>
  <c r="G9" i="72"/>
  <c r="D12" i="70"/>
  <c r="G20" i="70"/>
  <c r="AQ73" i="7" s="1"/>
  <c r="AQ73" i="91" s="1"/>
  <c r="G17" i="70"/>
  <c r="G15" i="70"/>
  <c r="G11" i="70"/>
  <c r="G10" i="70"/>
  <c r="G9" i="70"/>
  <c r="G9" i="69"/>
  <c r="AP39" i="7" s="1"/>
  <c r="AP39" i="91" s="1"/>
  <c r="AP50" i="91" s="1"/>
  <c r="AP63" i="91" s="1"/>
  <c r="H60" i="128" s="1"/>
  <c r="G10" i="63"/>
  <c r="G10" i="62"/>
  <c r="AN31" i="7" s="1"/>
  <c r="AN31" i="91" s="1"/>
  <c r="AN34" i="91" s="1"/>
  <c r="AN36" i="91" s="1"/>
  <c r="G56" i="128" s="1"/>
  <c r="G12" i="62"/>
  <c r="AN55" i="7" s="1"/>
  <c r="AN55" i="91" s="1"/>
  <c r="AN61" i="91" s="1"/>
  <c r="AN63" i="91" s="1"/>
  <c r="H56" i="128" s="1"/>
  <c r="G9" i="57"/>
  <c r="AJ79" i="91" s="1"/>
  <c r="G10" i="53"/>
  <c r="G9" i="53"/>
  <c r="G19" i="85"/>
  <c r="G23" i="85"/>
  <c r="AC72" i="7" s="1"/>
  <c r="AC72" i="91" s="1"/>
  <c r="G20" i="85"/>
  <c r="G18" i="85"/>
  <c r="G17" i="85"/>
  <c r="G16" i="85"/>
  <c r="G15" i="85"/>
  <c r="G11" i="85"/>
  <c r="G10" i="85"/>
  <c r="G9" i="85"/>
  <c r="G8" i="85"/>
  <c r="D17" i="84"/>
  <c r="G9" i="84"/>
  <c r="G26" i="49"/>
  <c r="Z18" i="7" s="1"/>
  <c r="Z18" i="91" s="1"/>
  <c r="G12" i="49"/>
  <c r="S73" i="91"/>
  <c r="D21" i="27"/>
  <c r="AV75" i="91" l="1"/>
  <c r="AV76" i="91" s="1"/>
  <c r="AV30" i="91" s="1"/>
  <c r="AU76" i="91"/>
  <c r="AU30" i="91" s="1"/>
  <c r="AO28" i="91"/>
  <c r="AO68" i="91" s="1"/>
  <c r="AO75" i="91" s="1"/>
  <c r="G30" i="6"/>
  <c r="C79" i="91"/>
  <c r="AJ80" i="91"/>
  <c r="AJ29" i="91" s="1"/>
  <c r="S75" i="91"/>
  <c r="S76" i="91" s="1"/>
  <c r="S30" i="91" s="1"/>
  <c r="AA9" i="91"/>
  <c r="AA11" i="91" s="1"/>
  <c r="AW76" i="91"/>
  <c r="AW30" i="91" s="1"/>
  <c r="G57" i="72"/>
  <c r="AT44" i="7" s="1"/>
  <c r="AT44" i="91" s="1"/>
  <c r="H10" i="7"/>
  <c r="H10" i="91" s="1"/>
  <c r="H11" i="91" s="1"/>
  <c r="H68" i="91" s="1"/>
  <c r="H75" i="91" s="1"/>
  <c r="G13" i="26"/>
  <c r="AW75" i="7"/>
  <c r="AN61" i="7"/>
  <c r="AN63" i="7" s="1"/>
  <c r="C70" i="7"/>
  <c r="E71" i="6" s="1"/>
  <c r="AN34" i="7"/>
  <c r="AN36" i="7" s="1"/>
  <c r="G18" i="70"/>
  <c r="AQ41" i="7" s="1"/>
  <c r="AQ41" i="91" s="1"/>
  <c r="G12" i="69"/>
  <c r="AU55" i="91"/>
  <c r="AU61" i="91" s="1"/>
  <c r="AU63" i="91" s="1"/>
  <c r="H65" i="128" s="1"/>
  <c r="AB10" i="91"/>
  <c r="AB11" i="91" s="1"/>
  <c r="AB68" i="91" s="1"/>
  <c r="AB75" i="91" s="1"/>
  <c r="G10" i="75"/>
  <c r="AW59" i="7" s="1"/>
  <c r="AW59" i="91" s="1"/>
  <c r="AW61" i="91" s="1"/>
  <c r="AW63" i="91" s="1"/>
  <c r="H67" i="128" s="1"/>
  <c r="G11" i="53"/>
  <c r="AD53" i="91" s="1"/>
  <c r="AD61" i="91" s="1"/>
  <c r="AD63" i="91" s="1"/>
  <c r="H44" i="128" s="1"/>
  <c r="Z17" i="7"/>
  <c r="Z17" i="91" s="1"/>
  <c r="C17" i="91" s="1"/>
  <c r="D33" i="49"/>
  <c r="G19" i="71"/>
  <c r="AR57" i="7" s="1"/>
  <c r="AR57" i="91" s="1"/>
  <c r="G12" i="70"/>
  <c r="AQ23" i="7" s="1"/>
  <c r="AQ23" i="91" s="1"/>
  <c r="G18" i="72"/>
  <c r="AU77" i="91" l="1"/>
  <c r="AU78" i="91" s="1"/>
  <c r="AU80" i="91" s="1"/>
  <c r="AU29" i="91" s="1"/>
  <c r="AU34" i="91" s="1"/>
  <c r="AU36" i="91" s="1"/>
  <c r="G65" i="128" s="1"/>
  <c r="AO76" i="91"/>
  <c r="AO30" i="91" s="1"/>
  <c r="AB76" i="91"/>
  <c r="AB30" i="91" s="1"/>
  <c r="G11" i="6"/>
  <c r="AA18" i="91"/>
  <c r="AA24" i="91" s="1"/>
  <c r="AA68" i="91" s="1"/>
  <c r="AA75" i="91" s="1"/>
  <c r="S77" i="91"/>
  <c r="S78" i="91" s="1"/>
  <c r="S80" i="91" s="1"/>
  <c r="S29" i="91" s="1"/>
  <c r="S34" i="91" s="1"/>
  <c r="S36" i="91" s="1"/>
  <c r="G29" i="128" s="1"/>
  <c r="AW77" i="91"/>
  <c r="AW78" i="91" s="1"/>
  <c r="AW80" i="91" s="1"/>
  <c r="AW29" i="91" s="1"/>
  <c r="AW34" i="91" s="1"/>
  <c r="AW36" i="91" s="1"/>
  <c r="G67" i="128" s="1"/>
  <c r="AV77" i="91"/>
  <c r="AV78" i="91" s="1"/>
  <c r="AV80" i="91" s="1"/>
  <c r="AV29" i="91" s="1"/>
  <c r="AV34" i="91" s="1"/>
  <c r="AV36" i="91" s="1"/>
  <c r="G66" i="128" s="1"/>
  <c r="AR61" i="91"/>
  <c r="AR63" i="91" s="1"/>
  <c r="H62" i="128" s="1"/>
  <c r="C57" i="91"/>
  <c r="AQ24" i="91"/>
  <c r="AQ68" i="91" s="1"/>
  <c r="AQ75" i="91" s="1"/>
  <c r="C23" i="91"/>
  <c r="C44" i="91"/>
  <c r="AQ50" i="91"/>
  <c r="AQ63" i="91" s="1"/>
  <c r="H61" i="128" s="1"/>
  <c r="C41" i="91"/>
  <c r="H76" i="91"/>
  <c r="H30" i="91" s="1"/>
  <c r="G12" i="6"/>
  <c r="AJ31" i="91"/>
  <c r="AJ34" i="91" s="1"/>
  <c r="AJ36" i="91" s="1"/>
  <c r="G52" i="128" s="1"/>
  <c r="AW61" i="7"/>
  <c r="AW63" i="7" s="1"/>
  <c r="AT47" i="7"/>
  <c r="AT47" i="91" s="1"/>
  <c r="C47" i="91" s="1"/>
  <c r="AW76" i="7"/>
  <c r="AW30" i="7" s="1"/>
  <c r="G57" i="6"/>
  <c r="G55" i="6"/>
  <c r="C44" i="7"/>
  <c r="E46" i="6" s="1"/>
  <c r="G33" i="49"/>
  <c r="G43" i="6" l="1"/>
  <c r="G52" i="6" s="1"/>
  <c r="AO77" i="91"/>
  <c r="AO78" i="91" s="1"/>
  <c r="AO80" i="91" s="1"/>
  <c r="AO29" i="91" s="1"/>
  <c r="AO34" i="91" s="1"/>
  <c r="AO36" i="91" s="1"/>
  <c r="G57" i="128" s="1"/>
  <c r="AB77" i="91"/>
  <c r="AB78" i="91" s="1"/>
  <c r="AB80" i="91" s="1"/>
  <c r="AB29" i="91" s="1"/>
  <c r="AB34" i="91" s="1"/>
  <c r="AB36" i="91" s="1"/>
  <c r="G40" i="128" s="1"/>
  <c r="H77" i="91"/>
  <c r="H78" i="91" s="1"/>
  <c r="H80" i="91" s="1"/>
  <c r="H29" i="91" s="1"/>
  <c r="H34" i="91" s="1"/>
  <c r="H36" i="91" s="1"/>
  <c r="G16" i="128" s="1"/>
  <c r="AT50" i="91"/>
  <c r="AT63" i="91" s="1"/>
  <c r="H64" i="128" s="1"/>
  <c r="AQ76" i="91"/>
  <c r="AQ30" i="91" s="1"/>
  <c r="AA76" i="91"/>
  <c r="AA30" i="91" s="1"/>
  <c r="G80" i="6"/>
  <c r="C47" i="7"/>
  <c r="E49" i="6" s="1"/>
  <c r="AW77" i="7"/>
  <c r="AW78" i="7" s="1"/>
  <c r="AW80" i="7" s="1"/>
  <c r="AW29" i="7" s="1"/>
  <c r="AQ77" i="91" l="1"/>
  <c r="AQ78" i="91" s="1"/>
  <c r="AQ80" i="91" s="1"/>
  <c r="AQ29" i="91" s="1"/>
  <c r="AQ34" i="91" s="1"/>
  <c r="AQ36" i="91" s="1"/>
  <c r="G61" i="128" s="1"/>
  <c r="AA77" i="91"/>
  <c r="AA78" i="91" s="1"/>
  <c r="AA80" i="91" s="1"/>
  <c r="AA29" i="91" s="1"/>
  <c r="AA34" i="91" s="1"/>
  <c r="AA36" i="91" s="1"/>
  <c r="G39" i="128" s="1"/>
  <c r="AW34" i="7"/>
  <c r="AW36" i="7" s="1"/>
  <c r="F50" i="6"/>
  <c r="H50" i="6" s="1"/>
  <c r="F47" i="6"/>
  <c r="H47" i="6" s="1"/>
  <c r="F42" i="6"/>
  <c r="H42" i="6" s="1"/>
  <c r="F34" i="6"/>
  <c r="H34" i="6" s="1"/>
  <c r="F24" i="6"/>
  <c r="H24" i="6" s="1"/>
  <c r="F17" i="6"/>
  <c r="H17" i="6" s="1"/>
  <c r="F10" i="6"/>
  <c r="H10" i="6" s="1"/>
  <c r="L10" i="6" l="1"/>
  <c r="H70" i="6"/>
  <c r="C49" i="7" l="1"/>
  <c r="E51" i="6" s="1"/>
  <c r="AC73" i="7"/>
  <c r="AC73" i="91" s="1"/>
  <c r="AC56" i="7"/>
  <c r="AC56" i="91" s="1"/>
  <c r="C56" i="91" s="1"/>
  <c r="AC55" i="7"/>
  <c r="AC55" i="91" s="1"/>
  <c r="C55" i="91" s="1"/>
  <c r="AC53" i="7"/>
  <c r="AC53" i="91" s="1"/>
  <c r="AC39" i="7"/>
  <c r="AC39" i="91" s="1"/>
  <c r="AC31" i="7"/>
  <c r="AC31" i="91" s="1"/>
  <c r="AC28" i="7"/>
  <c r="AC28" i="91" s="1"/>
  <c r="C28" i="91" s="1"/>
  <c r="AC26" i="7"/>
  <c r="C26" i="7" l="1"/>
  <c r="E28" i="6" s="1"/>
  <c r="AC26" i="91"/>
  <c r="AC61" i="91"/>
  <c r="C53" i="91"/>
  <c r="AC50" i="91"/>
  <c r="AC63" i="91" s="1"/>
  <c r="H41" i="128" s="1"/>
  <c r="C39" i="91"/>
  <c r="C50" i="91" s="1"/>
  <c r="C31" i="7"/>
  <c r="E33" i="6" s="1"/>
  <c r="C56" i="7"/>
  <c r="E58" i="6" s="1"/>
  <c r="C28" i="7"/>
  <c r="E30" i="6" s="1"/>
  <c r="C27" i="7"/>
  <c r="AT61" i="7"/>
  <c r="C39" i="7"/>
  <c r="E41" i="6" s="1"/>
  <c r="AT24" i="7"/>
  <c r="AT11" i="7"/>
  <c r="I10" i="7"/>
  <c r="I10" i="91" s="1"/>
  <c r="AC61" i="7"/>
  <c r="AC50" i="7"/>
  <c r="E29" i="6" l="1"/>
  <c r="F29" i="6" s="1"/>
  <c r="H29" i="6" s="1"/>
  <c r="AC68" i="91"/>
  <c r="AC75" i="91" s="1"/>
  <c r="C26" i="91"/>
  <c r="I11"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AC76" i="91"/>
  <c r="AC30" i="91" s="1"/>
  <c r="F71" i="6"/>
  <c r="H71" i="6" s="1"/>
  <c r="AC68" i="7"/>
  <c r="AC75" i="7" s="1"/>
  <c r="AC76" i="7" s="1"/>
  <c r="AC30" i="7" s="1"/>
  <c r="AT77" i="7"/>
  <c r="AT78" i="7" s="1"/>
  <c r="AT80" i="7" s="1"/>
  <c r="AT29" i="7" s="1"/>
  <c r="AC77" i="91" l="1"/>
  <c r="AC78" i="91" s="1"/>
  <c r="AC80" i="91" s="1"/>
  <c r="AC29" i="91" s="1"/>
  <c r="AC34" i="91" s="1"/>
  <c r="AC36" i="91" s="1"/>
  <c r="G41" i="128" s="1"/>
  <c r="E52" i="6"/>
  <c r="AC77" i="7"/>
  <c r="AC78" i="7" s="1"/>
  <c r="AC80" i="7" s="1"/>
  <c r="AC29" i="7" s="1"/>
  <c r="Z14" i="7"/>
  <c r="Z14" i="91" s="1"/>
  <c r="Z24" i="91" s="1"/>
  <c r="Z9" i="7"/>
  <c r="Z9" i="91" s="1"/>
  <c r="I18" i="7"/>
  <c r="I18" i="91" s="1"/>
  <c r="I24" i="91" l="1"/>
  <c r="I68" i="91" s="1"/>
  <c r="I75" i="91" s="1"/>
  <c r="C18" i="91"/>
  <c r="Z11" i="91"/>
  <c r="Z68" i="91" s="1"/>
  <c r="Z75" i="91" s="1"/>
  <c r="C9" i="91"/>
  <c r="AT34" i="7"/>
  <c r="AT36" i="7" s="1"/>
  <c r="C9" i="7"/>
  <c r="F12" i="6"/>
  <c r="H12" i="6" s="1"/>
  <c r="G21" i="25"/>
  <c r="G22" i="25"/>
  <c r="G23" i="25"/>
  <c r="G20" i="25"/>
  <c r="G14" i="25"/>
  <c r="F9" i="25"/>
  <c r="G9" i="25" s="1"/>
  <c r="G10" i="25"/>
  <c r="D15" i="25"/>
  <c r="D11" i="25"/>
  <c r="G31" i="91" l="1"/>
  <c r="E11" i="6"/>
  <c r="F11" i="6" s="1"/>
  <c r="H11" i="6" s="1"/>
  <c r="L11" i="6" s="1"/>
  <c r="Z76" i="91"/>
  <c r="Z30" i="91" s="1"/>
  <c r="I76" i="91"/>
  <c r="I30" i="91" s="1"/>
  <c r="C31" i="91"/>
  <c r="L12" i="6"/>
  <c r="G72" i="91"/>
  <c r="C73" i="7"/>
  <c r="E74" i="6" s="1"/>
  <c r="G73" i="91"/>
  <c r="AC34" i="7"/>
  <c r="AC36" i="7" s="1"/>
  <c r="G11" i="25"/>
  <c r="G15" i="25"/>
  <c r="G59" i="91" s="1"/>
  <c r="G61" i="91" s="1"/>
  <c r="G63" i="91" s="1"/>
  <c r="H15" i="128" s="1"/>
  <c r="G10" i="24"/>
  <c r="G11" i="24"/>
  <c r="G12" i="24"/>
  <c r="G9" i="24"/>
  <c r="D13" i="24"/>
  <c r="G10" i="23"/>
  <c r="G11" i="23"/>
  <c r="G12" i="23"/>
  <c r="G9" i="23"/>
  <c r="D14" i="23"/>
  <c r="D14" i="21"/>
  <c r="G33" i="6" l="1"/>
  <c r="I77" i="91"/>
  <c r="I78" i="91" s="1"/>
  <c r="I80" i="91" s="1"/>
  <c r="I29" i="91" s="1"/>
  <c r="I34" i="91" s="1"/>
  <c r="I36" i="91" s="1"/>
  <c r="G17" i="128" s="1"/>
  <c r="Z77" i="91"/>
  <c r="Z78" i="91" s="1"/>
  <c r="Z80" i="91" s="1"/>
  <c r="Z29" i="91" s="1"/>
  <c r="Z34" i="91" s="1"/>
  <c r="Z36" i="91" s="1"/>
  <c r="G38" i="128" s="1"/>
  <c r="G74" i="6"/>
  <c r="G73" i="6"/>
  <c r="C72" i="91"/>
  <c r="G61" i="6"/>
  <c r="G62" i="6" s="1"/>
  <c r="G64" i="6" s="1"/>
  <c r="G14" i="23"/>
  <c r="C33" i="7"/>
  <c r="G33" i="91"/>
  <c r="G68" i="91" s="1"/>
  <c r="G75" i="91" s="1"/>
  <c r="C72" i="7"/>
  <c r="E73" i="6" s="1"/>
  <c r="C59" i="7"/>
  <c r="G13" i="24"/>
  <c r="F7" i="7" s="1"/>
  <c r="F7" i="91" s="1"/>
  <c r="F11" i="91" s="1"/>
  <c r="F68" i="91" s="1"/>
  <c r="F75" i="91" s="1"/>
  <c r="E7" i="7"/>
  <c r="E7" i="91" s="1"/>
  <c r="E11" i="91" s="1"/>
  <c r="E68" i="91" s="1"/>
  <c r="E75" i="91" s="1"/>
  <c r="G14" i="21"/>
  <c r="G76" i="91" l="1"/>
  <c r="G30" i="91" s="1"/>
  <c r="F76" i="91"/>
  <c r="F30" i="91" s="1"/>
  <c r="E35" i="6"/>
  <c r="F35" i="6" s="1"/>
  <c r="E76" i="91"/>
  <c r="E30" i="91" s="1"/>
  <c r="E61" i="6"/>
  <c r="F61" i="6" s="1"/>
  <c r="G35" i="6"/>
  <c r="C59" i="91"/>
  <c r="C61" i="91" s="1"/>
  <c r="C63" i="91" s="1"/>
  <c r="F11" i="7"/>
  <c r="F68" i="7" s="1"/>
  <c r="F75" i="7" s="1"/>
  <c r="F76" i="7" s="1"/>
  <c r="F77" i="7" s="1"/>
  <c r="F78" i="7" s="1"/>
  <c r="F80" i="7" s="1"/>
  <c r="G9" i="6"/>
  <c r="G13" i="6" s="1"/>
  <c r="K13" i="69"/>
  <c r="G77" i="91" l="1"/>
  <c r="G78" i="91" s="1"/>
  <c r="G80" i="91" s="1"/>
  <c r="G29" i="91" s="1"/>
  <c r="G34" i="91" s="1"/>
  <c r="G36" i="91" s="1"/>
  <c r="G15" i="128" s="1"/>
  <c r="H35" i="6"/>
  <c r="E77" i="91"/>
  <c r="E78" i="91" s="1"/>
  <c r="E80" i="91" s="1"/>
  <c r="E29" i="91" s="1"/>
  <c r="E34" i="91" s="1"/>
  <c r="E36" i="91" s="1"/>
  <c r="G13" i="128" s="1"/>
  <c r="F77" i="91"/>
  <c r="F78" i="91" s="1"/>
  <c r="F80" i="91" s="1"/>
  <c r="F29" i="91" s="1"/>
  <c r="F34" i="91" s="1"/>
  <c r="F36" i="91" s="1"/>
  <c r="G14" i="128" s="1"/>
  <c r="F29" i="7"/>
  <c r="F34" i="7" s="1"/>
  <c r="F36" i="7" s="1"/>
  <c r="C33" i="91"/>
  <c r="H61" i="6"/>
  <c r="C54" i="7"/>
  <c r="F28" i="6"/>
  <c r="H28" i="6" s="1"/>
  <c r="C53" i="7"/>
  <c r="C55" i="7"/>
  <c r="F33" i="6"/>
  <c r="H33" i="6" s="1"/>
  <c r="F58" i="6"/>
  <c r="H58" i="6" s="1"/>
  <c r="E55" i="6" l="1"/>
  <c r="F55" i="6" s="1"/>
  <c r="H55" i="6" s="1"/>
  <c r="E56" i="6"/>
  <c r="F56" i="6" s="1"/>
  <c r="H56" i="6" s="1"/>
  <c r="E57" i="6"/>
  <c r="F57" i="6" s="1"/>
  <c r="H57" i="6" s="1"/>
  <c r="F74" i="6"/>
  <c r="H74" i="6" s="1"/>
  <c r="L74" i="6" s="1"/>
  <c r="F30" i="6"/>
  <c r="C61" i="7"/>
  <c r="E62" i="6" l="1"/>
  <c r="F73" i="6"/>
  <c r="H73" i="6" s="1"/>
  <c r="L73" i="6" s="1"/>
  <c r="F62" i="6"/>
  <c r="E64" i="6" l="1"/>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2" i="6"/>
  <c r="C52" i="6"/>
  <c r="C26" i="6"/>
  <c r="L45" i="6"/>
  <c r="L46" i="6"/>
  <c r="L47" i="6"/>
  <c r="L49" i="6"/>
  <c r="L50" i="6"/>
  <c r="L51" i="6"/>
  <c r="L55" i="6"/>
  <c r="L56" i="6"/>
  <c r="L58" i="6"/>
  <c r="L59" i="6"/>
  <c r="L60" i="6"/>
  <c r="L61" i="6"/>
  <c r="L28" i="6"/>
  <c r="L34" i="6"/>
  <c r="L71" i="6"/>
  <c r="AI75" i="7"/>
  <c r="AI76" i="7" s="1"/>
  <c r="AI77" i="7" s="1"/>
  <c r="C36" i="6" l="1"/>
  <c r="C69" i="6"/>
  <c r="AV63" i="7"/>
  <c r="AP63" i="7"/>
  <c r="AP76" i="7"/>
  <c r="AP77" i="7" s="1"/>
  <c r="AP78" i="7" s="1"/>
  <c r="AP80" i="7" s="1"/>
  <c r="AP29" i="7" s="1"/>
  <c r="H9" i="6"/>
  <c r="AO75" i="7"/>
  <c r="AO76" i="7" s="1"/>
  <c r="AO30" i="7" s="1"/>
  <c r="AQ68" i="7"/>
  <c r="AQ75" i="7" s="1"/>
  <c r="AQ76" i="7" s="1"/>
  <c r="AQ30" i="7" s="1"/>
  <c r="AX68" i="7"/>
  <c r="AX75" i="7" s="1"/>
  <c r="AX76" i="7" s="1"/>
  <c r="AX30" i="7" s="1"/>
  <c r="AH63" i="7"/>
  <c r="AJ63" i="7"/>
  <c r="F52" i="6"/>
  <c r="F64"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4" i="6"/>
  <c r="AL63" i="7"/>
  <c r="AU63" i="7"/>
  <c r="AI30" i="7"/>
  <c r="C76" i="6"/>
  <c r="C78" i="6" s="1"/>
  <c r="C79" i="6" s="1"/>
  <c r="C38" i="6"/>
  <c r="G9" i="128" s="1"/>
  <c r="L44" i="6"/>
  <c r="L57" i="6"/>
  <c r="L62" i="6" s="1"/>
  <c r="H62" i="6"/>
  <c r="AP30" i="7" l="1"/>
  <c r="D30" i="8"/>
  <c r="C30" i="8"/>
  <c r="C31" i="8" s="1"/>
  <c r="C8" i="8" s="1"/>
  <c r="H13" i="6"/>
  <c r="H9" i="128"/>
  <c r="G16" i="55"/>
  <c r="G18" i="55" s="1"/>
  <c r="AK77" i="7"/>
  <c r="AK78" i="7" s="1"/>
  <c r="AK80" i="7" s="1"/>
  <c r="AK29" i="7" s="1"/>
  <c r="AO77" i="7"/>
  <c r="AO78" i="7" s="1"/>
  <c r="AO80" i="7" s="1"/>
  <c r="C80" i="6"/>
  <c r="F80" i="6" s="1"/>
  <c r="H80"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6" i="6"/>
  <c r="E30" i="7"/>
  <c r="D31" i="8" l="1"/>
  <c r="D8" i="8" s="1"/>
  <c r="C24" i="8"/>
  <c r="C11" i="8"/>
  <c r="H75" i="128"/>
  <c r="AO29" i="7"/>
  <c r="AO34" i="7" s="1"/>
  <c r="AO36" i="7" s="1"/>
  <c r="C81"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2"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4" i="6" s="1"/>
  <c r="D30" i="7"/>
  <c r="D77" i="7"/>
  <c r="D78" i="7" s="1"/>
  <c r="D80" i="7" s="1"/>
  <c r="F81" i="128" l="1"/>
  <c r="C21" i="8"/>
  <c r="D17" i="8"/>
  <c r="D19" i="8" s="1"/>
  <c r="E17" i="10" s="1"/>
  <c r="H64"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E7" i="10"/>
  <c r="E11" i="10" s="1"/>
  <c r="F11" i="10" s="1"/>
  <c r="G25" i="55"/>
  <c r="G27" i="55" s="1"/>
  <c r="G30" i="55" s="1"/>
  <c r="AH75" i="7"/>
  <c r="AH76" i="7" s="1"/>
  <c r="D34" i="7"/>
  <c r="D36" i="7" s="1"/>
  <c r="AH71" i="87" l="1"/>
  <c r="F78" i="128"/>
  <c r="F79" i="128" s="1"/>
  <c r="J52" i="128"/>
  <c r="K52" i="128" s="1"/>
  <c r="J40" i="128"/>
  <c r="K40" i="128" s="1"/>
  <c r="J57" i="128"/>
  <c r="K57" i="128" s="1"/>
  <c r="J18" i="128"/>
  <c r="K18" i="128" s="1"/>
  <c r="J74" i="128"/>
  <c r="K74" i="128" s="1"/>
  <c r="J15" i="128"/>
  <c r="K15" i="128" s="1"/>
  <c r="J51" i="128"/>
  <c r="K51" i="128" s="1"/>
  <c r="J54" i="128"/>
  <c r="K54" i="128" s="1"/>
  <c r="J44" i="128"/>
  <c r="K44" i="128" s="1"/>
  <c r="J65" i="128"/>
  <c r="K65" i="128" s="1"/>
  <c r="J63" i="128"/>
  <c r="K63" i="128" s="1"/>
  <c r="J19" i="128"/>
  <c r="K19" i="128" s="1"/>
  <c r="J53" i="128"/>
  <c r="K53" i="128" s="1"/>
  <c r="J47" i="128"/>
  <c r="K47" i="128" s="1"/>
  <c r="J34" i="128"/>
  <c r="K34" i="128" s="1"/>
  <c r="J35" i="128"/>
  <c r="K35" i="128" s="1"/>
  <c r="J45" i="128"/>
  <c r="K45" i="128" s="1"/>
  <c r="J27" i="128"/>
  <c r="K27" i="128" s="1"/>
  <c r="J24" i="128"/>
  <c r="K24" i="128" s="1"/>
  <c r="J20" i="128"/>
  <c r="K20" i="128" s="1"/>
  <c r="J32" i="128"/>
  <c r="K32" i="128" s="1"/>
  <c r="J72" i="128"/>
  <c r="K72" i="128" s="1"/>
  <c r="J26" i="128"/>
  <c r="K26" i="128" s="1"/>
  <c r="J71" i="128"/>
  <c r="K71" i="128" s="1"/>
  <c r="J70" i="128"/>
  <c r="K70" i="128" s="1"/>
  <c r="J46" i="128"/>
  <c r="K46" i="128" s="1"/>
  <c r="J29" i="128"/>
  <c r="K29" i="128" s="1"/>
  <c r="J23" i="128"/>
  <c r="K23" i="128" s="1"/>
  <c r="J33" i="128"/>
  <c r="K33" i="128" s="1"/>
  <c r="J30" i="128"/>
  <c r="K30" i="128" s="1"/>
  <c r="J31" i="128"/>
  <c r="K31" i="128" s="1"/>
  <c r="J55" i="128"/>
  <c r="K55" i="128" s="1"/>
  <c r="J69" i="128"/>
  <c r="K69" i="128" s="1"/>
  <c r="J68" i="128"/>
  <c r="K68" i="128" s="1"/>
  <c r="J28" i="128"/>
  <c r="K28" i="128" s="1"/>
  <c r="J60" i="128"/>
  <c r="K60" i="128" s="1"/>
  <c r="J56" i="128"/>
  <c r="K56" i="128" s="1"/>
  <c r="J66" i="128"/>
  <c r="K66" i="128" s="1"/>
  <c r="J67" i="128"/>
  <c r="K67" i="128" s="1"/>
  <c r="J62" i="128"/>
  <c r="K62" i="128" s="1"/>
  <c r="J16" i="128"/>
  <c r="K16" i="128" s="1"/>
  <c r="J64" i="128"/>
  <c r="K64" i="128" s="1"/>
  <c r="J61" i="128"/>
  <c r="K61" i="128" s="1"/>
  <c r="J39" i="128"/>
  <c r="K39" i="128" s="1"/>
  <c r="J41" i="128"/>
  <c r="K41" i="128" s="1"/>
  <c r="J38" i="128"/>
  <c r="K38" i="128" s="1"/>
  <c r="J17" i="128"/>
  <c r="K17" i="128" s="1"/>
  <c r="J13" i="128"/>
  <c r="K13" i="128" s="1"/>
  <c r="J14" i="128"/>
  <c r="K14" i="128" s="1"/>
  <c r="J12" i="128"/>
  <c r="K12" i="128" s="1"/>
  <c r="J9" i="128"/>
  <c r="K9" i="128" s="1"/>
  <c r="G11" i="55"/>
  <c r="G12" i="55" s="1"/>
  <c r="D12" i="55"/>
  <c r="AH77" i="7"/>
  <c r="AH78" i="7" s="1"/>
  <c r="AH80" i="7" s="1"/>
  <c r="AH29" i="7" s="1"/>
  <c r="C71" i="87" l="1"/>
  <c r="AH75" i="87"/>
  <c r="AH71" i="91"/>
  <c r="C73" i="91"/>
  <c r="F72" i="6"/>
  <c r="AH34" i="7"/>
  <c r="AH36" i="7" s="1"/>
  <c r="AH76" i="87" l="1"/>
  <c r="AH77" i="87" s="1"/>
  <c r="AH78" i="87" s="1"/>
  <c r="AH80" i="87" s="1"/>
  <c r="AH75" i="91"/>
  <c r="C71" i="91"/>
  <c r="C75" i="87"/>
  <c r="G72" i="6"/>
  <c r="H72" i="6" l="1"/>
  <c r="AH29" i="87"/>
  <c r="C83" i="87"/>
  <c r="AH76" i="91"/>
  <c r="AH30" i="91" s="1"/>
  <c r="AH30" i="87"/>
  <c r="C30" i="87" s="1"/>
  <c r="C76" i="87"/>
  <c r="C77" i="87" s="1"/>
  <c r="C78" i="87" s="1"/>
  <c r="C80" i="87" s="1"/>
  <c r="L72" i="6" l="1"/>
  <c r="C29" i="87"/>
  <c r="C34" i="87" s="1"/>
  <c r="C36" i="87" s="1"/>
  <c r="C84" i="87"/>
  <c r="AH77" i="91"/>
  <c r="AH78" i="91" s="1"/>
  <c r="AH80" i="91" s="1"/>
  <c r="AH29" i="91" s="1"/>
  <c r="AH34" i="91" s="1"/>
  <c r="AH36" i="91" s="1"/>
  <c r="G50" i="128" s="1"/>
  <c r="AH34" i="87"/>
  <c r="AH36" i="87" s="1"/>
  <c r="I50" i="128" l="1"/>
  <c r="J50" i="128"/>
  <c r="K50" i="128" s="1"/>
  <c r="AJ75" i="7"/>
  <c r="AJ76" i="7" l="1"/>
  <c r="AJ77" i="7" s="1"/>
  <c r="AJ78" i="7" s="1"/>
  <c r="AJ80" i="7" s="1"/>
  <c r="AJ29" i="7" s="1"/>
  <c r="AJ30" i="7" l="1"/>
  <c r="AJ34" i="7" l="1"/>
  <c r="AJ36" i="7" s="1"/>
  <c r="Z24" i="7" l="1"/>
  <c r="Z68" i="7" s="1"/>
  <c r="Z75" i="7" l="1"/>
  <c r="Z76" i="7" l="1"/>
  <c r="Z77" i="7" l="1"/>
  <c r="Z78" i="7" s="1"/>
  <c r="Z80" i="7" s="1"/>
  <c r="Z29" i="7" s="1"/>
  <c r="Z34" i="7" l="1"/>
  <c r="Z36" i="7" s="1"/>
  <c r="L80"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N30" i="7"/>
  <c r="N77" i="7"/>
  <c r="N78" i="7" s="1"/>
  <c r="N80" i="7" s="1"/>
  <c r="N29" i="7" s="1"/>
  <c r="E26" i="6" l="1"/>
  <c r="E69" i="6" s="1"/>
  <c r="C75" i="7"/>
  <c r="F69" i="6" l="1"/>
  <c r="F76" i="6" s="1"/>
  <c r="E76" i="6"/>
  <c r="N34" i="7"/>
  <c r="N36" i="7" s="1"/>
  <c r="Q68" i="7" l="1"/>
  <c r="C67" i="7" s="1"/>
  <c r="Q75" i="7" l="1"/>
  <c r="Q76" i="7" l="1"/>
  <c r="C76" i="7" l="1"/>
  <c r="E77" i="6" s="1"/>
  <c r="E32" i="6" s="1"/>
  <c r="Q30" i="7"/>
  <c r="Q77" i="7"/>
  <c r="Q78" i="7" s="1"/>
  <c r="Q80" i="7" s="1"/>
  <c r="Q29" i="7" s="1"/>
  <c r="C30" i="7" l="1"/>
  <c r="C80" i="7"/>
  <c r="C77" i="7"/>
  <c r="C78" i="7" s="1"/>
  <c r="F32" i="6" l="1"/>
  <c r="F77" i="6"/>
  <c r="C29" i="7"/>
  <c r="Q34" i="7"/>
  <c r="Q36" i="7" s="1"/>
  <c r="C34" i="7" l="1"/>
  <c r="C36" i="7" s="1"/>
  <c r="H77" i="6"/>
  <c r="L77" i="6" s="1"/>
  <c r="G12" i="27" l="1"/>
  <c r="D12" i="27"/>
  <c r="G7" i="34" l="1"/>
  <c r="G10" i="34"/>
  <c r="G17" i="34" l="1"/>
  <c r="G69" i="34" s="1"/>
  <c r="O14" i="91" l="1"/>
  <c r="O16" i="91"/>
  <c r="G16" i="6"/>
  <c r="O24" i="91" l="1"/>
  <c r="O68" i="91" s="1"/>
  <c r="O75" i="91" s="1"/>
  <c r="O76" i="91" s="1"/>
  <c r="O30" i="91" s="1"/>
  <c r="C16" i="91"/>
  <c r="C14" i="91"/>
  <c r="O77" i="91" l="1"/>
  <c r="O78" i="91" s="1"/>
  <c r="O80" i="91" s="1"/>
  <c r="O29" i="91" s="1"/>
  <c r="O34" i="91" s="1"/>
  <c r="O36" i="91" s="1"/>
  <c r="G25" i="128" s="1"/>
  <c r="C24" i="91"/>
  <c r="C68" i="91" s="1"/>
  <c r="G18" i="6"/>
  <c r="C67" i="91"/>
  <c r="H16" i="6"/>
  <c r="H18" i="6" l="1"/>
  <c r="L18" i="6" s="1"/>
  <c r="I25" i="128"/>
  <c r="I75" i="128" s="1"/>
  <c r="J25" i="128"/>
  <c r="K25" i="128" s="1"/>
  <c r="K75" i="128" s="1"/>
  <c r="G75" i="128"/>
  <c r="L16" i="6"/>
  <c r="I78" i="128" l="1"/>
  <c r="I79" i="128" s="1"/>
  <c r="I77" i="128"/>
  <c r="G19" i="6"/>
  <c r="G20" i="6"/>
  <c r="G21" i="6"/>
  <c r="G22" i="6"/>
  <c r="G23" i="6"/>
  <c r="G25" i="6"/>
  <c r="G26" i="6" l="1"/>
  <c r="G69" i="6" s="1"/>
  <c r="G76" i="6" s="1"/>
  <c r="H25" i="6"/>
  <c r="H23" i="6"/>
  <c r="H22" i="6"/>
  <c r="H21" i="6"/>
  <c r="H20" i="6"/>
  <c r="C70" i="91" l="1"/>
  <c r="C75" i="91" s="1"/>
  <c r="L20" i="6"/>
  <c r="L21" i="6"/>
  <c r="L25" i="6"/>
  <c r="L23" i="6"/>
  <c r="H19" i="6"/>
  <c r="L19" i="6" l="1"/>
  <c r="H26" i="6"/>
  <c r="C80" i="91" l="1"/>
  <c r="C30" i="91"/>
  <c r="C76" i="91"/>
  <c r="C77" i="91" s="1"/>
  <c r="C78" i="91" s="1"/>
  <c r="BE81" i="7"/>
  <c r="G77" i="6"/>
  <c r="G78" i="6" l="1"/>
  <c r="G79" i="6" s="1"/>
  <c r="G81" i="6" s="1"/>
  <c r="G32" i="6"/>
  <c r="H32" i="6" s="1"/>
  <c r="L32" i="6" s="1"/>
  <c r="C29" i="91"/>
  <c r="C34" i="91" s="1"/>
  <c r="C36" i="91" s="1"/>
  <c r="F75" i="128" l="1"/>
  <c r="J75" i="128"/>
  <c r="H69" i="6" l="1"/>
  <c r="E78" i="6"/>
  <c r="E79" i="6" s="1"/>
  <c r="F79" i="6" s="1"/>
  <c r="F78" i="6"/>
  <c r="H76" i="6" l="1"/>
  <c r="H78" i="6" s="1"/>
  <c r="H79" i="6"/>
  <c r="F81" i="6"/>
  <c r="G31" i="6"/>
  <c r="E81" i="6"/>
  <c r="E31" i="6" s="1"/>
  <c r="G36" i="6" l="1"/>
  <c r="G38" i="6" s="1"/>
  <c r="F31" i="6"/>
  <c r="H31" i="6" s="1"/>
  <c r="E36" i="6"/>
  <c r="E38" i="6" s="1"/>
  <c r="H81" i="6"/>
  <c r="H36" i="6" l="1"/>
  <c r="H38" i="6" s="1"/>
  <c r="F36" i="6"/>
  <c r="F38" i="6" s="1"/>
  <c r="F66" i="6" s="1"/>
  <c r="E13" i="10" l="1"/>
  <c r="H66" i="6"/>
  <c r="E15" i="10" l="1"/>
  <c r="F13" i="10"/>
  <c r="E19" i="10" l="1"/>
  <c r="F15" i="10"/>
  <c r="F19" i="10" l="1"/>
  <c r="J9" i="6"/>
  <c r="J8" i="6" l="1"/>
  <c r="L9" i="6"/>
  <c r="L13" i="6" s="1"/>
  <c r="J13" i="6"/>
  <c r="J22" i="6"/>
  <c r="J30" i="6"/>
  <c r="L30" i="6" s="1"/>
  <c r="L22" i="6" l="1"/>
  <c r="L26" i="6" s="1"/>
  <c r="L69" i="6" s="1"/>
  <c r="L76" i="6" s="1"/>
  <c r="J26" i="6"/>
  <c r="J69" i="6" s="1"/>
  <c r="J76" i="6" s="1"/>
  <c r="L78" i="6" l="1"/>
  <c r="L79" i="6" s="1"/>
  <c r="L81" i="6" s="1"/>
  <c r="J78" i="6"/>
  <c r="J79" i="6" s="1"/>
  <c r="J81" i="6" s="1"/>
  <c r="J31" i="6" l="1"/>
  <c r="L31" i="6"/>
  <c r="J36" i="6"/>
  <c r="J38" i="6" s="1"/>
  <c r="L36" i="6" l="1"/>
  <c r="L38" i="6" s="1"/>
  <c r="L66" i="6" s="1"/>
</calcChain>
</file>

<file path=xl/sharedStrings.xml><?xml version="1.0" encoding="utf-8"?>
<sst xmlns="http://schemas.openxmlformats.org/spreadsheetml/2006/main" count="5686" uniqueCount="1116">
  <si>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</si>
  <si>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</si>
  <si>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</si>
  <si>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</si>
  <si>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</si>
  <si>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</si>
  <si>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</si>
  <si>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</si>
  <si>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</si>
  <si>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</si>
  <si>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</si>
  <si>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</si>
  <si>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</si>
  <si>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</si>
  <si>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</si>
  <si>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</si>
  <si>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</si>
  <si>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</si>
  <si>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</si>
  <si>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</si>
  <si>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</si>
  <si>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</si>
  <si>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</si>
  <si>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</si>
  <si>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</si>
  <si>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</si>
  <si>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</si>
  <si>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</si>
  <si>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</si>
  <si>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</si>
  <si>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</si>
  <si>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</si>
  <si>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</si>
  <si>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</si>
  <si>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</si>
  <si>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</si>
  <si>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</si>
  <si>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</si>
  <si>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</si>
  <si>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</si>
  <si>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</si>
  <si>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</si>
  <si>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</si>
  <si>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</si>
  <si>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</si>
  <si>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</si>
  <si>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</si>
  <si>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</si>
  <si>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</si>
  <si>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</si>
  <si>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</si>
  <si>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</si>
  <si>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</si>
  <si>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</si>
  <si>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</si>
  <si>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</si>
  <si>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</si>
  <si>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</si>
  <si>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</si>
  <si>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</si>
  <si>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</si>
  <si>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</si>
  <si>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</si>
  <si>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</si>
  <si>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</si>
  <si>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</si>
  <si>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</si>
  <si>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</si>
  <si>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</si>
  <si>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</si>
  <si>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</si>
  <si>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</si>
  <si>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</si>
  <si>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</si>
  <si>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</si>
  <si>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</si>
  <si>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</si>
  <si>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</si>
  <si>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</si>
  <si>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</si>
  <si>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</si>
  <si>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</si>
  <si>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</si>
  <si>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</si>
  <si>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</si>
  <si>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</si>
  <si>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</si>
  <si>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</si>
  <si>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</si>
  <si>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</si>
  <si>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</si>
  <si>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</si>
  <si>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</si>
  <si>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</si>
  <si>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</si>
  <si>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</si>
  <si>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</si>
  <si>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</si>
  <si>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</si>
  <si>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</si>
  <si>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</si>
  <si>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</si>
  <si>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</si>
  <si>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</si>
  <si>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</si>
  <si>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</si>
  <si>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</si>
  <si>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</si>
  <si>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</si>
  <si>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</si>
  <si>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</si>
  <si>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</si>
  <si>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</si>
  <si>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</si>
  <si>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</si>
  <si>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</si>
  <si>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</si>
  <si>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</si>
  <si>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</si>
  <si>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</si>
  <si>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</si>
  <si>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</si>
  <si>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</si>
  <si>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</si>
  <si>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</si>
  <si>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</si>
  <si>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</si>
  <si>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</si>
  <si>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</si>
  <si>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</si>
  <si>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</si>
  <si>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</si>
  <si>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</si>
  <si>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</si>
  <si>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</si>
  <si>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</si>
  <si>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</si>
  <si>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</si>
  <si>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</si>
  <si>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</si>
  <si>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</si>
  <si>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</si>
  <si>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</si>
  <si>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</si>
  <si>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</si>
  <si>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</si>
  <si>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</si>
  <si>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</si>
  <si>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</si>
  <si>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</si>
  <si>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</si>
  <si>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</si>
  <si>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</si>
  <si>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</si>
  <si>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</si>
  <si>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</si>
  <si>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</si>
  <si>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</si>
  <si>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</si>
  <si>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</si>
  <si>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</si>
  <si>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</si>
  <si>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</si>
  <si>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</si>
  <si>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</si>
  <si>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</si>
  <si>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</si>
  <si>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</si>
  <si>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</si>
  <si>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</si>
  <si>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</si>
  <si>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</si>
  <si>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</si>
  <si>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</si>
  <si>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</si>
  <si>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</si>
  <si>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</si>
  <si>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</si>
  <si>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</si>
  <si>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</si>
  <si>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</si>
  <si>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</si>
  <si>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</si>
  <si>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</si>
  <si>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</si>
  <si>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</si>
  <si>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</si>
  <si>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</si>
  <si>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</si>
  <si>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</si>
  <si>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</si>
  <si>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</si>
  <si>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</si>
  <si>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</si>
  <si>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</si>
  <si>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</si>
  <si>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</si>
  <si>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</si>
  <si>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</si>
  <si>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</si>
  <si>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</si>
  <si>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</si>
  <si>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</si>
  <si>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</si>
  <si>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</si>
  <si>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</si>
  <si>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</si>
  <si>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</si>
  <si>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</si>
  <si>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</si>
  <si>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</si>
  <si>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</si>
  <si>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</si>
  <si>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</si>
  <si>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</si>
  <si>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</si>
  <si>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</si>
  <si>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</si>
  <si>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</si>
  <si>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</si>
  <si>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</si>
  <si>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</si>
  <si>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</si>
  <si>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</si>
  <si>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</si>
  <si>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</si>
  <si>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</si>
  <si>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</si>
  <si>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</si>
  <si>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</si>
  <si>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</si>
  <si>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</si>
  <si>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</si>
  <si>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</si>
  <si>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</si>
  <si>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</si>
  <si>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</si>
  <si>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</si>
  <si>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</si>
  <si>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</si>
  <si>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</si>
  <si>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</si>
  <si>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</si>
  <si>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</si>
  <si>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</si>
  <si>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</si>
  <si>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</si>
  <si>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</si>
  <si>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</si>
  <si>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</si>
  <si>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</si>
  <si>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</si>
  <si>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</si>
  <si>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</si>
  <si>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</si>
  <si>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</si>
  <si>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</si>
  <si>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</si>
  <si>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</si>
  <si>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</si>
  <si>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</si>
  <si>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</si>
  <si>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</si>
  <si>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</si>
  <si>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</si>
  <si>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</si>
  <si>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</si>
  <si>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</si>
  <si>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</si>
  <si>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</si>
  <si>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</si>
  <si>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</si>
  <si>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</si>
  <si>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</si>
  <si>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</si>
  <si>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</si>
  <si>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</si>
  <si>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</si>
  <si>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</si>
  <si>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</si>
  <si>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</si>
  <si>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</si>
  <si>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</si>
  <si>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</si>
  <si>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</si>
  <si>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</si>
  <si>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</si>
  <si>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</si>
  <si>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</si>
  <si>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</si>
  <si>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</si>
  <si>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</si>
  <si>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</si>
  <si>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</si>
  <si>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</si>
  <si>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</si>
  <si>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</si>
  <si>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</si>
  <si>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</si>
  <si>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</si>
  <si>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</si>
  <si>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</si>
  <si>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</si>
  <si>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</si>
  <si>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</si>
  <si>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</si>
  <si>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</si>
  <si>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</si>
  <si>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</si>
  <si>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</si>
  <si>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</si>
  <si>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</si>
  <si>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</si>
  <si>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</si>
  <si>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</si>
  <si>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</si>
  <si>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</si>
  <si>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</si>
  <si>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</si>
  <si>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</si>
  <si>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</si>
  <si>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</si>
  <si>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</si>
  <si>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</si>
  <si>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</si>
  <si>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</si>
  <si>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</si>
  <si>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</si>
  <si>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</si>
  <si>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</si>
  <si>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</si>
  <si>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</si>
  <si>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</si>
  <si>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</si>
  <si>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</si>
  <si>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</si>
  <si>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</si>
  <si>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</si>
  <si>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</si>
  <si>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</si>
  <si>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</si>
  <si>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</si>
  <si>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</si>
  <si>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</si>
  <si>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</si>
  <si>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</si>
  <si>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</si>
  <si>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</si>
  <si>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</si>
  <si>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</si>
  <si>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</si>
  <si>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</si>
  <si>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</si>
  <si>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</si>
  <si>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</si>
  <si>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</si>
  <si>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</si>
  <si>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</si>
  <si>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</si>
  <si>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</si>
  <si>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</si>
  <si>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</si>
  <si>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</si>
  <si>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</si>
  <si>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</si>
  <si>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</si>
  <si>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</si>
  <si>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</si>
  <si>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</si>
  <si>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</si>
  <si>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</si>
  <si>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</si>
  <si>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</si>
  <si>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</si>
  <si>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</si>
  <si>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</si>
  <si>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</si>
  <si>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</si>
  <si>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</si>
  <si>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</si>
  <si>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</si>
  <si>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</si>
  <si>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</si>
  <si>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</si>
  <si>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</si>
  <si>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</si>
  <si>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</si>
  <si>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</si>
  <si>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</si>
  <si>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</si>
  <si>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</si>
  <si>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</si>
  <si>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</si>
  <si>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</si>
  <si>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</si>
  <si>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</si>
  <si>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</si>
  <si>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</si>
  <si>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</si>
  <si>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</si>
  <si>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</si>
  <si>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</si>
  <si>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</si>
  <si>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</si>
  <si>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</si>
  <si>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</si>
  <si>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</si>
  <si>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</si>
  <si>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</si>
  <si>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</si>
  <si>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</si>
  <si>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</si>
  <si>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</si>
  <si>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</si>
  <si>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</si>
  <si>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</si>
  <si>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</si>
  <si>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</si>
  <si>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</si>
  <si>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</si>
  <si>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</si>
  <si>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</si>
  <si>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</si>
  <si>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</si>
  <si>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</si>
  <si>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</si>
  <si>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</si>
  <si>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</si>
  <si>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</si>
  <si>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</si>
  <si>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</si>
  <si>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</si>
  <si>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</si>
  <si>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</si>
  <si>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</si>
  <si>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</si>
  <si>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</si>
  <si>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</si>
  <si>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</si>
  <si>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</si>
  <si>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</si>
  <si>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</si>
  <si>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</si>
  <si>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</si>
  <si>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</si>
  <si>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</si>
  <si>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</si>
  <si>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</si>
  <si>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</si>
  <si>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</si>
  <si>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</si>
  <si>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</si>
  <si>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</si>
  <si>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</si>
  <si>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</si>
  <si>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</si>
  <si>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</si>
  <si>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</si>
  <si>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</si>
  <si>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</si>
  <si>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</si>
  <si>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</si>
  <si>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</si>
  <si>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</si>
  <si>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</si>
  <si>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</si>
  <si>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</si>
  <si>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</si>
  <si>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</si>
  <si>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</si>
  <si>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</si>
  <si>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</si>
  <si>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</si>
  <si>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</si>
  <si>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</si>
  <si>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</si>
  <si>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</si>
  <si>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</si>
  <si>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</si>
  <si>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</si>
  <si>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</si>
  <si>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</si>
  <si>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</si>
  <si>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</si>
  <si>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</si>
  <si>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</si>
  <si>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</si>
  <si>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</si>
  <si>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</si>
  <si>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</si>
  <si>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</si>
  <si>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</si>
  <si>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</si>
  <si>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</si>
  <si>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</si>
  <si>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</si>
  <si>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</si>
  <si>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</si>
  <si>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</si>
  <si>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</si>
  <si>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</si>
  <si>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</si>
  <si>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</si>
  <si>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</si>
  <si>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</si>
  <si>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</si>
  <si>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</si>
  <si>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</si>
  <si>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</si>
  <si>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</si>
  <si>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</si>
  <si>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</si>
  <si>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</si>
  <si>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</si>
  <si>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</si>
  <si>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</si>
  <si>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</si>
  <si>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</si>
  <si>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</si>
  <si>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</si>
  <si>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</si>
  <si>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</si>
  <si>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</si>
  <si>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</si>
  <si>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</si>
  <si>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</si>
  <si>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</si>
  <si>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</si>
  <si>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</si>
  <si>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</si>
  <si>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</si>
  <si>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</si>
  <si>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</si>
  <si>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</si>
  <si>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</si>
  <si>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</si>
  <si>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</si>
  <si>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</si>
  <si>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</si>
  <si>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</si>
  <si>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</si>
  <si>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</si>
  <si>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</si>
  <si>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</si>
  <si>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</si>
  <si>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</si>
  <si>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</si>
  <si>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</si>
  <si>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</si>
  <si>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</si>
  <si>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</si>
  <si>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</si>
  <si>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</si>
  <si>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</si>
  <si>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</si>
  <si>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</si>
  <si>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</si>
  <si>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</si>
  <si>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</si>
  <si>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</si>
  <si>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</si>
  <si>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</si>
  <si>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</si>
  <si>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</si>
  <si>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</si>
  <si>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</si>
  <si>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</si>
  <si>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</si>
  <si>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</si>
  <si>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</si>
  <si>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</si>
  <si>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</si>
  <si>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</si>
  <si>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</si>
  <si>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</si>
  <si>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</si>
  <si>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</si>
  <si>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</si>
  <si>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</si>
  <si>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</si>
  <si>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</si>
  <si>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</si>
  <si>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</si>
  <si>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</si>
  <si>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</si>
  <si>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</si>
  <si>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</si>
  <si>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</si>
  <si>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</si>
  <si>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</si>
  <si>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</si>
  <si>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</si>
  <si>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</si>
  <si>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</si>
  <si>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</si>
  <si>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</si>
  <si>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</si>
  <si>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</si>
  <si>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</si>
  <si>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</si>
  <si>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</si>
  <si>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</si>
  <si>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</si>
  <si>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</si>
  <si>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</si>
  <si>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</si>
  <si>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</si>
  <si>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</si>
  <si>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</si>
  <si>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</si>
  <si>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</si>
  <si>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</si>
  <si>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</si>
  <si>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</si>
  <si>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</si>
  <si>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</si>
  <si>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</si>
  <si>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</si>
  <si>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</si>
  <si>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</si>
  <si>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</si>
  <si>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</si>
  <si>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</si>
  <si>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</si>
  <si>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</si>
  <si>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</si>
  <si>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</si>
  <si>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</si>
  <si>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</si>
  <si>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</si>
  <si>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</si>
  <si>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</si>
  <si>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</si>
  <si>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</si>
  <si>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</si>
  <si>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</si>
  <si>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</si>
  <si>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</si>
  <si>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</si>
  <si>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</si>
  <si>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</si>
  <si>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</si>
  <si>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</si>
  <si>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</si>
  <si>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</si>
  <si>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</si>
  <si>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</si>
  <si>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</si>
  <si>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</si>
  <si>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</si>
  <si>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</si>
  <si>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</si>
  <si>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</si>
  <si>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</si>
  <si>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</si>
  <si>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</si>
  <si>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</si>
  <si>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</si>
  <si>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</si>
  <si>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</si>
  <si>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</si>
  <si>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</si>
  <si>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</si>
  <si>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</si>
  <si>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</si>
  <si>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</si>
  <si>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</si>
  <si>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</si>
  <si>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</si>
  <si>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</si>
  <si>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</si>
  <si>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</si>
  <si>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</si>
  <si>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</si>
  <si>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</si>
  <si>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</si>
  <si>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</si>
  <si>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</si>
  <si>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</si>
  <si>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</si>
  <si>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</si>
  <si>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</si>
  <si>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</si>
  <si>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</si>
  <si>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</si>
  <si>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</si>
  <si>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</si>
  <si>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</si>
  <si>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</si>
  <si>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</si>
  <si>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</si>
  <si>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</si>
  <si>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</si>
  <si>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</si>
  <si>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</si>
  <si>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</si>
  <si>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</si>
  <si>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</si>
  <si>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</si>
  <si>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</si>
  <si>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</si>
  <si>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</si>
  <si>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</si>
  <si>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</si>
  <si>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</si>
  <si>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</si>
  <si>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</si>
  <si>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</si>
  <si>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</si>
  <si>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</si>
  <si>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</si>
  <si>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</si>
  <si>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</si>
  <si>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</si>
  <si>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</si>
  <si>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</si>
  <si>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</si>
  <si>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</si>
  <si>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</si>
  <si>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</si>
  <si>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</si>
  <si>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</si>
  <si>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</si>
  <si>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</si>
  <si>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</si>
  <si>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</si>
  <si>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</si>
  <si>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</si>
  <si>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</si>
  <si>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</si>
  <si>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</si>
  <si>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</si>
  <si>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</si>
  <si>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</si>
  <si>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</si>
  <si>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</si>
  <si>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</si>
  <si>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</si>
  <si>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</si>
  <si>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</si>
  <si>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</si>
  <si>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</si>
  <si>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</si>
  <si>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</si>
  <si>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</si>
  <si>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</si>
  <si>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</si>
  <si>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</si>
  <si>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</si>
  <si>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</si>
  <si>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</si>
  <si>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</si>
  <si>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</si>
  <si>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</si>
  <si>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</si>
  <si>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</si>
  <si>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</si>
  <si>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</si>
  <si>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</si>
  <si>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</si>
  <si>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</si>
  <si>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</si>
  <si>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</si>
  <si>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</si>
  <si>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</si>
  <si>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</si>
  <si>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</si>
  <si>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</si>
  <si>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</si>
  <si>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</si>
  <si>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</si>
  <si>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</si>
  <si>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</si>
  <si>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</si>
  <si>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</si>
  <si>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</si>
  <si>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</si>
  <si>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</si>
  <si>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</si>
  <si>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</si>
  <si>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</si>
  <si>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</si>
  <si>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</si>
  <si>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</si>
  <si>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</si>
  <si>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</si>
  <si>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</si>
  <si>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</si>
  <si>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</si>
  <si>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</si>
  <si>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</si>
  <si>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</si>
  <si>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</si>
  <si>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</si>
  <si>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</si>
  <si>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</si>
  <si>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</si>
  <si>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</si>
  <si>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</si>
  <si>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</si>
  <si>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</si>
  <si>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</si>
  <si>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</si>
  <si>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</si>
  <si>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</si>
  <si>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</si>
  <si>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</si>
  <si>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</si>
  <si>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</si>
  <si>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</si>
  <si>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</si>
  <si>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</si>
  <si>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</si>
  <si>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</si>
  <si>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</si>
  <si>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</si>
  <si>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</si>
  <si>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</si>
  <si>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</si>
  <si>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</si>
  <si>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</si>
  <si>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</si>
  <si>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</si>
  <si>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</si>
  <si>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</si>
  <si>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</si>
  <si>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</si>
  <si>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</si>
  <si>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</si>
  <si>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</si>
  <si>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</si>
  <si>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</si>
  <si>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</si>
  <si>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</si>
  <si>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</si>
  <si>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</si>
  <si>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</si>
  <si>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</si>
  <si>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</si>
  <si>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</si>
  <si>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</si>
  <si>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</si>
  <si>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</si>
  <si>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</si>
  <si>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</si>
  <si>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</si>
  <si>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</si>
  <si>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</si>
  <si>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</si>
  <si>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</si>
  <si>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</si>
  <si>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</si>
  <si>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</si>
  <si>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</si>
  <si>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</si>
  <si>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</si>
  <si>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</si>
  <si>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</si>
  <si>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</si>
  <si>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</si>
  <si>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</si>
  <si>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</si>
  <si>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</si>
  <si>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</si>
  <si>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</si>
  <si>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</si>
  <si>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</si>
  <si>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</si>
  <si>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</si>
  <si>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</si>
  <si>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</si>
  <si>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</si>
  <si>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</si>
  <si>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</si>
  <si>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</si>
  <si>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</si>
  <si>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</si>
  <si>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</si>
  <si>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</si>
  <si>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</si>
  <si>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</si>
  <si>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</si>
  <si>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</si>
  <si>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</si>
  <si>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</si>
  <si>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</si>
  <si>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</si>
  <si>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</si>
  <si>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</si>
  <si>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</si>
  <si>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</si>
  <si>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</si>
  <si>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</si>
  <si>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</si>
  <si>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</si>
  <si>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</si>
  <si>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</si>
  <si>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</si>
  <si>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</si>
  <si>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</si>
  <si>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</si>
  <si>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</si>
  <si>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</si>
  <si>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</si>
  <si>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</si>
  <si>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</si>
  <si>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</si>
  <si>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</si>
  <si>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</si>
  <si>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</si>
  <si>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</si>
  <si>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</si>
  <si>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</si>
  <si>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</si>
  <si>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</si>
  <si>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</si>
  <si>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</si>
  <si>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</si>
  <si>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</si>
  <si>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</si>
  <si>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</si>
  <si>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</si>
  <si>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</si>
  <si>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</si>
  <si>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</si>
  <si>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</si>
  <si>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</si>
  <si>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</si>
  <si>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</si>
  <si>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</si>
  <si>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</si>
  <si>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</si>
  <si>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</si>
  <si>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</si>
  <si>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</si>
  <si>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</si>
  <si>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</si>
  <si>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</si>
  <si>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</si>
  <si>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</si>
  <si>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</si>
  <si>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</si>
  <si>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</si>
  <si>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</si>
  <si>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</si>
  <si>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</si>
  <si>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</si>
  <si>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</si>
  <si>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</si>
  <si>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</si>
  <si>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</si>
  <si>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</si>
  <si>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</si>
  <si>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</si>
  <si>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</si>
  <si>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</si>
  <si>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</si>
  <si>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</si>
  <si>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</si>
  <si>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</si>
  <si>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</si>
  <si>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</si>
  <si>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</si>
  <si>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</si>
  <si>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</si>
  <si>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</si>
  <si>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</si>
  <si>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</si>
  <si>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</si>
  <si>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</si>
  <si>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</si>
  <si>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</si>
  <si>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</si>
  <si>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</si>
  <si>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</si>
  <si>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</si>
  <si>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</si>
  <si>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</si>
  <si>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</si>
  <si>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</si>
  <si>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</si>
  <si>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</si>
  <si>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</si>
  <si>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</si>
  <si>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</si>
  <si>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</si>
  <si>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</si>
  <si>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</si>
  <si>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</si>
  <si>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</si>
  <si>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</si>
  <si>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</si>
  <si>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</si>
  <si>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</si>
  <si>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</si>
  <si>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</si>
  <si>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</si>
  <si>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</si>
  <si>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</si>
  <si>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</si>
  <si>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</si>
  <si>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</si>
  <si>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</si>
  <si>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</si>
  <si>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</si>
  <si>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</si>
  <si>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</si>
  <si>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</si>
  <si>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</si>
  <si>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</si>
  <si>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</si>
  <si>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</si>
  <si>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</si>
  <si>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</si>
  <si>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</si>
  <si>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</si>
  <si>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</si>
  <si>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</si>
  <si>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</si>
  <si>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</si>
  <si>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</si>
  <si>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</si>
  <si>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</si>
  <si>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</si>
  <si>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</si>
  <si>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</si>
  <si>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</si>
  <si>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</si>
  <si>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</si>
  <si>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</si>
  <si>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</si>
  <si>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</si>
  <si>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</si>
  <si>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</si>
  <si>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</si>
  <si>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</si>
  <si>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</si>
  <si>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Actual, Adjusted, &amp; Normalized Results of Operations - Washington</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</si>
  <si>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</si>
  <si>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</si>
  <si>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</si>
  <si>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</si>
  <si>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</si>
  <si>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</si>
  <si>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</si>
  <si>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</si>
  <si>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</si>
  <si>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</si>
  <si>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</si>
  <si>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</si>
  <si>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</si>
  <si>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</si>
  <si>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</si>
  <si>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</si>
  <si>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</si>
  <si>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</si>
  <si>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</si>
  <si>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</si>
  <si>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</si>
  <si>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</si>
  <si>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</si>
  <si>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</si>
  <si>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</si>
  <si>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</si>
  <si>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</si>
  <si>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</si>
  <si>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</si>
  <si>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</si>
  <si>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</si>
  <si>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</si>
  <si>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</si>
  <si>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 xml:space="preserve">Staff contests the predicted decrease in the level of the Low Income Tax Credit and therefore removes the adjustment entirely.  Staff Witness Ms. Erdahl discusses this adjustment in her direct testimony.  </t>
  </si>
  <si>
    <t>This adjustment removes the deferred state income tax expense  and associated balances from results since state income tax expense is excluded under the WCA allocation methodology.</t>
  </si>
  <si>
    <t xml:space="preserve">Staff contests the predicted increase in the level of property tax expense and therefore removes the adjustment entirely.  Staff Witness Mr. Ball discusses this adjustment in his direct testimony.  </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</si>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</sst>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1">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s>
  <borders count="1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19">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164" fontId="8" fillId="0" borderId="45" xfId="1" applyNumberFormat="1" applyFont="1" applyFill="1" applyBorder="1" applyProtection="1"/>
    <xf numFmtId="167" fontId="8" fillId="0" borderId="45" xfId="3" applyNumberFormat="1" applyFont="1" applyFill="1" applyBorder="1" applyProtection="1"/>
    <xf numFmtId="164" fontId="222" fillId="0" borderId="45" xfId="1" applyNumberFormat="1" applyFont="1" applyFill="1" applyBorder="1" applyProtection="1"/>
    <xf numFmtId="165" fontId="8" fillId="0" borderId="45" xfId="3" applyNumberFormat="1" applyFont="1" applyFill="1" applyBorder="1" applyProtection="1"/>
    <xf numFmtId="166" fontId="222" fillId="0" borderId="142" xfId="2" applyNumberFormat="1" applyFont="1" applyFill="1" applyBorder="1" applyProtection="1"/>
    <xf numFmtId="164" fontId="8" fillId="0" borderId="0" xfId="1" applyNumberFormat="1" applyFont="1" applyAlignment="1">
      <alignment horizontal="center" vertical="center" wrapText="1"/>
    </xf>
    <xf numFmtId="164" fontId="221" fillId="0" borderId="0" xfId="1" applyNumberFormat="1" applyFont="1" applyAlignment="1" applyProtection="1">
      <alignment horizontal="center" vertical="center" wrapText="1"/>
    </xf>
    <xf numFmtId="164" fontId="226" fillId="0" borderId="0" xfId="1" applyNumberFormat="1" applyFont="1" applyBorder="1"/>
    <xf numFmtId="167" fontId="8" fillId="0" borderId="0" xfId="3" applyNumberFormat="1" applyFont="1" applyBorder="1"/>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1" fontId="221" fillId="0" borderId="0" xfId="1" quotePrefix="1" applyNumberFormat="1" applyFont="1" applyFill="1" applyProtection="1"/>
    <xf numFmtId="0" fontId="222" fillId="0" borderId="0" xfId="0" applyFont="1" applyFill="1" applyBorder="1" applyAlignment="1" applyProtection="1">
      <alignment horizontal="center"/>
    </xf>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0" fontId="222" fillId="0" borderId="0" xfId="0" applyFont="1" applyFill="1" applyAlignment="1" applyProtection="1">
      <alignment horizontal="center"/>
    </xf>
    <xf numFmtId="0" fontId="8" fillId="0" borderId="0" xfId="0" applyFont="1" applyFill="1" applyAlignment="1" applyProtection="1">
      <alignment horizontal="center"/>
    </xf>
    <xf numFmtId="164" fontId="8" fillId="0" borderId="5" xfId="2" applyNumberFormat="1" applyFont="1" applyFill="1" applyBorder="1" applyProtection="1"/>
    <xf numFmtId="164" fontId="8" fillId="0" borderId="82" xfId="2" applyNumberFormat="1" applyFont="1" applyFill="1" applyBorder="1" applyProtection="1"/>
    <xf numFmtId="164" fontId="8" fillId="0" borderId="85" xfId="2" applyNumberFormat="1" applyFont="1" applyFill="1" applyBorder="1" applyProtection="1"/>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81"/>
  <sheetViews>
    <sheetView tabSelected="1" view="pageLayout" topLeftCell="H1" zoomScaleNormal="100" workbookViewId="0">
      <selection activeCell="F16" sqref="F16"/>
    </sheetView>
  </sheetViews>
  <sheetFormatPr defaultColWidth="9.140625" defaultRowHeight="12.75"/>
  <cols>
    <col min="1" max="1" width="2.85546875" style="4" customWidth="1"/>
    <col min="2" max="2" width="29" style="4" customWidth="1"/>
    <col min="3" max="3" width="15.28515625" style="4" customWidth="1"/>
    <col min="4" max="4" width="2.5703125" style="6" customWidth="1"/>
    <col min="5" max="5" width="13.42578125" style="4" customWidth="1"/>
    <col min="6" max="6" width="15.5703125" style="4" customWidth="1"/>
    <col min="7" max="7" width="14.140625" style="4" customWidth="1"/>
    <col min="8" max="8" width="15" style="4" customWidth="1"/>
    <col min="9" max="9" width="2.5703125" style="6" customWidth="1"/>
    <col min="10" max="10" width="12.7109375" style="4" customWidth="1"/>
    <col min="11" max="11" width="2.5703125" style="6" customWidth="1"/>
    <col min="12" max="12" width="16.140625" style="4" customWidth="1"/>
    <col min="13" max="13" width="12.85546875" style="4" customWidth="1"/>
    <col min="14" max="17" width="6.7109375" style="4" hidden="1" customWidth="1"/>
    <col min="18" max="19" width="10.5703125" style="4" customWidth="1"/>
    <col min="20" max="20" width="14.5703125" style="4" customWidth="1"/>
    <col min="21" max="21" width="15" style="4" customWidth="1"/>
    <col min="22" max="22" width="14.42578125" style="4" customWidth="1"/>
    <col min="23" max="26" width="6.7109375" style="4" hidden="1" customWidth="1"/>
    <col min="27" max="27" width="12.140625" style="4" customWidth="1"/>
    <col min="28" max="28" width="18.42578125" style="4" bestFit="1" customWidth="1"/>
    <col min="29" max="29" width="18.5703125" style="4" customWidth="1"/>
    <col min="30" max="30" width="13.140625" style="4" customWidth="1"/>
    <col min="31" max="31" width="13.85546875" style="4" bestFit="1" customWidth="1"/>
    <col min="32" max="32" width="14.140625" style="4" customWidth="1"/>
    <col min="33" max="33" width="11.28515625" style="4" customWidth="1"/>
    <col min="34" max="35" width="13.140625" style="4" customWidth="1"/>
    <col min="36" max="36" width="14.42578125" style="4" customWidth="1"/>
    <col min="37" max="37" width="16" style="4" customWidth="1"/>
    <col min="38" max="38" width="12.85546875" style="4" customWidth="1"/>
    <col min="39" max="39" width="11.7109375" style="4" customWidth="1"/>
    <col min="40" max="40" width="11.85546875" style="4" customWidth="1"/>
    <col min="41" max="41" width="15.5703125" style="4" bestFit="1" customWidth="1"/>
    <col min="42" max="42" width="15.42578125" style="4" customWidth="1"/>
    <col min="43" max="43" width="15.140625" style="4" customWidth="1"/>
    <col min="44" max="44" width="17.140625" style="4" customWidth="1"/>
    <col min="45" max="45" width="20.7109375" style="4" customWidth="1"/>
    <col min="46" max="46" width="21.140625" style="4" customWidth="1"/>
    <col min="47" max="47" width="16.42578125" style="4" customWidth="1"/>
    <col min="48" max="48" width="15.5703125" style="4" customWidth="1"/>
    <col min="49" max="49" width="15.28515625" style="4" customWidth="1"/>
    <col min="50" max="50" width="10.7109375" style="4" customWidth="1"/>
    <col min="51" max="51" width="19.42578125" style="4" customWidth="1"/>
    <col min="52" max="52" width="17.85546875" style="4" customWidth="1"/>
    <col min="53" max="54" width="13.42578125" style="4" customWidth="1"/>
    <col min="55" max="56" width="12.140625" style="4" customWidth="1"/>
    <col min="57" max="57" width="12.140625" style="4" bestFit="1" customWidth="1"/>
    <col min="58" max="58" width="14.42578125" style="4" customWidth="1"/>
    <col min="59" max="59" width="13.42578125" style="4" bestFit="1" customWidth="1"/>
    <col min="60" max="16384" width="9.140625" style="4"/>
  </cols>
  <sheetData>
    <row r="1" spans="1:12">
      <c r="A1" s="1378" t="s">
        <v>662</v>
      </c>
      <c r="B1" s="1378"/>
      <c r="C1" s="1378"/>
      <c r="D1" s="1378"/>
      <c r="E1" s="1378"/>
      <c r="F1" s="1378"/>
      <c r="G1" s="1378"/>
      <c r="H1" s="1378"/>
      <c r="I1" s="1378"/>
      <c r="J1" s="1378"/>
      <c r="K1" s="1378"/>
      <c r="L1" s="1378"/>
    </row>
    <row r="2" spans="1:12">
      <c r="A2" s="1378" t="s">
        <v>1050</v>
      </c>
      <c r="B2" s="1378"/>
      <c r="C2" s="1378"/>
      <c r="D2" s="1378"/>
      <c r="E2" s="1378"/>
      <c r="F2" s="1378"/>
      <c r="G2" s="1378"/>
      <c r="H2" s="1378"/>
      <c r="I2" s="1378"/>
      <c r="J2" s="1378"/>
      <c r="K2" s="1378"/>
      <c r="L2" s="1378"/>
    </row>
    <row r="3" spans="1:12">
      <c r="A3" s="1378" t="s">
        <v>1037</v>
      </c>
      <c r="B3" s="1378"/>
      <c r="C3" s="1378"/>
      <c r="D3" s="1378"/>
      <c r="E3" s="1378"/>
      <c r="F3" s="1378"/>
      <c r="G3" s="1378"/>
      <c r="H3" s="1378"/>
      <c r="I3" s="1378"/>
      <c r="J3" s="1378"/>
      <c r="K3" s="1378"/>
      <c r="L3" s="1378"/>
    </row>
    <row r="4" spans="1:12" ht="5.45" customHeight="1">
      <c r="A4" s="1372"/>
      <c r="B4" s="1372"/>
      <c r="C4" s="1372"/>
      <c r="D4" s="1336"/>
      <c r="E4" s="1372"/>
      <c r="F4" s="1372"/>
      <c r="G4" s="1372"/>
      <c r="H4" s="1372"/>
      <c r="I4" s="1336"/>
      <c r="J4" s="1372"/>
      <c r="K4" s="1336"/>
      <c r="L4" s="1372"/>
    </row>
    <row r="5" spans="1:12">
      <c r="C5" s="18" t="s">
        <v>630</v>
      </c>
      <c r="D5" s="1337"/>
      <c r="E5" s="18" t="s">
        <v>631</v>
      </c>
      <c r="F5" s="18" t="s">
        <v>632</v>
      </c>
      <c r="G5" s="18" t="s">
        <v>633</v>
      </c>
      <c r="H5" s="18" t="s">
        <v>634</v>
      </c>
      <c r="I5" s="1337"/>
      <c r="J5" s="18" t="s">
        <v>635</v>
      </c>
      <c r="K5" s="1337"/>
      <c r="L5" s="18" t="s">
        <v>636</v>
      </c>
    </row>
    <row r="6" spans="1:12">
      <c r="B6" s="8"/>
      <c r="C6" s="1377" t="s">
        <v>1030</v>
      </c>
      <c r="D6" s="1338"/>
      <c r="E6" s="1377" t="s">
        <v>1031</v>
      </c>
      <c r="F6" s="1377" t="s">
        <v>1032</v>
      </c>
      <c r="G6" s="1377" t="s">
        <v>1033</v>
      </c>
      <c r="H6" s="1377" t="s">
        <v>1034</v>
      </c>
      <c r="I6" s="1338"/>
      <c r="J6" s="1377" t="s">
        <v>7</v>
      </c>
      <c r="K6" s="1338"/>
      <c r="L6" s="1377" t="s">
        <v>1035</v>
      </c>
    </row>
    <row r="7" spans="1:12">
      <c r="B7" s="19"/>
      <c r="C7" s="1377"/>
      <c r="D7" s="1338"/>
      <c r="E7" s="1377"/>
      <c r="F7" s="1377"/>
      <c r="G7" s="1377"/>
      <c r="H7" s="1377"/>
      <c r="I7" s="1338"/>
      <c r="J7" s="1377"/>
      <c r="K7" s="1338"/>
      <c r="L7" s="1377"/>
    </row>
    <row r="8" spans="1:12">
      <c r="B8" s="19" t="s">
        <v>10</v>
      </c>
      <c r="C8" s="8"/>
      <c r="D8" s="20"/>
      <c r="E8" s="8"/>
      <c r="F8" s="8"/>
      <c r="G8" s="8"/>
      <c r="H8" s="1373"/>
      <c r="I8" s="20"/>
      <c r="J8" s="1179">
        <f>J9/H9</f>
        <v>2.4069019871081298E-2</v>
      </c>
      <c r="K8" s="20"/>
      <c r="L8" s="8"/>
    </row>
    <row r="9" spans="1:12">
      <c r="A9" s="4">
        <v>1</v>
      </c>
      <c r="B9" s="1180" t="s">
        <v>11</v>
      </c>
      <c r="C9" s="1171">
        <v>317700180</v>
      </c>
      <c r="D9" s="1008"/>
      <c r="E9" s="1172">
        <f>'Adjustments - restating'!C7</f>
        <v>3905479.1195230857</v>
      </c>
      <c r="F9" s="1131">
        <f>+C9+E9</f>
        <v>321605659.11952311</v>
      </c>
      <c r="G9" s="1161">
        <f>'Adjustments - Pro Forma'!C7</f>
        <v>0</v>
      </c>
      <c r="H9" s="1132">
        <f>+F9+G9</f>
        <v>321605659.11952311</v>
      </c>
      <c r="I9" s="1008"/>
      <c r="J9" s="1162">
        <f>+RevReqCalc!E19</f>
        <v>7740733</v>
      </c>
      <c r="K9" s="1008"/>
      <c r="L9" s="1148">
        <f>+J9+H9</f>
        <v>329346392.11952311</v>
      </c>
    </row>
    <row r="10" spans="1:12">
      <c r="A10" s="4">
        <v>2</v>
      </c>
      <c r="B10" s="1154" t="s">
        <v>12</v>
      </c>
      <c r="C10" s="1149">
        <v>0</v>
      </c>
      <c r="D10" s="1008"/>
      <c r="E10" s="1134">
        <f>'Adjustments - restating'!C8</f>
        <v>0</v>
      </c>
      <c r="F10" s="1008">
        <f>+C10+E10</f>
        <v>0</v>
      </c>
      <c r="G10" s="7">
        <f>'Adjustments - Pro Forma'!C8</f>
        <v>0</v>
      </c>
      <c r="H10" s="1133">
        <f>+F10+G10</f>
        <v>0</v>
      </c>
      <c r="I10" s="1008"/>
      <c r="J10" s="1150"/>
      <c r="K10" s="1008"/>
      <c r="L10" s="1149">
        <f>+J10+H10</f>
        <v>0</v>
      </c>
    </row>
    <row r="11" spans="1:12">
      <c r="A11" s="4">
        <v>3</v>
      </c>
      <c r="B11" s="1154" t="s">
        <v>13</v>
      </c>
      <c r="C11" s="1149">
        <v>18487997</v>
      </c>
      <c r="D11" s="1008"/>
      <c r="E11" s="1134">
        <f>'Adjustments - restating'!C9</f>
        <v>49115714.281319283</v>
      </c>
      <c r="F11" s="1008">
        <f>+C11+E11</f>
        <v>67603711.28131929</v>
      </c>
      <c r="G11" s="7">
        <f>'Adjustments - Pro Forma'!C9</f>
        <v>-47045811.781707957</v>
      </c>
      <c r="H11" s="1133">
        <f>+F11+G11</f>
        <v>20557899.499611333</v>
      </c>
      <c r="I11" s="1008"/>
      <c r="J11" s="1150"/>
      <c r="K11" s="1008"/>
      <c r="L11" s="1149">
        <f>+J11+H11</f>
        <v>20557899.499611333</v>
      </c>
    </row>
    <row r="12" spans="1:12">
      <c r="A12" s="4">
        <v>4</v>
      </c>
      <c r="B12" s="1154" t="s">
        <v>14</v>
      </c>
      <c r="C12" s="1149">
        <v>11424456</v>
      </c>
      <c r="D12" s="1008"/>
      <c r="E12" s="1134">
        <f>'Adjustments - restating'!C10</f>
        <v>-5636806.9866822474</v>
      </c>
      <c r="F12" s="1008">
        <f>+C12+E12</f>
        <v>5787649.0133177526</v>
      </c>
      <c r="G12" s="7">
        <f>'Adjustments - Pro Forma'!C10</f>
        <v>-317050.80746160296</v>
      </c>
      <c r="H12" s="1133">
        <f>+F12+G12</f>
        <v>5470598.20585615</v>
      </c>
      <c r="I12" s="1008"/>
      <c r="J12" s="1150"/>
      <c r="K12" s="1008"/>
      <c r="L12" s="1149">
        <f>+J12+H12</f>
        <v>5470598.20585615</v>
      </c>
    </row>
    <row r="13" spans="1:12">
      <c r="A13" s="4">
        <v>5</v>
      </c>
      <c r="B13" s="1181" t="s">
        <v>15</v>
      </c>
      <c r="C13" s="1166">
        <f>SUM(C9:C12)</f>
        <v>347612633</v>
      </c>
      <c r="D13" s="7"/>
      <c r="E13" s="1142">
        <f>SUM(E9:E12)</f>
        <v>47384386.414160118</v>
      </c>
      <c r="F13" s="1164">
        <f>SUM(F9:F12)</f>
        <v>394997019.41416019</v>
      </c>
      <c r="G13" s="1112">
        <f>SUM(G9:G12)</f>
        <v>-47362862.589169562</v>
      </c>
      <c r="H13" s="1165">
        <f>SUM(H9:H12)</f>
        <v>347634156.82499057</v>
      </c>
      <c r="I13" s="7"/>
      <c r="J13" s="1166">
        <f>SUM(J9:J12)</f>
        <v>7740733</v>
      </c>
      <c r="K13" s="7"/>
      <c r="L13" s="1166">
        <f>SUM(L9:L12)</f>
        <v>355374889.82499057</v>
      </c>
    </row>
    <row r="14" spans="1:12">
      <c r="A14" s="4">
        <v>6</v>
      </c>
      <c r="B14" s="1154"/>
      <c r="C14" s="1150"/>
      <c r="D14" s="7"/>
      <c r="E14" s="1134"/>
      <c r="F14" s="7"/>
      <c r="G14" s="7"/>
      <c r="H14" s="1135"/>
      <c r="I14" s="7"/>
      <c r="J14" s="1150"/>
      <c r="K14" s="7"/>
      <c r="L14" s="1150"/>
    </row>
    <row r="15" spans="1:12">
      <c r="A15" s="4">
        <v>7</v>
      </c>
      <c r="B15" s="1182" t="s">
        <v>16</v>
      </c>
      <c r="C15" s="1150"/>
      <c r="D15" s="7"/>
      <c r="E15" s="1134"/>
      <c r="F15" s="7"/>
      <c r="G15" s="7"/>
      <c r="H15" s="1135"/>
      <c r="I15" s="7"/>
      <c r="J15" s="1150"/>
      <c r="K15" s="7"/>
      <c r="L15" s="1150"/>
    </row>
    <row r="16" spans="1:12">
      <c r="A16" s="4">
        <v>8</v>
      </c>
      <c r="B16" s="1154" t="s">
        <v>17</v>
      </c>
      <c r="C16" s="1149">
        <v>59484322</v>
      </c>
      <c r="D16" s="1008"/>
      <c r="E16" s="1134">
        <f>'Adjustments - restating'!C14</f>
        <v>2343666.6061982932</v>
      </c>
      <c r="F16" s="1008">
        <f t="shared" ref="F16:F25" si="0">+C16+E16</f>
        <v>61827988.606198296</v>
      </c>
      <c r="G16" s="7">
        <f>'Adjustments - Pro Forma'!C14</f>
        <v>5079244.3369059209</v>
      </c>
      <c r="H16" s="1133">
        <f t="shared" ref="H16:H25" si="1">+F16+G16</f>
        <v>66907232.943104215</v>
      </c>
      <c r="I16" s="1008"/>
      <c r="J16" s="1150"/>
      <c r="K16" s="1008"/>
      <c r="L16" s="1149">
        <f t="shared" ref="L16:L25" si="2">+J16+H16</f>
        <v>66907232.943104215</v>
      </c>
    </row>
    <row r="17" spans="1:12">
      <c r="A17" s="4">
        <v>9</v>
      </c>
      <c r="B17" s="1154" t="s">
        <v>18</v>
      </c>
      <c r="C17" s="1149"/>
      <c r="D17" s="1008"/>
      <c r="E17" s="1134">
        <f>'Adjustments - restating'!C15</f>
        <v>0</v>
      </c>
      <c r="F17" s="1008">
        <f t="shared" si="0"/>
        <v>0</v>
      </c>
      <c r="G17" s="7">
        <f>'Adjustments - Pro Forma'!C15</f>
        <v>0</v>
      </c>
      <c r="H17" s="1133">
        <f t="shared" si="1"/>
        <v>0</v>
      </c>
      <c r="I17" s="1008"/>
      <c r="J17" s="1150"/>
      <c r="K17" s="1008"/>
      <c r="L17" s="1149">
        <f t="shared" si="2"/>
        <v>0</v>
      </c>
    </row>
    <row r="18" spans="1:12">
      <c r="A18" s="4">
        <v>10</v>
      </c>
      <c r="B18" s="1154" t="s">
        <v>19</v>
      </c>
      <c r="C18" s="1149">
        <v>7355376</v>
      </c>
      <c r="D18" s="1008"/>
      <c r="E18" s="1134">
        <f>'Adjustments - restating'!C16</f>
        <v>-28190.057298298911</v>
      </c>
      <c r="F18" s="1008">
        <f t="shared" si="0"/>
        <v>7327185.9427017011</v>
      </c>
      <c r="G18" s="7">
        <f>'Adjustments - Pro Forma'!C16</f>
        <v>104469.51195568303</v>
      </c>
      <c r="H18" s="1133">
        <f t="shared" si="1"/>
        <v>7431655.4546573842</v>
      </c>
      <c r="I18" s="1008"/>
      <c r="J18" s="1150"/>
      <c r="K18" s="1008"/>
      <c r="L18" s="1149">
        <f t="shared" si="2"/>
        <v>7431655.4546573842</v>
      </c>
    </row>
    <row r="19" spans="1:12">
      <c r="A19" s="4">
        <v>11</v>
      </c>
      <c r="B19" s="1154" t="s">
        <v>20</v>
      </c>
      <c r="C19" s="1149">
        <v>94996039</v>
      </c>
      <c r="D19" s="1008"/>
      <c r="E19" s="1134">
        <f>'Adjustments - restating'!C17</f>
        <v>34773731.224899374</v>
      </c>
      <c r="F19" s="1008">
        <f t="shared" si="0"/>
        <v>129769770.22489938</v>
      </c>
      <c r="G19" s="7">
        <f>'Adjustments - Pro Forma'!C17</f>
        <v>-55361467.322213531</v>
      </c>
      <c r="H19" s="1133">
        <f t="shared" si="1"/>
        <v>74408302.902685851</v>
      </c>
      <c r="I19" s="1008"/>
      <c r="J19" s="1150"/>
      <c r="K19" s="1008"/>
      <c r="L19" s="1149">
        <f t="shared" si="2"/>
        <v>74408302.902685851</v>
      </c>
    </row>
    <row r="20" spans="1:12">
      <c r="A20" s="4">
        <v>12</v>
      </c>
      <c r="B20" s="1154" t="s">
        <v>21</v>
      </c>
      <c r="C20" s="1149">
        <v>27085771</v>
      </c>
      <c r="D20" s="1008"/>
      <c r="E20" s="1134">
        <f>'Adjustments - restating'!C18</f>
        <v>303885.44285197707</v>
      </c>
      <c r="F20" s="1008">
        <f t="shared" si="0"/>
        <v>27389656.442851976</v>
      </c>
      <c r="G20" s="7">
        <f>'Adjustments - Pro Forma'!C18</f>
        <v>3751494.1317068874</v>
      </c>
      <c r="H20" s="1133">
        <f t="shared" si="1"/>
        <v>31141150.574558862</v>
      </c>
      <c r="I20" s="1008"/>
      <c r="J20" s="1150"/>
      <c r="K20" s="1008"/>
      <c r="L20" s="1149">
        <f t="shared" si="2"/>
        <v>31141150.574558862</v>
      </c>
    </row>
    <row r="21" spans="1:12">
      <c r="A21" s="4">
        <v>13</v>
      </c>
      <c r="B21" s="1154" t="s">
        <v>22</v>
      </c>
      <c r="C21" s="1149">
        <v>12193373</v>
      </c>
      <c r="D21" s="1008"/>
      <c r="E21" s="1134">
        <f>'Adjustments - restating'!C19</f>
        <v>-371809.29202738922</v>
      </c>
      <c r="F21" s="1008">
        <f t="shared" si="0"/>
        <v>11821563.70797261</v>
      </c>
      <c r="G21" s="7">
        <f>'Adjustments - Pro Forma'!C19</f>
        <v>259055.63411386727</v>
      </c>
      <c r="H21" s="1133">
        <f t="shared" si="1"/>
        <v>12080619.342086477</v>
      </c>
      <c r="I21" s="1008"/>
      <c r="J21" s="1150"/>
      <c r="K21" s="1008"/>
      <c r="L21" s="1149">
        <f t="shared" si="2"/>
        <v>12080619.342086477</v>
      </c>
    </row>
    <row r="22" spans="1:12">
      <c r="A22" s="4">
        <v>14</v>
      </c>
      <c r="B22" s="1154" t="s">
        <v>23</v>
      </c>
      <c r="C22" s="1149">
        <v>6347128</v>
      </c>
      <c r="D22" s="1008"/>
      <c r="E22" s="1134">
        <f>'Adjustments - restating'!C20</f>
        <v>402258.48389767006</v>
      </c>
      <c r="F22" s="1008">
        <f t="shared" si="0"/>
        <v>6749386.4838976702</v>
      </c>
      <c r="G22" s="7">
        <f>'Adjustments - Pro Forma'!C20</f>
        <v>140245.90084645982</v>
      </c>
      <c r="H22" s="1133">
        <f t="shared" si="1"/>
        <v>6889632.3847441301</v>
      </c>
      <c r="I22" s="1008"/>
      <c r="J22" s="1150">
        <f>J9*'Conversion factor'!D8</f>
        <v>47295.878629999999</v>
      </c>
      <c r="K22" s="1008"/>
      <c r="L22" s="1149">
        <f t="shared" si="2"/>
        <v>6936928.2633741302</v>
      </c>
    </row>
    <row r="23" spans="1:12">
      <c r="A23" s="4">
        <v>15</v>
      </c>
      <c r="B23" s="1154" t="s">
        <v>24</v>
      </c>
      <c r="C23" s="1149">
        <v>11445807</v>
      </c>
      <c r="D23" s="1008"/>
      <c r="E23" s="1134">
        <f>'Adjustments - restating'!C21</f>
        <v>-10683512.888207437</v>
      </c>
      <c r="F23" s="1008">
        <f t="shared" si="0"/>
        <v>762294.11179256253</v>
      </c>
      <c r="G23" s="7">
        <f>'Adjustments - Pro Forma'!C21</f>
        <v>21520.249650806429</v>
      </c>
      <c r="H23" s="1133">
        <f t="shared" si="1"/>
        <v>783814.36144336895</v>
      </c>
      <c r="I23" s="1008"/>
      <c r="J23" s="1150"/>
      <c r="K23" s="1008"/>
      <c r="L23" s="1149">
        <f t="shared" si="2"/>
        <v>783814.36144336895</v>
      </c>
    </row>
    <row r="24" spans="1:12">
      <c r="A24" s="4">
        <v>16</v>
      </c>
      <c r="B24" s="1154" t="s">
        <v>25</v>
      </c>
      <c r="C24" s="1149"/>
      <c r="D24" s="1008"/>
      <c r="E24" s="1134">
        <f>'Adjustments - restating'!C22</f>
        <v>0</v>
      </c>
      <c r="F24" s="1008">
        <f t="shared" si="0"/>
        <v>0</v>
      </c>
      <c r="G24" s="7">
        <f>'Adjustments - Pro Forma'!C22</f>
        <v>0</v>
      </c>
      <c r="H24" s="1133">
        <f t="shared" si="1"/>
        <v>0</v>
      </c>
      <c r="I24" s="1008"/>
      <c r="J24" s="1150"/>
      <c r="K24" s="1008"/>
      <c r="L24" s="1149">
        <f t="shared" si="2"/>
        <v>0</v>
      </c>
    </row>
    <row r="25" spans="1:12">
      <c r="A25" s="4">
        <v>17</v>
      </c>
      <c r="B25" s="1153" t="s">
        <v>26</v>
      </c>
      <c r="C25" s="1151">
        <v>13226426</v>
      </c>
      <c r="D25" s="1008"/>
      <c r="E25" s="1144">
        <f>'Adjustments - restating'!C23</f>
        <v>-1360415.8439035986</v>
      </c>
      <c r="F25" s="1010">
        <f t="shared" si="0"/>
        <v>11866010.156096401</v>
      </c>
      <c r="G25" s="1145">
        <f>'Adjustments - Pro Forma'!C23</f>
        <v>313213.88028660452</v>
      </c>
      <c r="H25" s="1136">
        <f t="shared" si="1"/>
        <v>12179224.036383005</v>
      </c>
      <c r="I25" s="1008"/>
      <c r="J25" s="1157"/>
      <c r="K25" s="1008"/>
      <c r="L25" s="1151">
        <f t="shared" si="2"/>
        <v>12179224.036383005</v>
      </c>
    </row>
    <row r="26" spans="1:12">
      <c r="A26" s="4">
        <v>18</v>
      </c>
      <c r="B26" s="1183" t="s">
        <v>1036</v>
      </c>
      <c r="C26" s="1150">
        <f t="shared" ref="C26:L26" si="3">SUM(C16:C25)</f>
        <v>232134242</v>
      </c>
      <c r="D26" s="7"/>
      <c r="E26" s="1134">
        <f>SUM(E16:E25)</f>
        <v>25379613.676410589</v>
      </c>
      <c r="F26" s="7">
        <f t="shared" si="3"/>
        <v>257513855.67641056</v>
      </c>
      <c r="G26" s="7">
        <f>SUM(G16:G25)</f>
        <v>-45692223.6767473</v>
      </c>
      <c r="H26" s="1135">
        <f t="shared" si="3"/>
        <v>211821631.99966329</v>
      </c>
      <c r="I26" s="7"/>
      <c r="J26" s="1150">
        <f t="shared" si="3"/>
        <v>47295.878629999999</v>
      </c>
      <c r="K26" s="7"/>
      <c r="L26" s="1150">
        <f t="shared" si="3"/>
        <v>211868927.87829328</v>
      </c>
    </row>
    <row r="27" spans="1:12">
      <c r="A27" s="4">
        <v>19</v>
      </c>
      <c r="B27" s="1184"/>
      <c r="C27" s="1150"/>
      <c r="D27" s="7"/>
      <c r="E27" s="1134"/>
      <c r="F27" s="7"/>
      <c r="G27" s="7"/>
      <c r="H27" s="1135"/>
      <c r="I27" s="7"/>
      <c r="J27" s="1150"/>
      <c r="K27" s="7"/>
      <c r="L27" s="1150"/>
    </row>
    <row r="28" spans="1:12">
      <c r="A28" s="4">
        <v>20</v>
      </c>
      <c r="B28" s="1154" t="s">
        <v>28</v>
      </c>
      <c r="C28" s="1149">
        <v>42465252</v>
      </c>
      <c r="D28" s="1008"/>
      <c r="E28" s="1134">
        <f>'Adjustments - restating'!C26</f>
        <v>1209605.8285510486</v>
      </c>
      <c r="F28" s="1008">
        <f t="shared" ref="F28:F35" si="4">+C28+E28</f>
        <v>43674857.828551047</v>
      </c>
      <c r="G28" s="7">
        <f>'Adjustments - Pro Forma'!C26</f>
        <v>750603.02257623198</v>
      </c>
      <c r="H28" s="1133">
        <f t="shared" ref="H28:H35" si="5">+F28+G28</f>
        <v>44425460.851127282</v>
      </c>
      <c r="I28" s="1008"/>
      <c r="J28" s="1150"/>
      <c r="K28" s="1008"/>
      <c r="L28" s="1149">
        <f t="shared" ref="L28:L35" si="6">+J28+H28</f>
        <v>44425460.851127282</v>
      </c>
    </row>
    <row r="29" spans="1:12">
      <c r="A29" s="4">
        <v>21</v>
      </c>
      <c r="B29" s="1154" t="s">
        <v>8</v>
      </c>
      <c r="C29" s="1149">
        <v>5034157</v>
      </c>
      <c r="D29" s="1008"/>
      <c r="E29" s="1134">
        <f>'Adjustments - restating'!C27</f>
        <v>0</v>
      </c>
      <c r="F29" s="1008">
        <f t="shared" si="4"/>
        <v>5034157</v>
      </c>
      <c r="G29" s="7">
        <f>'Adjustments - Pro Forma'!C27</f>
        <v>82361.759263031505</v>
      </c>
      <c r="H29" s="1133">
        <f t="shared" si="5"/>
        <v>5116518.7592630312</v>
      </c>
      <c r="I29" s="1008"/>
      <c r="J29" s="1150"/>
      <c r="K29" s="1008"/>
      <c r="L29" s="1149">
        <f t="shared" si="6"/>
        <v>5116518.7592630312</v>
      </c>
    </row>
    <row r="30" spans="1:12">
      <c r="A30" s="4">
        <v>22</v>
      </c>
      <c r="B30" s="1154" t="s">
        <v>29</v>
      </c>
      <c r="C30" s="1149">
        <v>21700554</v>
      </c>
      <c r="D30" s="1008"/>
      <c r="E30" s="1134">
        <f>'Adjustments - restating'!C28</f>
        <v>-41073.316515808037</v>
      </c>
      <c r="F30" s="1008">
        <f t="shared" si="4"/>
        <v>21659480.683484193</v>
      </c>
      <c r="G30" s="7">
        <f>'Adjustments - Pro Forma'!C28</f>
        <v>-807244.49001859501</v>
      </c>
      <c r="H30" s="1133">
        <f t="shared" si="5"/>
        <v>20852236.193465598</v>
      </c>
      <c r="I30" s="1008"/>
      <c r="J30" s="1150">
        <f>('Conversion factor'!D9+'Conversion factor'!D10)*J9</f>
        <v>315280.05509000004</v>
      </c>
      <c r="K30" s="1008"/>
      <c r="L30" s="1149">
        <f t="shared" si="6"/>
        <v>21167516.248555597</v>
      </c>
    </row>
    <row r="31" spans="1:12" s="6" customFormat="1">
      <c r="A31" s="6">
        <v>23</v>
      </c>
      <c r="B31" s="1154" t="s">
        <v>30</v>
      </c>
      <c r="C31" s="1149">
        <v>1000694</v>
      </c>
      <c r="D31" s="1008"/>
      <c r="E31" s="1134">
        <f>E81</f>
        <v>7624348</v>
      </c>
      <c r="F31" s="1008">
        <f t="shared" si="4"/>
        <v>8625042</v>
      </c>
      <c r="G31" s="7">
        <f>G81</f>
        <v>-3488183.4448383031</v>
      </c>
      <c r="H31" s="1133">
        <f t="shared" si="5"/>
        <v>5136858.5551616969</v>
      </c>
      <c r="I31" s="1008"/>
      <c r="J31" s="1150">
        <f>J81</f>
        <v>2582354</v>
      </c>
      <c r="K31" s="1008"/>
      <c r="L31" s="1149">
        <f>L81</f>
        <v>7719213.5551616969</v>
      </c>
    </row>
    <row r="32" spans="1:12">
      <c r="A32" s="4">
        <v>24</v>
      </c>
      <c r="B32" s="1154" t="s">
        <v>31</v>
      </c>
      <c r="C32" s="1149">
        <v>0</v>
      </c>
      <c r="D32" s="1008"/>
      <c r="E32" s="1134">
        <f>E77</f>
        <v>0</v>
      </c>
      <c r="F32" s="1008">
        <f t="shared" si="4"/>
        <v>0</v>
      </c>
      <c r="G32" s="7">
        <f>G77</f>
        <v>0</v>
      </c>
      <c r="H32" s="1133">
        <f t="shared" si="5"/>
        <v>0</v>
      </c>
      <c r="I32" s="1008"/>
      <c r="J32" s="1150"/>
      <c r="K32" s="1008"/>
      <c r="L32" s="1149">
        <f t="shared" si="6"/>
        <v>0</v>
      </c>
    </row>
    <row r="33" spans="1:12">
      <c r="A33" s="4">
        <v>25</v>
      </c>
      <c r="B33" s="1154" t="s">
        <v>32</v>
      </c>
      <c r="C33" s="1149">
        <v>4870545</v>
      </c>
      <c r="D33" s="1008"/>
      <c r="E33" s="1134">
        <f>'Adjustments - restating'!C31</f>
        <v>-1356096.5790122841</v>
      </c>
      <c r="F33" s="1008">
        <f t="shared" si="4"/>
        <v>3514448.4209877159</v>
      </c>
      <c r="G33" s="7">
        <f>'Adjustments - Pro Forma'!C31</f>
        <v>2341343.8120242329</v>
      </c>
      <c r="H33" s="1133">
        <f t="shared" si="5"/>
        <v>5855792.2330119489</v>
      </c>
      <c r="I33" s="1008"/>
      <c r="J33" s="1150"/>
      <c r="K33" s="1008"/>
      <c r="L33" s="1149">
        <f t="shared" si="6"/>
        <v>5855792.2330119489</v>
      </c>
    </row>
    <row r="34" spans="1:12">
      <c r="A34" s="4">
        <v>26</v>
      </c>
      <c r="B34" s="1154" t="s">
        <v>33</v>
      </c>
      <c r="C34" s="1149"/>
      <c r="D34" s="1008"/>
      <c r="E34" s="1134">
        <f>'Adjustments - restating'!C32</f>
        <v>0</v>
      </c>
      <c r="F34" s="1008">
        <f t="shared" si="4"/>
        <v>0</v>
      </c>
      <c r="G34" s="7">
        <f>'Adjustments - Pro Forma'!C32</f>
        <v>0</v>
      </c>
      <c r="H34" s="1133">
        <f t="shared" si="5"/>
        <v>0</v>
      </c>
      <c r="I34" s="1008"/>
      <c r="J34" s="1150"/>
      <c r="K34" s="1008"/>
      <c r="L34" s="1149">
        <f t="shared" si="6"/>
        <v>0</v>
      </c>
    </row>
    <row r="35" spans="1:12">
      <c r="A35" s="4">
        <v>27</v>
      </c>
      <c r="B35" s="1154" t="s">
        <v>34</v>
      </c>
      <c r="C35" s="1149">
        <v>17412</v>
      </c>
      <c r="D35" s="1008"/>
      <c r="E35" s="1134">
        <f>'Adjustments - restating'!C33</f>
        <v>-3490.1945226639618</v>
      </c>
      <c r="F35" s="1008">
        <f t="shared" si="4"/>
        <v>13921.805477336038</v>
      </c>
      <c r="G35" s="7">
        <f>'Adjustments - Pro Forma'!C33</f>
        <v>-776048.95839665306</v>
      </c>
      <c r="H35" s="1133">
        <f t="shared" si="5"/>
        <v>-762127.15291931701</v>
      </c>
      <c r="I35" s="1008"/>
      <c r="J35" s="1150"/>
      <c r="K35" s="1008"/>
      <c r="L35" s="1149">
        <f t="shared" si="6"/>
        <v>-762127.15291931701</v>
      </c>
    </row>
    <row r="36" spans="1:12">
      <c r="A36" s="4">
        <v>28</v>
      </c>
      <c r="B36" s="1181" t="s">
        <v>35</v>
      </c>
      <c r="C36" s="1166">
        <f t="shared" ref="C36:L36" si="7">SUM(C26:C35)</f>
        <v>307222856</v>
      </c>
      <c r="D36" s="7"/>
      <c r="E36" s="1142">
        <f>SUM(E26:E35)</f>
        <v>32812907.41491089</v>
      </c>
      <c r="F36" s="1164">
        <f t="shared" si="7"/>
        <v>340035763.41491085</v>
      </c>
      <c r="G36" s="1112">
        <f>SUM(G26:G35)</f>
        <v>-47589391.976137348</v>
      </c>
      <c r="H36" s="1165">
        <f t="shared" si="7"/>
        <v>292446371.43877357</v>
      </c>
      <c r="I36" s="7"/>
      <c r="J36" s="1166">
        <f t="shared" si="7"/>
        <v>2944929.9337200001</v>
      </c>
      <c r="K36" s="7"/>
      <c r="L36" s="1166">
        <f t="shared" si="7"/>
        <v>295391302.37249357</v>
      </c>
    </row>
    <row r="37" spans="1:12" ht="13.5" thickBot="1">
      <c r="A37" s="4">
        <v>29</v>
      </c>
      <c r="B37" s="1154"/>
      <c r="C37" s="1150"/>
      <c r="D37" s="7"/>
      <c r="E37" s="1134"/>
      <c r="F37" s="7"/>
      <c r="G37" s="7"/>
      <c r="H37" s="1135"/>
      <c r="I37" s="7"/>
      <c r="J37" s="1150"/>
      <c r="K37" s="7"/>
      <c r="L37" s="1150"/>
    </row>
    <row r="38" spans="1:12" ht="13.5" thickBot="1">
      <c r="A38" s="4">
        <v>30</v>
      </c>
      <c r="B38" s="1192" t="s">
        <v>629</v>
      </c>
      <c r="C38" s="1194">
        <f t="shared" ref="C38:L38" si="8">C13-C36</f>
        <v>40389777</v>
      </c>
      <c r="D38" s="7"/>
      <c r="E38" s="1341">
        <f>E13-E36</f>
        <v>14571478.999249227</v>
      </c>
      <c r="F38" s="1193">
        <f t="shared" si="8"/>
        <v>54961255.999249339</v>
      </c>
      <c r="G38" s="1193">
        <f>G13-G36</f>
        <v>226529.38696778566</v>
      </c>
      <c r="H38" s="1342">
        <f t="shared" si="8"/>
        <v>55187785.386216998</v>
      </c>
      <c r="I38" s="7"/>
      <c r="J38" s="1343">
        <f t="shared" si="8"/>
        <v>4795803.0662799999</v>
      </c>
      <c r="K38" s="7"/>
      <c r="L38" s="1343">
        <f t="shared" si="8"/>
        <v>59983587.452497005</v>
      </c>
    </row>
    <row r="39" spans="1:12">
      <c r="A39" s="4">
        <v>31</v>
      </c>
      <c r="B39" s="1154"/>
      <c r="C39" s="1150"/>
      <c r="D39" s="7"/>
      <c r="E39" s="1134"/>
      <c r="F39" s="7"/>
      <c r="G39" s="7"/>
      <c r="H39" s="1135"/>
      <c r="I39" s="7"/>
      <c r="J39" s="1150"/>
      <c r="K39" s="7"/>
      <c r="L39" s="1150"/>
    </row>
    <row r="40" spans="1:12">
      <c r="A40" s="4">
        <v>32</v>
      </c>
      <c r="B40" s="1182" t="s">
        <v>36</v>
      </c>
      <c r="C40" s="1150"/>
      <c r="D40" s="7"/>
      <c r="E40" s="1134"/>
      <c r="F40" s="7"/>
      <c r="G40" s="7"/>
      <c r="H40" s="1135"/>
      <c r="I40" s="7"/>
      <c r="J40" s="1150"/>
      <c r="K40" s="7"/>
      <c r="L40" s="1150"/>
    </row>
    <row r="41" spans="1:12">
      <c r="A41" s="4">
        <v>33</v>
      </c>
      <c r="B41" s="1154" t="s">
        <v>37</v>
      </c>
      <c r="C41" s="1149">
        <v>1647982661</v>
      </c>
      <c r="D41" s="1008"/>
      <c r="E41" s="1134">
        <f>'Adjustments - restating'!C39</f>
        <v>63205959.0172254</v>
      </c>
      <c r="F41" s="1008">
        <f t="shared" ref="F41:F51" si="9">+C41+E41</f>
        <v>1711188620.0172255</v>
      </c>
      <c r="G41" s="7">
        <f>'Adjustments - Pro Forma'!C39</f>
        <v>40737064.294960074</v>
      </c>
      <c r="H41" s="1133">
        <f t="shared" ref="H41:H51" si="10">+F41+G41</f>
        <v>1751925684.3121855</v>
      </c>
      <c r="I41" s="1008"/>
      <c r="J41" s="1150"/>
      <c r="K41" s="1008"/>
      <c r="L41" s="1149">
        <f t="shared" ref="L41:L51" si="11">+J41+H41</f>
        <v>1751925684.3121855</v>
      </c>
    </row>
    <row r="42" spans="1:12">
      <c r="A42" s="4">
        <v>34</v>
      </c>
      <c r="B42" s="1154" t="s">
        <v>38</v>
      </c>
      <c r="C42" s="1149">
        <v>234062</v>
      </c>
      <c r="D42" s="1008"/>
      <c r="E42" s="1134">
        <f>'Adjustments - restating'!C40</f>
        <v>0</v>
      </c>
      <c r="F42" s="1008">
        <f t="shared" si="9"/>
        <v>234062</v>
      </c>
      <c r="G42" s="7">
        <f>'Adjustments - Pro Forma'!C40</f>
        <v>0</v>
      </c>
      <c r="H42" s="1133">
        <f t="shared" si="10"/>
        <v>234062</v>
      </c>
      <c r="I42" s="1008"/>
      <c r="J42" s="1150"/>
      <c r="K42" s="1008"/>
      <c r="L42" s="1149">
        <f t="shared" si="11"/>
        <v>234062</v>
      </c>
    </row>
    <row r="43" spans="1:12">
      <c r="A43" s="4">
        <v>35</v>
      </c>
      <c r="B43" s="1154" t="s">
        <v>39</v>
      </c>
      <c r="C43" s="1149">
        <v>13696536</v>
      </c>
      <c r="D43" s="1008"/>
      <c r="E43" s="1134">
        <f>'Adjustments - restating'!C41</f>
        <v>-5468734.5442685261</v>
      </c>
      <c r="F43" s="1008">
        <f t="shared" si="9"/>
        <v>8227801.4557314739</v>
      </c>
      <c r="G43" s="7">
        <f>'Adjustments - Pro Forma'!C41</f>
        <v>-202651.71009212057</v>
      </c>
      <c r="H43" s="1133">
        <f t="shared" si="10"/>
        <v>8025149.7456393531</v>
      </c>
      <c r="I43" s="1008"/>
      <c r="J43" s="1150"/>
      <c r="K43" s="1008"/>
      <c r="L43" s="1149">
        <f t="shared" si="11"/>
        <v>8025149.7456393531</v>
      </c>
    </row>
    <row r="44" spans="1:12">
      <c r="A44" s="4">
        <v>36</v>
      </c>
      <c r="B44" s="1154" t="s">
        <v>40</v>
      </c>
      <c r="C44" s="1149"/>
      <c r="D44" s="1008"/>
      <c r="E44" s="1134">
        <f>'Adjustments - restating'!C42</f>
        <v>0</v>
      </c>
      <c r="F44" s="1008">
        <f t="shared" si="9"/>
        <v>0</v>
      </c>
      <c r="G44" s="7">
        <f>'Adjustments - Pro Forma'!C42</f>
        <v>0</v>
      </c>
      <c r="H44" s="1133">
        <f t="shared" si="10"/>
        <v>0</v>
      </c>
      <c r="I44" s="1008"/>
      <c r="J44" s="1150"/>
      <c r="K44" s="1008"/>
      <c r="L44" s="1149">
        <f t="shared" si="11"/>
        <v>0</v>
      </c>
    </row>
    <row r="45" spans="1:12">
      <c r="A45" s="4">
        <v>37</v>
      </c>
      <c r="B45" s="1154" t="s">
        <v>41</v>
      </c>
      <c r="C45" s="1149"/>
      <c r="D45" s="1008"/>
      <c r="E45" s="1134">
        <f>'Adjustments - restating'!C43</f>
        <v>0</v>
      </c>
      <c r="F45" s="1008">
        <f t="shared" si="9"/>
        <v>0</v>
      </c>
      <c r="G45" s="7">
        <f>'Adjustments - Pro Forma'!C43</f>
        <v>0</v>
      </c>
      <c r="H45" s="1133">
        <f t="shared" si="10"/>
        <v>0</v>
      </c>
      <c r="I45" s="1008"/>
      <c r="J45" s="1150"/>
      <c r="K45" s="1008"/>
      <c r="L45" s="1149">
        <f t="shared" si="11"/>
        <v>0</v>
      </c>
    </row>
    <row r="46" spans="1:12">
      <c r="A46" s="4">
        <v>38</v>
      </c>
      <c r="B46" s="1154" t="s">
        <v>42</v>
      </c>
      <c r="C46" s="1149">
        <v>1743279</v>
      </c>
      <c r="D46" s="1008"/>
      <c r="E46" s="1134">
        <f>'Adjustments - restating'!C44</f>
        <v>-1743278.7185106392</v>
      </c>
      <c r="F46" s="1008">
        <f t="shared" si="9"/>
        <v>0.28148936084471643</v>
      </c>
      <c r="G46" s="7">
        <f>'Adjustments - Pro Forma'!C44</f>
        <v>0</v>
      </c>
      <c r="H46" s="1133">
        <f t="shared" si="10"/>
        <v>0.28148936084471643</v>
      </c>
      <c r="I46" s="1008"/>
      <c r="J46" s="1150"/>
      <c r="K46" s="1008"/>
      <c r="L46" s="1149">
        <f t="shared" si="11"/>
        <v>0.28148936084471643</v>
      </c>
    </row>
    <row r="47" spans="1:12">
      <c r="A47" s="4">
        <v>39</v>
      </c>
      <c r="B47" s="1154" t="s">
        <v>43</v>
      </c>
      <c r="C47" s="1149">
        <v>6914149</v>
      </c>
      <c r="D47" s="1008"/>
      <c r="E47" s="1134">
        <f>'Adjustments - restating'!C45</f>
        <v>-6914148.5720945681</v>
      </c>
      <c r="F47" s="1008">
        <f t="shared" si="9"/>
        <v>0.4279054319486022</v>
      </c>
      <c r="G47" s="7">
        <f>'Adjustments - Pro Forma'!C45</f>
        <v>0</v>
      </c>
      <c r="H47" s="1133">
        <f t="shared" si="10"/>
        <v>0.4279054319486022</v>
      </c>
      <c r="I47" s="1008"/>
      <c r="J47" s="1150"/>
      <c r="K47" s="1008"/>
      <c r="L47" s="1149">
        <f t="shared" si="11"/>
        <v>0.4279054319486022</v>
      </c>
    </row>
    <row r="48" spans="1:12">
      <c r="A48" s="4">
        <v>40</v>
      </c>
      <c r="B48" s="1154" t="s">
        <v>44</v>
      </c>
      <c r="C48" s="1149">
        <v>6926885</v>
      </c>
      <c r="D48" s="1008"/>
      <c r="E48" s="1134">
        <f>'Adjustments - restating'!C46</f>
        <v>-6926884.9266495155</v>
      </c>
      <c r="F48" s="1008">
        <f t="shared" si="9"/>
        <v>7.3350484482944012E-2</v>
      </c>
      <c r="G48" s="7">
        <f>'Adjustments - Pro Forma'!C46</f>
        <v>0</v>
      </c>
      <c r="H48" s="1133">
        <f t="shared" si="10"/>
        <v>7.3350484482944012E-2</v>
      </c>
      <c r="I48" s="1008"/>
      <c r="J48" s="1150"/>
      <c r="K48" s="1008"/>
      <c r="L48" s="1149">
        <f t="shared" si="11"/>
        <v>7.3350484482944012E-2</v>
      </c>
    </row>
    <row r="49" spans="1:12">
      <c r="A49" s="4">
        <v>41</v>
      </c>
      <c r="B49" s="1154" t="s">
        <v>9</v>
      </c>
      <c r="C49" s="1149">
        <v>2438704</v>
      </c>
      <c r="D49" s="1008"/>
      <c r="E49" s="1134">
        <f>'Adjustments - restating'!C47</f>
        <v>28579779.133268069</v>
      </c>
      <c r="F49" s="1008">
        <f t="shared" si="9"/>
        <v>31018483.133268069</v>
      </c>
      <c r="G49" s="7">
        <f>'Adjustments - Pro Forma'!C47</f>
        <v>0</v>
      </c>
      <c r="H49" s="1133">
        <f t="shared" si="10"/>
        <v>31018483.133268069</v>
      </c>
      <c r="I49" s="1008"/>
      <c r="J49" s="1150"/>
      <c r="K49" s="1008"/>
      <c r="L49" s="1149">
        <f t="shared" si="11"/>
        <v>31018483.133268069</v>
      </c>
    </row>
    <row r="50" spans="1:12">
      <c r="A50" s="4">
        <v>42</v>
      </c>
      <c r="B50" s="1154" t="s">
        <v>45</v>
      </c>
      <c r="C50" s="1149">
        <v>1932316</v>
      </c>
      <c r="D50" s="1008"/>
      <c r="E50" s="1134">
        <f>'Adjustments - restating'!C48</f>
        <v>0</v>
      </c>
      <c r="F50" s="1008">
        <f t="shared" si="9"/>
        <v>1932316</v>
      </c>
      <c r="G50" s="7">
        <f>'Adjustments - Pro Forma'!C48</f>
        <v>0</v>
      </c>
      <c r="H50" s="1133">
        <f t="shared" si="10"/>
        <v>1932316</v>
      </c>
      <c r="I50" s="1008"/>
      <c r="J50" s="1150"/>
      <c r="K50" s="1008"/>
      <c r="L50" s="1149">
        <f t="shared" si="11"/>
        <v>1932316</v>
      </c>
    </row>
    <row r="51" spans="1:12">
      <c r="A51" s="4">
        <v>43</v>
      </c>
      <c r="B51" s="1154" t="s">
        <v>46</v>
      </c>
      <c r="C51" s="1149"/>
      <c r="D51" s="1008"/>
      <c r="E51" s="1134">
        <f>'Adjustments - restating'!C49</f>
        <v>0</v>
      </c>
      <c r="F51" s="1008">
        <f t="shared" si="9"/>
        <v>0</v>
      </c>
      <c r="G51" s="7">
        <f>'Adjustments - Pro Forma'!C49</f>
        <v>0</v>
      </c>
      <c r="H51" s="1133">
        <f t="shared" si="10"/>
        <v>0</v>
      </c>
      <c r="I51" s="1008"/>
      <c r="J51" s="1150"/>
      <c r="K51" s="1008"/>
      <c r="L51" s="1149">
        <f t="shared" si="11"/>
        <v>0</v>
      </c>
    </row>
    <row r="52" spans="1:12">
      <c r="A52" s="4">
        <v>44</v>
      </c>
      <c r="B52" s="1181" t="s">
        <v>47</v>
      </c>
      <c r="C52" s="1166">
        <f t="shared" ref="C52:L52" si="12">SUM(C41:C51)</f>
        <v>1681868592</v>
      </c>
      <c r="D52" s="7"/>
      <c r="E52" s="1163">
        <f>SUM(E41:E51)</f>
        <v>70732691.388970211</v>
      </c>
      <c r="F52" s="1164">
        <f t="shared" si="12"/>
        <v>1752601283.3889701</v>
      </c>
      <c r="G52" s="1164">
        <f>SUM(G41:G51)</f>
        <v>40534412.584867954</v>
      </c>
      <c r="H52" s="1165">
        <f t="shared" si="12"/>
        <v>1793135695.9738381</v>
      </c>
      <c r="I52" s="7"/>
      <c r="J52" s="1166">
        <f t="shared" si="12"/>
        <v>0</v>
      </c>
      <c r="K52" s="7"/>
      <c r="L52" s="1166">
        <f t="shared" si="12"/>
        <v>1793135695.9738381</v>
      </c>
    </row>
    <row r="53" spans="1:12">
      <c r="A53" s="4">
        <v>45</v>
      </c>
      <c r="B53" s="1154"/>
      <c r="C53" s="1150"/>
      <c r="D53" s="7"/>
      <c r="E53" s="1134"/>
      <c r="F53" s="7"/>
      <c r="G53" s="7"/>
      <c r="H53" s="1135"/>
      <c r="I53" s="7"/>
      <c r="J53" s="1150"/>
      <c r="K53" s="7"/>
      <c r="L53" s="1150"/>
    </row>
    <row r="54" spans="1:12">
      <c r="A54" s="4">
        <v>46</v>
      </c>
      <c r="B54" s="1182" t="s">
        <v>48</v>
      </c>
      <c r="C54" s="1150"/>
      <c r="D54" s="7"/>
      <c r="E54" s="1134"/>
      <c r="F54" s="7"/>
      <c r="G54" s="7"/>
      <c r="H54" s="1135"/>
      <c r="I54" s="7"/>
      <c r="J54" s="1150"/>
      <c r="K54" s="7"/>
      <c r="L54" s="1150"/>
    </row>
    <row r="55" spans="1:12">
      <c r="A55" s="4">
        <v>47</v>
      </c>
      <c r="B55" s="1154" t="s">
        <v>49</v>
      </c>
      <c r="C55" s="1149">
        <v>-609540662</v>
      </c>
      <c r="D55" s="1008"/>
      <c r="E55" s="1134">
        <f>'Adjustments - restating'!C53</f>
        <v>-29125685.574347764</v>
      </c>
      <c r="F55" s="1008">
        <f t="shared" ref="F55:F61" si="13">+C55+E55</f>
        <v>-638666347.57434773</v>
      </c>
      <c r="G55" s="7">
        <f>'Adjustments - Pro Forma'!C53</f>
        <v>-967568.43619991688</v>
      </c>
      <c r="H55" s="1133">
        <f t="shared" ref="H55:H61" si="14">+F55+G55</f>
        <v>-639633916.01054764</v>
      </c>
      <c r="I55" s="1008"/>
      <c r="J55" s="1150"/>
      <c r="K55" s="1008"/>
      <c r="L55" s="1149">
        <f t="shared" ref="L55:L61" si="15">+J55+H55</f>
        <v>-639633916.01054764</v>
      </c>
    </row>
    <row r="56" spans="1:12">
      <c r="A56" s="4">
        <v>48</v>
      </c>
      <c r="B56" s="1154" t="s">
        <v>50</v>
      </c>
      <c r="C56" s="1149">
        <v>-46230330</v>
      </c>
      <c r="D56" s="1008"/>
      <c r="E56" s="1134">
        <f>'Adjustments - restating'!C54</f>
        <v>-38827.45374999987</v>
      </c>
      <c r="F56" s="1008">
        <f t="shared" si="13"/>
        <v>-46269157.453749999</v>
      </c>
      <c r="G56" s="7">
        <f>'Adjustments - Pro Forma'!C54</f>
        <v>0</v>
      </c>
      <c r="H56" s="1133">
        <f t="shared" si="14"/>
        <v>-46269157.453749999</v>
      </c>
      <c r="I56" s="1008"/>
      <c r="J56" s="1150"/>
      <c r="K56" s="1008"/>
      <c r="L56" s="1149">
        <f t="shared" si="15"/>
        <v>-46269157.453749999</v>
      </c>
    </row>
    <row r="57" spans="1:12">
      <c r="A57" s="4">
        <v>49</v>
      </c>
      <c r="B57" s="1154" t="s">
        <v>51</v>
      </c>
      <c r="C57" s="1149">
        <v>-231233127</v>
      </c>
      <c r="D57" s="1008"/>
      <c r="E57" s="1134">
        <f>'Adjustments - restating'!C55</f>
        <v>-13295615.908060301</v>
      </c>
      <c r="F57" s="1008">
        <f t="shared" si="13"/>
        <v>-244528742.90806031</v>
      </c>
      <c r="G57" s="7">
        <f>'Adjustments - Pro Forma'!C55</f>
        <v>-2143045.1848245496</v>
      </c>
      <c r="H57" s="1133">
        <f t="shared" si="14"/>
        <v>-246671788.09288487</v>
      </c>
      <c r="I57" s="1008"/>
      <c r="J57" s="1150"/>
      <c r="K57" s="1008"/>
      <c r="L57" s="1149">
        <f t="shared" si="15"/>
        <v>-246671788.09288487</v>
      </c>
    </row>
    <row r="58" spans="1:12">
      <c r="A58" s="4">
        <v>50</v>
      </c>
      <c r="B58" s="1154" t="s">
        <v>52</v>
      </c>
      <c r="C58" s="1149">
        <v>-248421</v>
      </c>
      <c r="D58" s="1008"/>
      <c r="E58" s="1134">
        <f>'Adjustments - restating'!C56</f>
        <v>1645.6848</v>
      </c>
      <c r="F58" s="1008">
        <f t="shared" si="13"/>
        <v>-246775.31520000001</v>
      </c>
      <c r="G58" s="7">
        <f>'Adjustments - Pro Forma'!C56</f>
        <v>0</v>
      </c>
      <c r="H58" s="1133">
        <f t="shared" si="14"/>
        <v>-246775.31520000001</v>
      </c>
      <c r="I58" s="1008"/>
      <c r="J58" s="1150"/>
      <c r="K58" s="1008"/>
      <c r="L58" s="1149">
        <f t="shared" si="15"/>
        <v>-246775.31520000001</v>
      </c>
    </row>
    <row r="59" spans="1:12">
      <c r="A59" s="4">
        <v>51</v>
      </c>
      <c r="B59" s="1154" t="s">
        <v>53</v>
      </c>
      <c r="C59" s="1149">
        <v>-7410</v>
      </c>
      <c r="D59" s="1008"/>
      <c r="E59" s="1134">
        <f>'Adjustments - restating'!C57</f>
        <v>-481414.22831967159</v>
      </c>
      <c r="F59" s="1008">
        <f t="shared" si="13"/>
        <v>-488824.22831967159</v>
      </c>
      <c r="G59" s="7">
        <f>'Adjustments - Pro Forma'!C57</f>
        <v>0</v>
      </c>
      <c r="H59" s="1133">
        <f t="shared" si="14"/>
        <v>-488824.22831967159</v>
      </c>
      <c r="I59" s="1008"/>
      <c r="J59" s="1150"/>
      <c r="K59" s="1008"/>
      <c r="L59" s="1149">
        <f t="shared" si="15"/>
        <v>-488824.22831967159</v>
      </c>
    </row>
    <row r="60" spans="1:12">
      <c r="A60" s="4">
        <v>52</v>
      </c>
      <c r="B60" s="1154" t="s">
        <v>54</v>
      </c>
      <c r="C60" s="1149"/>
      <c r="D60" s="1008"/>
      <c r="E60" s="1134">
        <f>'Adjustments - restating'!C58</f>
        <v>-3361133.729166666</v>
      </c>
      <c r="F60" s="1008">
        <f t="shared" si="13"/>
        <v>-3361133.729166666</v>
      </c>
      <c r="G60" s="7">
        <f>'Adjustments - Pro Forma'!C58</f>
        <v>0</v>
      </c>
      <c r="H60" s="1133">
        <f t="shared" si="14"/>
        <v>-3361133.729166666</v>
      </c>
      <c r="I60" s="1008"/>
      <c r="J60" s="1150"/>
      <c r="K60" s="1008"/>
      <c r="L60" s="1149">
        <f t="shared" si="15"/>
        <v>-3361133.729166666</v>
      </c>
    </row>
    <row r="61" spans="1:12">
      <c r="A61" s="4">
        <v>53</v>
      </c>
      <c r="B61" s="1154" t="s">
        <v>55</v>
      </c>
      <c r="C61" s="1149">
        <v>-6352268</v>
      </c>
      <c r="D61" s="1008"/>
      <c r="E61" s="1134">
        <f>'Adjustments - restating'!C59</f>
        <v>-83642.64791666661</v>
      </c>
      <c r="F61" s="1008">
        <f t="shared" si="13"/>
        <v>-6435910.6479166662</v>
      </c>
      <c r="G61" s="7">
        <f>'Adjustments - Pro Forma'!C59</f>
        <v>-402745.59474258736</v>
      </c>
      <c r="H61" s="1133">
        <f t="shared" si="14"/>
        <v>-6838656.242659254</v>
      </c>
      <c r="I61" s="1008"/>
      <c r="J61" s="1150"/>
      <c r="K61" s="1008"/>
      <c r="L61" s="1149">
        <f t="shared" si="15"/>
        <v>-6838656.242659254</v>
      </c>
    </row>
    <row r="62" spans="1:12">
      <c r="A62" s="4">
        <v>54</v>
      </c>
      <c r="B62" s="1181" t="s">
        <v>71</v>
      </c>
      <c r="C62" s="1166">
        <f>SUM(C55:C61)</f>
        <v>-893612218</v>
      </c>
      <c r="D62" s="7"/>
      <c r="E62" s="1163">
        <f>SUM(E55:E61)</f>
        <v>-46384673.856761068</v>
      </c>
      <c r="F62" s="1164">
        <f>SUM(F55:F61)</f>
        <v>-939996891.85676098</v>
      </c>
      <c r="G62" s="1164">
        <f>SUM(G55:G61)</f>
        <v>-3513359.2157670539</v>
      </c>
      <c r="H62" s="1165">
        <f>SUM(H55:H61)</f>
        <v>-943510251.072528</v>
      </c>
      <c r="I62" s="7"/>
      <c r="J62" s="1166">
        <f>SUM(J55:J61)</f>
        <v>0</v>
      </c>
      <c r="K62" s="7"/>
      <c r="L62" s="1166">
        <f>SUM(L55:L61)</f>
        <v>-943510251.072528</v>
      </c>
    </row>
    <row r="63" spans="1:12">
      <c r="A63" s="4">
        <v>55</v>
      </c>
      <c r="B63" s="1154"/>
      <c r="C63" s="1150"/>
      <c r="D63" s="7"/>
      <c r="E63" s="1134"/>
      <c r="F63" s="7"/>
      <c r="G63" s="7"/>
      <c r="H63" s="1135"/>
      <c r="I63" s="7"/>
      <c r="J63" s="1150"/>
      <c r="K63" s="7"/>
      <c r="L63" s="1150"/>
    </row>
    <row r="64" spans="1:12" ht="13.5" thickBot="1">
      <c r="A64" s="4">
        <v>56</v>
      </c>
      <c r="B64" s="1190" t="s">
        <v>57</v>
      </c>
      <c r="C64" s="1170">
        <f>C52+C62</f>
        <v>788256374</v>
      </c>
      <c r="D64" s="7"/>
      <c r="E64" s="1167">
        <f>E52+E62</f>
        <v>24348017.532209143</v>
      </c>
      <c r="F64" s="1168">
        <f>F52+F62</f>
        <v>812604391.53220916</v>
      </c>
      <c r="G64" s="1168">
        <f>G52+G62</f>
        <v>37021053.369100899</v>
      </c>
      <c r="H64" s="1169">
        <f>H52+H62</f>
        <v>849625444.90131009</v>
      </c>
      <c r="I64" s="7"/>
      <c r="J64" s="1191">
        <f>J52+J62</f>
        <v>0</v>
      </c>
      <c r="K64" s="7"/>
      <c r="L64" s="1170">
        <f>L52+L62</f>
        <v>849625444.90131009</v>
      </c>
    </row>
    <row r="65" spans="1:12" ht="14.25" thickTop="1" thickBot="1">
      <c r="A65" s="4">
        <v>57</v>
      </c>
      <c r="B65" s="1154"/>
      <c r="C65" s="1153"/>
      <c r="D65" s="1097"/>
      <c r="E65" s="1134"/>
      <c r="F65" s="1097"/>
      <c r="G65" s="7"/>
      <c r="H65" s="1138"/>
      <c r="I65" s="1097"/>
      <c r="J65" s="1153"/>
      <c r="K65" s="1097"/>
      <c r="L65" s="1153"/>
    </row>
    <row r="66" spans="1:12" ht="13.5" thickBot="1">
      <c r="A66" s="4">
        <v>58</v>
      </c>
      <c r="B66" s="1195" t="s">
        <v>0</v>
      </c>
      <c r="C66" s="1197">
        <f>C38/C64</f>
        <v>5.1239391563740147E-2</v>
      </c>
      <c r="D66" s="1339"/>
      <c r="E66" s="1344"/>
      <c r="F66" s="1196">
        <f>F38/F64</f>
        <v>6.7635932776116237E-2</v>
      </c>
      <c r="G66" s="1196"/>
      <c r="H66" s="1345">
        <f>H38/H64</f>
        <v>6.4955429145165777E-2</v>
      </c>
      <c r="I66" s="1339"/>
      <c r="J66" s="1346"/>
      <c r="K66" s="1339"/>
      <c r="L66" s="1347">
        <f>L38/L64</f>
        <v>7.0600036536646468E-2</v>
      </c>
    </row>
    <row r="67" spans="1:12" ht="14.25" thickBot="1">
      <c r="A67" s="4">
        <v>59</v>
      </c>
      <c r="B67" s="1186"/>
      <c r="C67" s="1154"/>
      <c r="D67" s="20"/>
      <c r="E67" s="1134"/>
      <c r="F67" s="20"/>
      <c r="G67" s="7"/>
      <c r="H67" s="1139"/>
      <c r="I67" s="20"/>
      <c r="J67" s="1158"/>
      <c r="K67" s="20"/>
      <c r="L67" s="1154"/>
    </row>
    <row r="68" spans="1:12" ht="13.5" thickBot="1">
      <c r="A68" s="4">
        <v>60</v>
      </c>
      <c r="B68" s="1187" t="s">
        <v>58</v>
      </c>
      <c r="C68" s="1154"/>
      <c r="D68" s="20"/>
      <c r="E68" s="1134"/>
      <c r="F68" s="20"/>
      <c r="G68" s="7"/>
      <c r="H68" s="1139"/>
      <c r="I68" s="20"/>
      <c r="J68" s="1198">
        <v>0.35</v>
      </c>
      <c r="K68" s="20"/>
      <c r="L68" s="1154"/>
    </row>
    <row r="69" spans="1:12">
      <c r="A69" s="4">
        <v>61</v>
      </c>
      <c r="B69" s="1154" t="s">
        <v>61</v>
      </c>
      <c r="C69" s="1150">
        <f>C13-C26-C28-C29-C30-C35</f>
        <v>46261016</v>
      </c>
      <c r="D69" s="7"/>
      <c r="E69" s="1137">
        <f>E13-E26-E28-E29-E30-E35</f>
        <v>20839730.420236949</v>
      </c>
      <c r="F69" s="7">
        <f t="shared" ref="F69:F74" si="16">+C69+E69</f>
        <v>67100746.420236945</v>
      </c>
      <c r="G69" s="21">
        <f>G13-G26-G28-G29-G30-G35</f>
        <v>-920310.24584627768</v>
      </c>
      <c r="H69" s="1135">
        <f t="shared" ref="H69:H74" si="17">+F69+G69</f>
        <v>66180436.174390666</v>
      </c>
      <c r="I69" s="7"/>
      <c r="J69" s="1152">
        <f>J13-J26-J28-J29-J30-J35</f>
        <v>7378157.0662799999</v>
      </c>
      <c r="K69" s="7"/>
      <c r="L69" s="1150">
        <f>L13-L26-L28-L29-L30-L35</f>
        <v>73558593.240670711</v>
      </c>
    </row>
    <row r="70" spans="1:12">
      <c r="A70" s="4">
        <v>62</v>
      </c>
      <c r="B70" s="1154" t="s">
        <v>62</v>
      </c>
      <c r="C70" s="1149">
        <v>0</v>
      </c>
      <c r="D70" s="1008"/>
      <c r="E70" s="1134">
        <f>'Adjustments - restating'!C69</f>
        <v>0</v>
      </c>
      <c r="F70" s="7">
        <f t="shared" si="16"/>
        <v>0</v>
      </c>
      <c r="G70" s="21">
        <f>'Adjustments - Pro Forma'!C69</f>
        <v>0</v>
      </c>
      <c r="H70" s="1133">
        <f t="shared" si="17"/>
        <v>0</v>
      </c>
      <c r="I70" s="1008"/>
      <c r="J70" s="1155"/>
      <c r="K70" s="1008"/>
      <c r="L70" s="1149"/>
    </row>
    <row r="71" spans="1:12">
      <c r="A71" s="4">
        <v>63</v>
      </c>
      <c r="B71" s="1154" t="s">
        <v>63</v>
      </c>
      <c r="C71" s="1149">
        <v>-3560992</v>
      </c>
      <c r="D71" s="1008"/>
      <c r="E71" s="1137">
        <f>'Adjustments - restating'!C70</f>
        <v>0</v>
      </c>
      <c r="F71" s="1008">
        <f t="shared" si="16"/>
        <v>-3560992</v>
      </c>
      <c r="G71" s="21">
        <f>'Adjustments - Pro Forma'!C70</f>
        <v>0</v>
      </c>
      <c r="H71" s="1133">
        <f t="shared" si="17"/>
        <v>-3560992</v>
      </c>
      <c r="I71" s="1008"/>
      <c r="J71" s="1155"/>
      <c r="K71" s="1008"/>
      <c r="L71" s="1149">
        <f>+J71+H71</f>
        <v>-3560992</v>
      </c>
    </row>
    <row r="72" spans="1:12">
      <c r="A72" s="4">
        <v>64</v>
      </c>
      <c r="B72" s="1154" t="s">
        <v>5</v>
      </c>
      <c r="C72" s="1149">
        <v>21485186</v>
      </c>
      <c r="D72" s="1008"/>
      <c r="E72" s="1137">
        <f>'Adjustments - restating'!C71</f>
        <v>-177756.65610742569</v>
      </c>
      <c r="F72" s="1008">
        <f t="shared" si="16"/>
        <v>21307429.343892574</v>
      </c>
      <c r="G72" s="21">
        <f>'Adjustments - Pro Forma'!C71</f>
        <v>970734.96375973523</v>
      </c>
      <c r="H72" s="1133">
        <f t="shared" si="17"/>
        <v>22278164.30765231</v>
      </c>
      <c r="I72" s="1008"/>
      <c r="J72" s="1155"/>
      <c r="K72" s="1008"/>
      <c r="L72" s="1149">
        <f>+J72+H72</f>
        <v>22278164.30765231</v>
      </c>
    </row>
    <row r="73" spans="1:12">
      <c r="A73" s="4">
        <v>65</v>
      </c>
      <c r="B73" s="1154" t="s">
        <v>64</v>
      </c>
      <c r="C73" s="1149">
        <v>-9707042</v>
      </c>
      <c r="D73" s="1008"/>
      <c r="E73" s="1137">
        <f>'Adjustments - restating'!C72</f>
        <v>1307442.0048251702</v>
      </c>
      <c r="F73" s="1008">
        <f t="shared" si="16"/>
        <v>-8399599.9951748289</v>
      </c>
      <c r="G73" s="21">
        <f>'Adjustments - Pro Forma'!C72</f>
        <v>549094.19966801419</v>
      </c>
      <c r="H73" s="1133">
        <f t="shared" si="17"/>
        <v>-7850505.7955068145</v>
      </c>
      <c r="I73" s="1008"/>
      <c r="J73" s="1155"/>
      <c r="K73" s="1008"/>
      <c r="L73" s="1149">
        <f>+J73+H73</f>
        <v>-7850505.7955068145</v>
      </c>
    </row>
    <row r="74" spans="1:12">
      <c r="A74" s="4">
        <v>66</v>
      </c>
      <c r="B74" s="1185" t="s">
        <v>65</v>
      </c>
      <c r="C74" s="1151">
        <v>0</v>
      </c>
      <c r="D74" s="1008"/>
      <c r="E74" s="1348">
        <f>'Adjustments - restating'!C73</f>
        <v>541075.95803906047</v>
      </c>
      <c r="F74" s="1010">
        <f t="shared" si="16"/>
        <v>541075.95803906047</v>
      </c>
      <c r="G74" s="1349">
        <f>'Adjustments - Pro Forma'!C73</f>
        <v>6718478.7721369304</v>
      </c>
      <c r="H74" s="1136">
        <f t="shared" si="17"/>
        <v>7259554.7301759906</v>
      </c>
      <c r="I74" s="1008"/>
      <c r="J74" s="1159"/>
      <c r="K74" s="1008"/>
      <c r="L74" s="1151">
        <f>+J74+H74</f>
        <v>7259554.7301759906</v>
      </c>
    </row>
    <row r="75" spans="1:12">
      <c r="A75" s="4">
        <v>67</v>
      </c>
      <c r="B75" s="1154"/>
      <c r="C75" s="1155"/>
      <c r="D75" s="1130"/>
      <c r="E75" s="1140"/>
      <c r="F75" s="1130"/>
      <c r="G75" s="1130"/>
      <c r="H75" s="1141"/>
      <c r="I75" s="1130"/>
      <c r="J75" s="1155"/>
      <c r="K75" s="1130"/>
      <c r="L75" s="1155"/>
    </row>
    <row r="76" spans="1:12">
      <c r="A76" s="4">
        <v>68</v>
      </c>
      <c r="B76" s="1154" t="s">
        <v>66</v>
      </c>
      <c r="C76" s="1150">
        <f>C69-C71-C72+C73-C74</f>
        <v>18629780</v>
      </c>
      <c r="D76" s="7"/>
      <c r="E76" s="1140">
        <f>E69-E70-E71-E72+E73-E74</f>
        <v>21783853.123130485</v>
      </c>
      <c r="F76" s="7">
        <f t="shared" ref="F76" si="18">F69-F70-F71-F72+F73-F74</f>
        <v>40413633.123130485</v>
      </c>
      <c r="G76" s="1130">
        <f>G69-G70-G71-G72+G73-G74</f>
        <v>-8060429.7820749292</v>
      </c>
      <c r="H76" s="1135">
        <f>H69-H70-H71-H72+H73-H74</f>
        <v>32353203.341055561</v>
      </c>
      <c r="I76" s="7"/>
      <c r="J76" s="1155">
        <f>J69-J70-J71-J72+J73-J74</f>
        <v>7378157.0662799999</v>
      </c>
      <c r="K76" s="7"/>
      <c r="L76" s="1150">
        <f>L69-L70-L71-L72+L73-L74</f>
        <v>39731360.407335594</v>
      </c>
    </row>
    <row r="77" spans="1:12">
      <c r="A77" s="4">
        <v>69</v>
      </c>
      <c r="B77" s="1154" t="s">
        <v>67</v>
      </c>
      <c r="C77" s="1149">
        <v>0</v>
      </c>
      <c r="D77" s="1008"/>
      <c r="E77" s="1140">
        <f>'Adjustments - restating'!C76</f>
        <v>0</v>
      </c>
      <c r="F77" s="1008">
        <f>+C77+E77</f>
        <v>0</v>
      </c>
      <c r="G77" s="1130">
        <f>'Adjustments - Pro Forma'!C76</f>
        <v>0</v>
      </c>
      <c r="H77" s="1133">
        <f>+C77+E77</f>
        <v>0</v>
      </c>
      <c r="I77" s="1008"/>
      <c r="J77" s="1155"/>
      <c r="K77" s="1008"/>
      <c r="L77" s="1149">
        <f>+J77+H77</f>
        <v>0</v>
      </c>
    </row>
    <row r="78" spans="1:12">
      <c r="A78" s="4">
        <v>70</v>
      </c>
      <c r="B78" s="1188" t="s">
        <v>68</v>
      </c>
      <c r="C78" s="1156">
        <f t="shared" ref="C78:L78" si="19">C76-C77</f>
        <v>18629780</v>
      </c>
      <c r="D78" s="7"/>
      <c r="E78" s="1147">
        <f>E76-E77</f>
        <v>21783853.123130485</v>
      </c>
      <c r="F78" s="1112">
        <f t="shared" si="19"/>
        <v>40413633.123130485</v>
      </c>
      <c r="G78" s="1374">
        <f>G76-G77</f>
        <v>-8060429.7820749292</v>
      </c>
      <c r="H78" s="1143">
        <f t="shared" si="19"/>
        <v>32353203.341055561</v>
      </c>
      <c r="I78" s="7"/>
      <c r="J78" s="1160">
        <f t="shared" si="19"/>
        <v>7378157.0662799999</v>
      </c>
      <c r="K78" s="7"/>
      <c r="L78" s="1156">
        <f t="shared" si="19"/>
        <v>39731360.407335594</v>
      </c>
    </row>
    <row r="79" spans="1:12">
      <c r="A79" s="4">
        <v>71</v>
      </c>
      <c r="B79" s="1154" t="s">
        <v>480</v>
      </c>
      <c r="C79" s="1150">
        <f>ROUND(C78*J68,0)</f>
        <v>6520423</v>
      </c>
      <c r="D79" s="7"/>
      <c r="E79" s="1140">
        <f>ROUNDDOWN(E78*J68,0)</f>
        <v>7624348</v>
      </c>
      <c r="F79" s="7">
        <f>+C79+E79</f>
        <v>14144771</v>
      </c>
      <c r="G79" s="1130">
        <f>ROUNDDOWN(G78*J68,0)</f>
        <v>-2821150</v>
      </c>
      <c r="H79" s="1135">
        <f>+F79+G79</f>
        <v>11323621</v>
      </c>
      <c r="I79" s="7"/>
      <c r="J79" s="1155">
        <f>ROUNDDOWN(J78*J68,0)</f>
        <v>2582354</v>
      </c>
      <c r="K79" s="7"/>
      <c r="L79" s="1150">
        <f>ROUNDDOWN(L78*J68,0)</f>
        <v>13905976</v>
      </c>
    </row>
    <row r="80" spans="1:12">
      <c r="A80" s="4">
        <v>72</v>
      </c>
      <c r="B80" s="1154" t="s">
        <v>479</v>
      </c>
      <c r="C80" s="1149">
        <f>1000694-C79</f>
        <v>-5519729</v>
      </c>
      <c r="D80" s="1008"/>
      <c r="E80" s="1140">
        <f>'Adjustments - restating'!C79</f>
        <v>0</v>
      </c>
      <c r="F80" s="1008">
        <f>+C80+E80</f>
        <v>-5519729</v>
      </c>
      <c r="G80" s="1130">
        <f>'Adjustments - Pro Forma'!C79</f>
        <v>-667033.44483830314</v>
      </c>
      <c r="H80" s="1133">
        <f>+F80+G80</f>
        <v>-6186762.4448383031</v>
      </c>
      <c r="I80" s="1008"/>
      <c r="J80" s="1155">
        <f>'Adjustments - Pro Forma'!F79</f>
        <v>0</v>
      </c>
      <c r="K80" s="1008"/>
      <c r="L80" s="1149">
        <f>+H80+J80</f>
        <v>-6186762.4448383031</v>
      </c>
    </row>
    <row r="81" spans="1:12">
      <c r="A81" s="4">
        <v>73</v>
      </c>
      <c r="B81" s="1189" t="s">
        <v>72</v>
      </c>
      <c r="C81" s="1157">
        <f>+C80+C79</f>
        <v>1000694</v>
      </c>
      <c r="D81" s="7"/>
      <c r="E81" s="1173">
        <f>+E80+E79</f>
        <v>7624348</v>
      </c>
      <c r="F81" s="1145">
        <f>+F80+F79</f>
        <v>8625042</v>
      </c>
      <c r="G81" s="1375">
        <f>+G80+G79</f>
        <v>-3488183.4448383031</v>
      </c>
      <c r="H81" s="1146">
        <f>+F81+G81</f>
        <v>5136858.5551616969</v>
      </c>
      <c r="I81" s="7"/>
      <c r="J81" s="1376">
        <f>+J80+J79</f>
        <v>2582354</v>
      </c>
      <c r="K81" s="7"/>
      <c r="L81" s="1157">
        <f>L79+L80</f>
        <v>7719213.5551616969</v>
      </c>
    </row>
  </sheetData>
  <mergeCells count="10">
    <mergeCell ref="L6:L7"/>
    <mergeCell ref="A1:L1"/>
    <mergeCell ref="A2:L2"/>
    <mergeCell ref="A3:L3"/>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&amp;C&amp;"Times New Roman,Regular"&amp;20REVISED&amp;R&amp;"Times New Roman,Regular"Exhibit No.___(JLB-2r)
 Docket UE-140762, et al.
Page &amp;P of &amp;N</oddHeader>
  </headerFooter>
  <rowBreaks count="1" manualBreakCount="1">
    <brk id="52" max="16383" man="1"/>
  </rowBreaks>
  <ignoredErrors>
    <ignoredError sqref="H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218"/>
  <sheetViews>
    <sheetView workbookViewId="0">
      <selection activeCell="F16" sqref="F16"/>
    </sheetView>
  </sheetViews>
  <sheetFormatPr defaultColWidth="10" defaultRowHeight="12.75"/>
  <cols>
    <col min="1" max="1" width="26.28515625" style="1" customWidth="1"/>
    <col min="2" max="2" width="9.7109375" style="1" customWidth="1"/>
    <col min="3" max="3" width="6.28515625" style="1" customWidth="1"/>
    <col min="4" max="4" width="11.85546875" style="1" customWidth="1"/>
    <col min="5" max="5" width="9" style="1" customWidth="1"/>
    <col min="6" max="6" width="10" style="1" bestFit="1" customWidth="1"/>
    <col min="7" max="7" width="11.7109375" style="1" bestFit="1" customWidth="1"/>
    <col min="8" max="8" width="7.28515625" style="1" customWidth="1"/>
    <col min="9" max="16384" width="10" style="1"/>
  </cols>
  <sheetData>
    <row r="1" spans="1:8">
      <c r="A1" s="17" t="str">
        <f>RevReqSummary!A1</f>
        <v>PacifiCorp General Rate Case UE-140617</v>
      </c>
      <c r="B1" s="23"/>
      <c r="C1" s="23"/>
      <c r="D1" s="23"/>
      <c r="E1" s="23"/>
      <c r="F1" s="23"/>
      <c r="G1" s="23"/>
      <c r="H1" s="24"/>
    </row>
    <row r="2" spans="1:8">
      <c r="A2" s="17" t="str">
        <f>RevReqSummary!A2</f>
        <v>For The Twelve Months Ended December 2013 - Staff Revenue Requirement</v>
      </c>
      <c r="B2" s="23"/>
      <c r="C2" s="23"/>
      <c r="D2" s="23"/>
      <c r="E2" s="23"/>
      <c r="F2" s="23"/>
      <c r="G2" s="23"/>
      <c r="H2" s="24"/>
    </row>
    <row r="3" spans="1:8">
      <c r="A3" s="25" t="s">
        <v>395</v>
      </c>
      <c r="B3" s="23"/>
      <c r="C3" s="23"/>
      <c r="D3" s="23"/>
      <c r="E3" s="23"/>
      <c r="F3" s="23"/>
      <c r="G3" s="23"/>
      <c r="H3" s="24"/>
    </row>
    <row r="4" spans="1:8">
      <c r="A4" s="25" t="s">
        <v>484</v>
      </c>
      <c r="B4" s="23"/>
      <c r="C4" s="23"/>
      <c r="D4" s="23"/>
      <c r="E4" s="23"/>
      <c r="F4" s="23"/>
      <c r="G4" s="23"/>
      <c r="H4" s="24"/>
    </row>
    <row r="5" spans="1:8">
      <c r="B5" s="23"/>
      <c r="C5" s="23"/>
      <c r="D5" s="23"/>
      <c r="E5" s="23"/>
      <c r="F5" s="23"/>
      <c r="G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44"/>
      <c r="H8" s="24"/>
    </row>
    <row r="9" spans="1:8">
      <c r="A9" s="45" t="s">
        <v>139</v>
      </c>
      <c r="B9" s="30">
        <v>440</v>
      </c>
      <c r="C9" s="30" t="s">
        <v>140</v>
      </c>
      <c r="D9" s="32">
        <v>-3295454.1925052181</v>
      </c>
      <c r="E9" s="30" t="s">
        <v>141</v>
      </c>
      <c r="F9" s="33">
        <f>INDEX(WCAAllocations,IFERROR(MATCH(E9,WCAFactors,0),2),IFERROR(MATCH(E9,WCAStates,0),4))</f>
        <v>1</v>
      </c>
      <c r="G9" s="46">
        <f>D9</f>
        <v>-3295454.1925052181</v>
      </c>
      <c r="H9" s="24"/>
    </row>
    <row r="10" spans="1:8">
      <c r="A10" s="45" t="s">
        <v>143</v>
      </c>
      <c r="B10" s="30">
        <v>442</v>
      </c>
      <c r="C10" s="30" t="s">
        <v>140</v>
      </c>
      <c r="D10" s="32">
        <v>-2623431.8543896517</v>
      </c>
      <c r="E10" s="30" t="s">
        <v>141</v>
      </c>
      <c r="F10" s="33">
        <f>INDEX(WCAAllocations,IFERROR(MATCH(E10,WCAFactors,0),2),IFERROR(MATCH(E10,WCAStates,0),4))</f>
        <v>1</v>
      </c>
      <c r="G10" s="46">
        <f>D10</f>
        <v>-2623431.8543896517</v>
      </c>
      <c r="H10" s="24"/>
    </row>
    <row r="11" spans="1:8" ht="15.75">
      <c r="A11" s="45" t="s">
        <v>793</v>
      </c>
      <c r="B11" s="30">
        <v>442</v>
      </c>
      <c r="C11" s="30" t="s">
        <v>140</v>
      </c>
      <c r="D11" s="32">
        <v>-1528199.9830079658</v>
      </c>
      <c r="E11" s="30" t="s">
        <v>141</v>
      </c>
      <c r="F11" s="33">
        <f>INDEX(WCAAllocations,IFERROR(MATCH(E11,WCAFactors,0),2),IFERROR(MATCH(E11,WCAStates,0),4))</f>
        <v>1</v>
      </c>
      <c r="G11" s="46">
        <f>D11</f>
        <v>-1528199.9830079658</v>
      </c>
      <c r="H11" s="24"/>
    </row>
    <row r="12" spans="1:8">
      <c r="A12" s="45" t="s">
        <v>144</v>
      </c>
      <c r="B12" s="30">
        <v>444</v>
      </c>
      <c r="C12" s="30" t="s">
        <v>140</v>
      </c>
      <c r="D12" s="32">
        <v>19501.598623834783</v>
      </c>
      <c r="E12" s="30" t="s">
        <v>141</v>
      </c>
      <c r="F12" s="33">
        <f>INDEX(WCAAllocations,IFERROR(MATCH(E12,WCAFactors,0),2),IFERROR(MATCH(E12,WCAStates,0),4))</f>
        <v>1</v>
      </c>
      <c r="G12" s="46">
        <f>D12</f>
        <v>19501.598623834783</v>
      </c>
      <c r="H12" s="24"/>
    </row>
    <row r="13" spans="1:8">
      <c r="A13" s="29"/>
      <c r="B13" s="30"/>
      <c r="C13" s="30"/>
      <c r="D13" s="47"/>
      <c r="E13" s="30"/>
      <c r="F13" s="48"/>
      <c r="G13" s="46"/>
      <c r="H13" s="24"/>
    </row>
    <row r="14" spans="1:8" ht="13.5" thickBot="1">
      <c r="A14" s="29" t="s">
        <v>3</v>
      </c>
      <c r="B14" s="30"/>
      <c r="C14" s="30"/>
      <c r="D14" s="38">
        <f>SUM(D9:D12)</f>
        <v>-7427584.4312790008</v>
      </c>
      <c r="E14" s="30"/>
      <c r="F14" s="48"/>
      <c r="G14" s="49">
        <f>SUM(G9:G13)</f>
        <v>-7427584.4312790008</v>
      </c>
      <c r="H14" s="24"/>
    </row>
    <row r="15" spans="1:8" ht="13.5" thickTop="1">
      <c r="A15" s="29"/>
      <c r="B15" s="30"/>
      <c r="C15" s="30"/>
      <c r="D15" s="50"/>
      <c r="E15" s="30"/>
      <c r="F15" s="48"/>
      <c r="G15" s="46"/>
      <c r="H15" s="24"/>
    </row>
    <row r="16" spans="1:8" ht="15.75">
      <c r="A16" s="51" t="s">
        <v>794</v>
      </c>
      <c r="B16" s="30"/>
      <c r="C16" s="30"/>
      <c r="D16" s="50"/>
      <c r="E16" s="30"/>
      <c r="F16" s="48"/>
      <c r="G16" s="46"/>
      <c r="H16" s="24"/>
    </row>
    <row r="17" spans="1:8">
      <c r="A17" s="37"/>
      <c r="B17" s="30"/>
      <c r="C17" s="30"/>
      <c r="D17" s="52"/>
      <c r="E17" s="30"/>
      <c r="F17" s="48"/>
      <c r="G17" s="46"/>
      <c r="H17" s="24"/>
    </row>
    <row r="18" spans="1:8">
      <c r="A18" s="53" t="s">
        <v>145</v>
      </c>
      <c r="B18" s="30"/>
      <c r="C18" s="30"/>
      <c r="D18" s="31"/>
      <c r="E18" s="30"/>
      <c r="F18" s="48"/>
      <c r="G18" s="46"/>
      <c r="H18" s="24"/>
    </row>
    <row r="19" spans="1:8">
      <c r="A19" s="1396" t="s">
        <v>670</v>
      </c>
      <c r="B19" s="1396"/>
      <c r="C19" s="1396"/>
      <c r="D19" s="1396"/>
      <c r="E19" s="1396"/>
      <c r="F19" s="1396"/>
      <c r="G19" s="1396"/>
      <c r="H19" s="24"/>
    </row>
    <row r="20" spans="1:8" ht="13.15" customHeight="1">
      <c r="A20" s="1396"/>
      <c r="B20" s="1396"/>
      <c r="C20" s="1396"/>
      <c r="D20" s="1396"/>
      <c r="E20" s="1396"/>
      <c r="F20" s="1396"/>
      <c r="G20" s="1396"/>
      <c r="H20" s="1311"/>
    </row>
    <row r="21" spans="1:8">
      <c r="A21" s="1396"/>
      <c r="B21" s="1396"/>
      <c r="C21" s="1396"/>
      <c r="D21" s="1396"/>
      <c r="E21" s="1396"/>
      <c r="F21" s="1396"/>
      <c r="G21" s="1396"/>
      <c r="H21" s="1311"/>
    </row>
    <row r="22" spans="1:8">
      <c r="A22" s="1396"/>
      <c r="B22" s="1396"/>
      <c r="C22" s="1396"/>
      <c r="D22" s="1396"/>
      <c r="E22" s="1396"/>
      <c r="F22" s="1396"/>
      <c r="G22" s="1396"/>
      <c r="H22" s="1311"/>
    </row>
    <row r="23" spans="1:8">
      <c r="A23" s="1396"/>
      <c r="B23" s="1396"/>
      <c r="C23" s="1396"/>
      <c r="D23" s="1396"/>
      <c r="E23" s="1396"/>
      <c r="F23" s="1396"/>
      <c r="G23" s="1396"/>
      <c r="H23" s="1311"/>
    </row>
    <row r="24" spans="1:8">
      <c r="A24" s="1396"/>
      <c r="B24" s="1396"/>
      <c r="C24" s="1396"/>
      <c r="D24" s="1396"/>
      <c r="E24" s="1396"/>
      <c r="F24" s="1396"/>
      <c r="G24" s="1396"/>
      <c r="H24" s="1311"/>
    </row>
    <row r="25" spans="1:8">
      <c r="A25" s="29"/>
      <c r="B25" s="30"/>
      <c r="C25" s="30"/>
      <c r="D25" s="50"/>
      <c r="E25" s="30"/>
      <c r="F25" s="371"/>
      <c r="G25" s="46"/>
      <c r="H25" s="24"/>
    </row>
    <row r="26" spans="1:8">
      <c r="A26" s="29"/>
      <c r="B26" s="30"/>
      <c r="C26" s="30"/>
      <c r="D26" s="50"/>
      <c r="E26" s="30"/>
      <c r="F26" s="48"/>
      <c r="G26" s="46"/>
      <c r="H26" s="24"/>
    </row>
    <row r="27" spans="1:8">
      <c r="A27" s="29"/>
      <c r="B27" s="30"/>
      <c r="C27" s="30"/>
      <c r="D27" s="50"/>
      <c r="E27" s="30"/>
      <c r="F27" s="48"/>
      <c r="G27" s="46"/>
      <c r="H27" s="54"/>
    </row>
    <row r="28" spans="1:8">
      <c r="B28" s="30"/>
      <c r="C28" s="30"/>
      <c r="D28" s="50"/>
      <c r="E28" s="30"/>
      <c r="F28" s="48"/>
      <c r="G28" s="46"/>
      <c r="H28" s="24"/>
    </row>
    <row r="29" spans="1:8">
      <c r="A29" s="29"/>
      <c r="B29" s="30"/>
      <c r="C29" s="30"/>
      <c r="D29" s="50"/>
      <c r="E29" s="30"/>
      <c r="F29" s="48"/>
      <c r="G29" s="46"/>
      <c r="H29" s="24"/>
    </row>
    <row r="30" spans="1:8">
      <c r="A30" s="29"/>
      <c r="B30" s="30"/>
      <c r="C30" s="30"/>
      <c r="D30" s="50"/>
      <c r="E30" s="30"/>
      <c r="F30" s="48"/>
      <c r="G30" s="46"/>
      <c r="H30" s="24"/>
    </row>
    <row r="31" spans="1:8">
      <c r="A31" s="29"/>
      <c r="B31" s="30"/>
      <c r="C31" s="30"/>
      <c r="D31" s="50"/>
      <c r="E31" s="30"/>
      <c r="F31" s="48"/>
      <c r="G31" s="46"/>
      <c r="H31" s="24"/>
    </row>
    <row r="41" spans="1:8">
      <c r="A41" s="29"/>
      <c r="B41" s="30"/>
      <c r="C41" s="30"/>
      <c r="D41" s="30"/>
      <c r="E41" s="30"/>
      <c r="F41" s="30"/>
      <c r="G41" s="30"/>
      <c r="H41" s="30"/>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Z41"/>
  <sheetViews>
    <sheetView workbookViewId="0">
      <selection activeCell="F16" sqref="F16"/>
    </sheetView>
  </sheetViews>
  <sheetFormatPr defaultColWidth="13.5703125" defaultRowHeight="12.75"/>
  <cols>
    <col min="1" max="1" width="32.5703125" style="1" customWidth="1"/>
    <col min="2" max="2" width="9.7109375" style="1" bestFit="1" customWidth="1"/>
    <col min="3" max="3" width="6.85546875" style="1" customWidth="1"/>
    <col min="4" max="4" width="11.28515625" style="1" bestFit="1" customWidth="1"/>
    <col min="5" max="5" width="8" style="1" bestFit="1" customWidth="1"/>
    <col min="6" max="6" width="10" style="1" bestFit="1" customWidth="1"/>
    <col min="7" max="7" width="11.7109375" style="1" bestFit="1" customWidth="1"/>
    <col min="8" max="8" width="7.28515625" style="1" customWidth="1"/>
    <col min="9" max="16384" width="13.5703125" style="1"/>
  </cols>
  <sheetData>
    <row r="1" spans="1:26">
      <c r="A1" s="17" t="str">
        <f>RevReqSummary!A1</f>
        <v>PacifiCorp General Rate Case UE-140617</v>
      </c>
      <c r="B1" s="23"/>
      <c r="C1" s="23"/>
      <c r="D1" s="23"/>
      <c r="E1" s="23"/>
      <c r="F1" s="23"/>
      <c r="G1" s="23"/>
      <c r="H1" s="24"/>
      <c r="I1" s="23"/>
      <c r="J1" s="23"/>
      <c r="K1" s="23"/>
      <c r="L1" s="23"/>
      <c r="M1" s="4"/>
      <c r="N1" s="4"/>
      <c r="O1" s="4"/>
      <c r="P1" s="4"/>
      <c r="Q1" s="4"/>
      <c r="R1" s="4"/>
      <c r="S1" s="4"/>
      <c r="T1" s="57"/>
      <c r="U1" s="29"/>
      <c r="V1" s="42"/>
      <c r="X1" s="58"/>
    </row>
    <row r="2" spans="1:26">
      <c r="A2" s="17" t="str">
        <f>RevReqSummary!A2</f>
        <v>For The Twelve Months Ended December 2013 - Staff Revenue Requirement</v>
      </c>
      <c r="B2" s="23"/>
      <c r="C2" s="23"/>
      <c r="D2" s="23"/>
      <c r="E2" s="23"/>
      <c r="F2" s="23"/>
      <c r="G2" s="23"/>
      <c r="H2" s="24"/>
      <c r="I2" s="59"/>
      <c r="J2" s="59"/>
      <c r="K2" s="59"/>
      <c r="L2" s="59"/>
      <c r="M2" s="4"/>
      <c r="N2" s="4"/>
      <c r="O2" s="4"/>
      <c r="P2" s="4"/>
      <c r="Q2" s="4"/>
      <c r="R2" s="4"/>
      <c r="S2" s="4"/>
      <c r="T2" s="4"/>
      <c r="U2" s="29"/>
      <c r="V2" s="42"/>
      <c r="X2" s="58"/>
    </row>
    <row r="3" spans="1:26">
      <c r="A3" s="25" t="s">
        <v>239</v>
      </c>
      <c r="B3" s="23"/>
      <c r="C3" s="23"/>
      <c r="D3" s="23"/>
      <c r="E3" s="23"/>
      <c r="F3" s="23"/>
      <c r="G3" s="23"/>
      <c r="H3" s="24"/>
      <c r="I3" s="59"/>
      <c r="J3" s="59"/>
      <c r="K3" s="59"/>
      <c r="L3" s="59"/>
      <c r="M3" s="4"/>
      <c r="N3" s="4"/>
      <c r="O3" s="4"/>
      <c r="P3" s="4"/>
      <c r="Q3" s="4"/>
      <c r="R3" s="4"/>
      <c r="S3" s="4"/>
      <c r="T3" s="4"/>
      <c r="U3" s="29"/>
      <c r="V3" s="42"/>
      <c r="X3" s="58"/>
    </row>
    <row r="4" spans="1:26">
      <c r="A4" s="25" t="s">
        <v>485</v>
      </c>
      <c r="B4" s="23"/>
      <c r="C4" s="23"/>
      <c r="D4" s="23"/>
      <c r="E4" s="23"/>
      <c r="F4" s="23"/>
      <c r="G4" s="23"/>
      <c r="H4" s="24"/>
      <c r="I4" s="59"/>
      <c r="J4" s="59"/>
      <c r="K4" s="59"/>
      <c r="L4" s="59"/>
      <c r="M4" s="4"/>
      <c r="N4" s="4"/>
      <c r="O4" s="4"/>
      <c r="P4" s="4"/>
      <c r="Q4" s="4"/>
      <c r="R4" s="4"/>
      <c r="S4" s="4"/>
      <c r="T4" s="4"/>
      <c r="U4" s="29"/>
      <c r="V4" s="42"/>
      <c r="X4" s="58"/>
    </row>
    <row r="5" spans="1:26">
      <c r="B5" s="23"/>
      <c r="C5" s="23"/>
      <c r="D5" s="23"/>
      <c r="E5" s="23"/>
      <c r="F5" s="23"/>
      <c r="G5" s="23"/>
      <c r="H5" s="24"/>
      <c r="I5" s="59"/>
      <c r="J5" s="59"/>
      <c r="K5" s="59"/>
      <c r="L5" s="59"/>
      <c r="M5" s="4"/>
      <c r="N5" s="4"/>
      <c r="O5" s="4"/>
      <c r="P5" s="4"/>
      <c r="Q5" s="4"/>
      <c r="R5" s="4"/>
      <c r="S5" s="4"/>
      <c r="T5" s="4"/>
      <c r="U5" s="29"/>
      <c r="V5" s="42"/>
      <c r="X5" s="58"/>
    </row>
    <row r="6" spans="1:26">
      <c r="B6" s="23"/>
      <c r="C6" s="23"/>
      <c r="D6" s="23" t="s">
        <v>131</v>
      </c>
      <c r="E6" s="23"/>
      <c r="F6" s="23"/>
      <c r="G6" s="23" t="s">
        <v>141</v>
      </c>
      <c r="H6" s="24"/>
      <c r="I6" s="23"/>
      <c r="J6" s="23"/>
      <c r="K6" s="23"/>
      <c r="L6" s="23"/>
      <c r="M6" s="15"/>
      <c r="N6" s="60"/>
      <c r="O6" s="15"/>
      <c r="P6" s="6"/>
      <c r="Q6" s="4"/>
      <c r="R6" s="4"/>
      <c r="S6" s="4"/>
      <c r="T6" s="4"/>
      <c r="U6" s="30"/>
      <c r="V6" s="42"/>
      <c r="X6" s="58"/>
    </row>
    <row r="7" spans="1:26">
      <c r="B7" s="26" t="s">
        <v>132</v>
      </c>
      <c r="C7" s="26" t="s">
        <v>660</v>
      </c>
      <c r="D7" s="26" t="s">
        <v>134</v>
      </c>
      <c r="E7" s="26" t="s">
        <v>135</v>
      </c>
      <c r="F7" s="26" t="s">
        <v>136</v>
      </c>
      <c r="G7" s="26" t="s">
        <v>137</v>
      </c>
      <c r="H7" s="27"/>
      <c r="I7" s="23"/>
      <c r="J7" s="23"/>
      <c r="K7" s="23"/>
      <c r="L7" s="23"/>
      <c r="M7" s="15"/>
      <c r="N7" s="15"/>
      <c r="O7" s="15"/>
      <c r="P7" s="61"/>
      <c r="Q7" s="15"/>
      <c r="R7" s="15"/>
      <c r="S7" s="15"/>
      <c r="T7" s="15"/>
      <c r="U7" s="41"/>
      <c r="V7" s="42"/>
      <c r="X7" s="58"/>
    </row>
    <row r="8" spans="1:26">
      <c r="A8" s="28" t="s">
        <v>138</v>
      </c>
      <c r="B8" s="30"/>
      <c r="C8" s="30"/>
      <c r="D8" s="30"/>
      <c r="E8" s="30"/>
      <c r="F8" s="30"/>
      <c r="G8" s="31"/>
      <c r="H8" s="24"/>
      <c r="I8" s="62"/>
      <c r="J8" s="62"/>
      <c r="K8" s="62"/>
      <c r="L8" s="62"/>
      <c r="M8" s="63"/>
      <c r="N8" s="63"/>
      <c r="O8" s="63"/>
      <c r="P8" s="63"/>
      <c r="Q8" s="63"/>
      <c r="R8" s="63"/>
      <c r="S8" s="63"/>
      <c r="T8" s="63"/>
      <c r="U8" s="64"/>
      <c r="V8" s="65"/>
      <c r="X8" s="58"/>
      <c r="Y8" s="2"/>
      <c r="Z8" s="2"/>
    </row>
    <row r="9" spans="1:26">
      <c r="A9" s="37" t="s">
        <v>139</v>
      </c>
      <c r="B9" s="30">
        <v>440</v>
      </c>
      <c r="C9" s="30" t="s">
        <v>140</v>
      </c>
      <c r="D9" s="55">
        <v>7595104.4886623984</v>
      </c>
      <c r="E9" s="30" t="s">
        <v>141</v>
      </c>
      <c r="F9" s="33">
        <f>INDEX(WCAAllocations,IFERROR(MATCH(E9,WCAFactors,0),2),IFERROR(MATCH(E9,WCAStates,0),4))</f>
        <v>1</v>
      </c>
      <c r="G9" s="34">
        <f>D9</f>
        <v>7595104.4886623984</v>
      </c>
      <c r="H9" s="24"/>
      <c r="I9" s="66"/>
      <c r="J9" s="30"/>
      <c r="K9" s="66"/>
      <c r="L9" s="67"/>
      <c r="M9" s="68"/>
      <c r="N9" s="68"/>
      <c r="O9" s="68"/>
      <c r="P9" s="68"/>
      <c r="Q9" s="68"/>
      <c r="R9" s="68"/>
      <c r="S9" s="68"/>
      <c r="T9" s="68"/>
      <c r="U9" s="64"/>
      <c r="V9" s="65"/>
      <c r="X9" s="58"/>
      <c r="Y9" s="2"/>
      <c r="Z9" s="2"/>
    </row>
    <row r="10" spans="1:26">
      <c r="A10" s="37" t="s">
        <v>143</v>
      </c>
      <c r="B10" s="30">
        <v>442</v>
      </c>
      <c r="C10" s="30" t="s">
        <v>140</v>
      </c>
      <c r="D10" s="55">
        <v>6067369.3616972622</v>
      </c>
      <c r="E10" s="30" t="s">
        <v>141</v>
      </c>
      <c r="F10" s="33">
        <f>INDEX(WCAAllocations,IFERROR(MATCH(E10,WCAFactors,0),2),IFERROR(MATCH(E10,WCAStates,0),4))</f>
        <v>1</v>
      </c>
      <c r="G10" s="34">
        <f>D10</f>
        <v>6067369.3616972622</v>
      </c>
      <c r="H10" s="24"/>
      <c r="I10" s="69"/>
      <c r="J10" s="70"/>
      <c r="K10" s="69"/>
      <c r="L10" s="71"/>
      <c r="M10" s="72"/>
      <c r="N10" s="68"/>
      <c r="O10" s="68"/>
      <c r="P10" s="68"/>
      <c r="Q10" s="68"/>
      <c r="R10" s="68"/>
      <c r="S10" s="68"/>
      <c r="T10" s="68"/>
      <c r="U10" s="64"/>
      <c r="V10" s="65"/>
      <c r="X10" s="58"/>
      <c r="Y10" s="2"/>
      <c r="Z10" s="2"/>
    </row>
    <row r="11" spans="1:26" ht="15.75">
      <c r="A11" s="37" t="s">
        <v>795</v>
      </c>
      <c r="B11" s="30">
        <v>442</v>
      </c>
      <c r="C11" s="30" t="s">
        <v>140</v>
      </c>
      <c r="D11" s="55">
        <v>3363359.2407241114</v>
      </c>
      <c r="E11" s="30" t="s">
        <v>141</v>
      </c>
      <c r="F11" s="33">
        <f>INDEX(WCAAllocations,IFERROR(MATCH(E11,WCAFactors,0),2),IFERROR(MATCH(E11,WCAStates,0),4))</f>
        <v>1</v>
      </c>
      <c r="G11" s="34">
        <f>D11</f>
        <v>3363359.2407241114</v>
      </c>
      <c r="H11" s="24"/>
      <c r="I11" s="69"/>
      <c r="J11" s="70"/>
      <c r="K11" s="69"/>
      <c r="L11" s="71"/>
      <c r="M11" s="72"/>
      <c r="N11" s="68"/>
      <c r="O11" s="68"/>
      <c r="P11" s="68"/>
      <c r="Q11" s="68"/>
      <c r="R11" s="68"/>
      <c r="S11" s="68"/>
      <c r="T11" s="68"/>
      <c r="U11" s="64"/>
      <c r="V11" s="65"/>
      <c r="X11" s="58"/>
      <c r="Y11" s="2"/>
      <c r="Z11" s="2"/>
    </row>
    <row r="12" spans="1:26">
      <c r="A12" s="37" t="s">
        <v>276</v>
      </c>
      <c r="B12" s="30">
        <v>444</v>
      </c>
      <c r="C12" s="30" t="s">
        <v>140</v>
      </c>
      <c r="D12" s="55">
        <v>-8.2702816865057684</v>
      </c>
      <c r="E12" s="30" t="s">
        <v>141</v>
      </c>
      <c r="F12" s="33">
        <f>INDEX(WCAAllocations,IFERROR(MATCH(E12,WCAFactors,0),2),IFERROR(MATCH(E12,WCAStates,0),4))</f>
        <v>1</v>
      </c>
      <c r="G12" s="34">
        <f>D12</f>
        <v>-8.2702816865057684</v>
      </c>
      <c r="H12" s="24"/>
      <c r="I12" s="73"/>
      <c r="J12" s="70"/>
      <c r="K12" s="73"/>
      <c r="L12" s="71"/>
      <c r="M12" s="72"/>
      <c r="N12" s="68"/>
      <c r="O12" s="68"/>
      <c r="P12" s="68"/>
      <c r="Q12" s="68"/>
      <c r="R12" s="68"/>
      <c r="S12" s="68"/>
      <c r="T12" s="68"/>
      <c r="U12" s="64"/>
      <c r="V12" s="65"/>
      <c r="X12" s="58"/>
      <c r="Y12" s="2"/>
      <c r="Z12" s="2"/>
    </row>
    <row r="13" spans="1:26" ht="13.5" thickBot="1">
      <c r="A13" s="37" t="s">
        <v>277</v>
      </c>
      <c r="B13" s="30"/>
      <c r="C13" s="30"/>
      <c r="D13" s="38">
        <f>SUM(D9:D12)</f>
        <v>17025824.820802085</v>
      </c>
      <c r="E13" s="30"/>
      <c r="F13" s="36"/>
      <c r="G13" s="38">
        <f>SUM(G9:G12)</f>
        <v>17025824.820802085</v>
      </c>
      <c r="H13" s="24"/>
      <c r="I13" s="66"/>
      <c r="J13" s="70"/>
      <c r="K13" s="66"/>
      <c r="L13" s="71"/>
      <c r="M13" s="72"/>
      <c r="N13" s="68"/>
      <c r="O13" s="68"/>
      <c r="P13" s="68"/>
      <c r="Q13" s="74"/>
      <c r="R13" s="75"/>
      <c r="S13" s="68"/>
      <c r="T13" s="74"/>
      <c r="U13" s="64"/>
      <c r="V13" s="65"/>
      <c r="X13" s="58"/>
      <c r="Y13" s="2"/>
      <c r="Z13" s="2"/>
    </row>
    <row r="14" spans="1:26" ht="13.5" thickTop="1">
      <c r="A14" s="56"/>
      <c r="B14" s="30"/>
      <c r="C14" s="30"/>
      <c r="D14" s="35"/>
      <c r="E14" s="30"/>
      <c r="F14" s="36"/>
      <c r="G14" s="34"/>
      <c r="H14" s="24"/>
      <c r="I14" s="66"/>
      <c r="J14" s="71"/>
      <c r="K14" s="66"/>
      <c r="L14" s="71"/>
      <c r="M14" s="72"/>
      <c r="N14" s="68"/>
      <c r="O14" s="72"/>
      <c r="P14" s="68"/>
      <c r="Q14" s="74"/>
      <c r="R14" s="75"/>
      <c r="S14" s="68"/>
      <c r="T14" s="74"/>
      <c r="U14" s="64"/>
      <c r="V14" s="65"/>
      <c r="X14" s="58"/>
      <c r="Y14" s="2"/>
      <c r="Z14" s="2"/>
    </row>
    <row r="15" spans="1:26">
      <c r="A15" s="56"/>
      <c r="B15" s="30"/>
      <c r="C15" s="30"/>
      <c r="E15" s="30"/>
      <c r="F15" s="36"/>
      <c r="G15" s="34"/>
      <c r="H15" s="24"/>
      <c r="I15" s="76"/>
      <c r="J15" s="71"/>
      <c r="K15" s="76"/>
      <c r="L15" s="71"/>
      <c r="M15" s="72"/>
      <c r="N15" s="68"/>
      <c r="O15" s="72"/>
      <c r="P15" s="68"/>
      <c r="Q15" s="68"/>
      <c r="R15" s="75"/>
      <c r="S15" s="68"/>
      <c r="T15" s="74"/>
      <c r="U15" s="64"/>
      <c r="V15" s="65"/>
      <c r="X15" s="58"/>
      <c r="Y15" s="2"/>
      <c r="Z15" s="2"/>
    </row>
    <row r="16" spans="1:26" ht="15.75">
      <c r="A16" s="51" t="s">
        <v>796</v>
      </c>
      <c r="B16" s="30"/>
      <c r="C16" s="30"/>
      <c r="D16" s="35"/>
      <c r="E16" s="30"/>
      <c r="F16" s="36"/>
      <c r="G16" s="34"/>
      <c r="H16" s="24"/>
      <c r="I16" s="66"/>
      <c r="J16" s="71"/>
      <c r="K16" s="66"/>
      <c r="L16" s="71"/>
      <c r="M16" s="72"/>
      <c r="N16" s="68"/>
      <c r="O16" s="68"/>
      <c r="P16" s="68"/>
      <c r="Q16" s="68"/>
      <c r="R16" s="68"/>
      <c r="S16" s="68"/>
      <c r="T16" s="68"/>
      <c r="U16" s="64"/>
      <c r="V16" s="65"/>
      <c r="X16" s="58"/>
      <c r="Y16" s="2"/>
      <c r="Z16" s="2"/>
    </row>
    <row r="17" spans="1:26">
      <c r="A17" s="29"/>
      <c r="B17" s="30"/>
      <c r="C17" s="30"/>
      <c r="D17" s="35"/>
      <c r="E17" s="30"/>
      <c r="F17" s="36"/>
      <c r="G17" s="34"/>
      <c r="H17" s="24"/>
      <c r="I17" s="66"/>
      <c r="J17" s="71"/>
      <c r="K17" s="66"/>
      <c r="L17" s="71"/>
      <c r="M17" s="75"/>
      <c r="N17" s="68"/>
      <c r="O17" s="68"/>
      <c r="P17" s="75"/>
      <c r="Q17" s="75"/>
      <c r="R17" s="75"/>
      <c r="S17" s="75"/>
      <c r="T17" s="75"/>
      <c r="U17" s="64"/>
      <c r="V17" s="65"/>
      <c r="X17" s="58"/>
      <c r="Y17" s="2"/>
      <c r="Z17" s="2"/>
    </row>
    <row r="18" spans="1:26">
      <c r="A18" s="53" t="s">
        <v>652</v>
      </c>
      <c r="B18" s="30"/>
      <c r="C18" s="30"/>
      <c r="D18" s="30"/>
      <c r="E18" s="30"/>
      <c r="F18" s="30"/>
      <c r="G18" s="30"/>
      <c r="H18" s="24"/>
      <c r="I18" s="66"/>
      <c r="J18" s="71"/>
      <c r="K18" s="66"/>
      <c r="L18" s="71"/>
      <c r="M18" s="75"/>
      <c r="N18" s="75"/>
      <c r="O18" s="68"/>
      <c r="P18" s="77"/>
      <c r="Q18" s="77"/>
      <c r="R18" s="77"/>
      <c r="S18" s="75"/>
      <c r="T18" s="75"/>
      <c r="U18" s="64"/>
      <c r="V18" s="65"/>
      <c r="X18" s="58"/>
      <c r="Y18" s="2"/>
      <c r="Z18" s="2"/>
    </row>
    <row r="19" spans="1:26">
      <c r="A19" s="1396" t="s">
        <v>671</v>
      </c>
      <c r="B19" s="1396"/>
      <c r="C19" s="1396"/>
      <c r="D19" s="1396"/>
      <c r="E19" s="1396"/>
      <c r="F19" s="1396"/>
      <c r="G19" s="1396"/>
      <c r="H19" s="1311"/>
      <c r="I19" s="71"/>
      <c r="J19" s="71"/>
      <c r="K19" s="71"/>
      <c r="L19" s="71"/>
      <c r="M19" s="80"/>
      <c r="N19" s="81"/>
      <c r="O19" s="82"/>
      <c r="P19" s="83"/>
      <c r="Q19" s="84"/>
      <c r="R19" s="68"/>
      <c r="S19" s="75"/>
      <c r="T19" s="75"/>
      <c r="U19" s="64"/>
      <c r="V19" s="65"/>
      <c r="X19" s="58"/>
      <c r="Y19" s="2"/>
      <c r="Z19" s="2"/>
    </row>
    <row r="20" spans="1:26">
      <c r="A20" s="1396"/>
      <c r="B20" s="1396"/>
      <c r="C20" s="1396"/>
      <c r="D20" s="1396"/>
      <c r="E20" s="1396"/>
      <c r="F20" s="1396"/>
      <c r="G20" s="1396"/>
      <c r="H20" s="1311"/>
      <c r="I20" s="71"/>
      <c r="J20" s="71"/>
      <c r="K20" s="71"/>
      <c r="L20" s="71"/>
      <c r="M20" s="68"/>
      <c r="N20" s="68"/>
      <c r="O20" s="68"/>
      <c r="P20" s="68"/>
      <c r="Q20" s="68"/>
      <c r="R20" s="68"/>
      <c r="S20" s="68"/>
      <c r="T20" s="68"/>
      <c r="U20" s="64"/>
      <c r="V20" s="65"/>
      <c r="X20" s="58"/>
      <c r="Y20" s="2"/>
      <c r="Z20" s="2"/>
    </row>
    <row r="21" spans="1:26">
      <c r="A21" s="1396"/>
      <c r="B21" s="1396"/>
      <c r="C21" s="1396"/>
      <c r="D21" s="1396"/>
      <c r="E21" s="1396"/>
      <c r="F21" s="1396"/>
      <c r="G21" s="1396"/>
      <c r="H21" s="1311"/>
      <c r="I21" s="71"/>
      <c r="J21" s="71"/>
      <c r="K21" s="71"/>
      <c r="L21" s="71"/>
      <c r="M21" s="72"/>
      <c r="N21" s="68"/>
      <c r="O21" s="72"/>
      <c r="P21" s="68"/>
      <c r="Q21" s="68"/>
      <c r="R21" s="68"/>
      <c r="S21" s="68"/>
      <c r="T21" s="68"/>
      <c r="U21" s="64"/>
      <c r="V21" s="65"/>
      <c r="X21" s="58"/>
      <c r="Y21" s="2"/>
      <c r="Z21" s="2"/>
    </row>
    <row r="22" spans="1:26">
      <c r="A22" s="1396"/>
      <c r="B22" s="1396"/>
      <c r="C22" s="1396"/>
      <c r="D22" s="1396"/>
      <c r="E22" s="1396"/>
      <c r="F22" s="1396"/>
      <c r="G22" s="1396"/>
      <c r="H22" s="1311"/>
      <c r="I22" s="71"/>
      <c r="J22" s="71"/>
      <c r="K22" s="71"/>
      <c r="L22" s="71"/>
      <c r="M22" s="72"/>
      <c r="N22" s="68"/>
      <c r="O22" s="72"/>
      <c r="P22" s="75"/>
      <c r="Q22" s="77"/>
      <c r="R22" s="85"/>
      <c r="S22" s="75"/>
      <c r="T22" s="75"/>
      <c r="U22" s="64"/>
      <c r="V22" s="65"/>
      <c r="X22" s="58"/>
      <c r="Y22" s="2"/>
      <c r="Z22" s="2"/>
    </row>
    <row r="23" spans="1:26">
      <c r="A23" s="1311"/>
      <c r="B23" s="1311"/>
      <c r="C23" s="1311"/>
      <c r="D23" s="1311"/>
      <c r="E23" s="1311"/>
      <c r="F23" s="1311"/>
      <c r="G23" s="1311"/>
      <c r="H23" s="1311"/>
      <c r="I23" s="71"/>
      <c r="J23" s="71"/>
      <c r="K23" s="71"/>
      <c r="L23" s="71"/>
      <c r="M23" s="72"/>
      <c r="N23" s="68"/>
      <c r="O23" s="72"/>
      <c r="P23" s="68"/>
      <c r="Q23" s="68"/>
      <c r="R23" s="68"/>
      <c r="S23" s="68"/>
      <c r="T23" s="68"/>
      <c r="U23" s="64"/>
      <c r="V23" s="65"/>
      <c r="X23" s="58"/>
      <c r="Y23" s="2"/>
      <c r="Z23" s="2"/>
    </row>
    <row r="24" spans="1:26">
      <c r="A24" s="1311"/>
      <c r="B24" s="1311"/>
      <c r="C24" s="1311"/>
      <c r="D24" s="1311"/>
      <c r="E24" s="1311"/>
      <c r="F24" s="1311"/>
      <c r="G24" s="1311"/>
      <c r="H24" s="1311"/>
      <c r="I24" s="71"/>
      <c r="J24" s="71"/>
      <c r="K24" s="71"/>
      <c r="L24" s="71"/>
      <c r="M24" s="72"/>
      <c r="N24" s="68"/>
      <c r="O24" s="72"/>
      <c r="P24" s="75"/>
      <c r="Q24" s="75"/>
      <c r="R24" s="75"/>
      <c r="S24" s="75"/>
      <c r="T24" s="75"/>
      <c r="U24" s="64"/>
      <c r="V24" s="65"/>
      <c r="X24" s="58"/>
      <c r="Y24" s="2"/>
      <c r="Z24" s="2"/>
    </row>
    <row r="25" spans="1:26">
      <c r="A25" s="1311"/>
      <c r="B25" s="1311"/>
      <c r="C25" s="1311"/>
      <c r="D25" s="1311"/>
      <c r="E25" s="1311"/>
      <c r="F25" s="1311"/>
      <c r="G25" s="1311"/>
      <c r="H25" s="1311"/>
      <c r="I25" s="71"/>
      <c r="J25" s="71"/>
      <c r="K25" s="71"/>
      <c r="L25" s="71"/>
      <c r="M25" s="75"/>
      <c r="N25" s="75"/>
      <c r="O25" s="75"/>
      <c r="P25" s="75"/>
      <c r="Q25" s="77"/>
      <c r="R25" s="68"/>
      <c r="S25" s="75"/>
      <c r="T25" s="75"/>
      <c r="U25" s="64"/>
      <c r="V25" s="65"/>
      <c r="X25" s="58"/>
      <c r="Y25" s="2"/>
      <c r="Z25" s="2"/>
    </row>
    <row r="26" spans="1:26">
      <c r="A26" s="1311"/>
      <c r="B26" s="1311"/>
      <c r="C26" s="1311"/>
      <c r="D26" s="1311"/>
      <c r="E26" s="1311"/>
      <c r="F26" s="1311"/>
      <c r="G26" s="1311"/>
      <c r="H26" s="1311"/>
      <c r="I26" s="71"/>
      <c r="J26" s="71"/>
      <c r="K26" s="71"/>
      <c r="L26" s="71"/>
      <c r="M26" s="75"/>
      <c r="N26" s="75"/>
      <c r="O26" s="75"/>
      <c r="P26" s="75"/>
      <c r="Q26" s="77"/>
      <c r="R26" s="68"/>
      <c r="S26" s="75"/>
      <c r="T26" s="75"/>
      <c r="U26" s="64"/>
      <c r="V26" s="65"/>
      <c r="X26" s="58"/>
      <c r="Y26" s="2"/>
      <c r="Z26" s="2"/>
    </row>
    <row r="27" spans="1:26">
      <c r="A27" s="1311"/>
      <c r="B27" s="1311"/>
      <c r="C27" s="1311"/>
      <c r="D27" s="1311"/>
      <c r="E27" s="1311"/>
      <c r="F27" s="1311"/>
      <c r="G27" s="1311"/>
      <c r="H27" s="1311"/>
      <c r="I27" s="71"/>
      <c r="J27" s="71"/>
      <c r="K27" s="71"/>
      <c r="L27" s="71"/>
      <c r="M27" s="79"/>
      <c r="N27" s="75"/>
      <c r="O27" s="75"/>
      <c r="P27" s="75"/>
      <c r="Q27" s="75"/>
      <c r="R27" s="68"/>
      <c r="S27" s="75"/>
      <c r="T27" s="75"/>
      <c r="U27" s="64"/>
      <c r="V27" s="65"/>
      <c r="X27" s="58"/>
      <c r="Y27" s="2"/>
      <c r="Z27" s="2"/>
    </row>
    <row r="28" spans="1:26">
      <c r="A28" s="86"/>
      <c r="B28" s="71"/>
      <c r="C28" s="71"/>
      <c r="D28" s="88"/>
      <c r="E28" s="89"/>
      <c r="F28" s="89"/>
      <c r="G28" s="90"/>
      <c r="H28" s="78"/>
      <c r="I28" s="71"/>
      <c r="J28" s="71"/>
      <c r="K28" s="71"/>
      <c r="L28" s="71"/>
      <c r="M28" s="75"/>
      <c r="N28" s="75"/>
      <c r="O28" s="75"/>
      <c r="P28" s="75"/>
      <c r="Q28" s="77"/>
      <c r="R28" s="68"/>
      <c r="S28" s="75"/>
      <c r="T28" s="75"/>
      <c r="U28" s="64"/>
      <c r="V28" s="65"/>
      <c r="X28" s="58"/>
      <c r="Y28" s="2"/>
      <c r="Z28" s="2"/>
    </row>
    <row r="29" spans="1:26">
      <c r="H29" s="78"/>
      <c r="I29" s="71"/>
      <c r="J29" s="71"/>
      <c r="K29" s="71"/>
      <c r="L29" s="71"/>
      <c r="M29" s="79"/>
      <c r="N29" s="75"/>
      <c r="O29" s="75"/>
      <c r="P29" s="75"/>
      <c r="Q29" s="77"/>
      <c r="R29" s="68"/>
      <c r="S29" s="75"/>
      <c r="T29" s="75"/>
      <c r="U29" s="64"/>
      <c r="V29" s="65"/>
      <c r="X29" s="58"/>
      <c r="Y29" s="2"/>
      <c r="Z29" s="2"/>
    </row>
    <row r="30" spans="1:26">
      <c r="H30" s="78"/>
      <c r="I30" s="62"/>
      <c r="J30" s="62"/>
      <c r="K30" s="62"/>
      <c r="L30" s="62"/>
      <c r="M30" s="75"/>
      <c r="N30" s="75"/>
      <c r="O30" s="91"/>
      <c r="P30" s="91"/>
      <c r="Q30" s="77"/>
      <c r="R30" s="68"/>
      <c r="S30" s="63"/>
      <c r="T30" s="63"/>
      <c r="U30" s="64"/>
      <c r="V30" s="65"/>
      <c r="X30" s="58"/>
      <c r="Y30" s="2"/>
      <c r="Z30" s="2"/>
    </row>
    <row r="31" spans="1:26">
      <c r="H31" s="78"/>
      <c r="I31" s="62"/>
      <c r="J31" s="62"/>
      <c r="K31" s="62"/>
      <c r="L31" s="62"/>
      <c r="M31" s="79"/>
      <c r="N31" s="75"/>
      <c r="O31" s="75"/>
      <c r="P31" s="75"/>
      <c r="Q31" s="75"/>
      <c r="R31" s="68"/>
      <c r="S31" s="63"/>
      <c r="T31" s="63"/>
      <c r="U31" s="64"/>
      <c r="V31" s="65"/>
      <c r="X31" s="58"/>
      <c r="Y31" s="2"/>
      <c r="Z31" s="2"/>
    </row>
    <row r="32" spans="1:26">
      <c r="H32" s="78"/>
      <c r="I32" s="62"/>
      <c r="J32" s="62"/>
      <c r="K32" s="62"/>
      <c r="L32" s="62"/>
      <c r="M32" s="92"/>
      <c r="N32" s="75"/>
      <c r="O32" s="75"/>
      <c r="P32" s="75"/>
      <c r="Q32" s="77"/>
      <c r="R32" s="68"/>
      <c r="S32" s="63"/>
      <c r="T32" s="63"/>
      <c r="U32" s="64"/>
      <c r="V32" s="65"/>
      <c r="X32" s="58"/>
      <c r="Y32" s="2"/>
      <c r="Z32" s="2"/>
    </row>
    <row r="33" spans="1:26">
      <c r="H33" s="30"/>
      <c r="I33" s="62"/>
      <c r="J33" s="62"/>
      <c r="K33" s="62"/>
      <c r="L33" s="62"/>
      <c r="M33" s="93"/>
      <c r="N33" s="75"/>
      <c r="O33" s="75"/>
      <c r="P33" s="75"/>
      <c r="Q33" s="75"/>
      <c r="R33" s="75"/>
      <c r="S33" s="63"/>
      <c r="T33" s="63"/>
      <c r="U33" s="64"/>
      <c r="V33" s="65"/>
      <c r="X33" s="58"/>
      <c r="Y33" s="2"/>
      <c r="Z33" s="2"/>
    </row>
    <row r="34" spans="1:26">
      <c r="F34" s="122"/>
      <c r="I34" s="62"/>
      <c r="J34" s="62"/>
      <c r="K34" s="62"/>
      <c r="L34" s="62"/>
      <c r="M34" s="94"/>
      <c r="N34" s="63"/>
      <c r="O34" s="63"/>
      <c r="P34" s="63"/>
      <c r="Q34" s="63"/>
      <c r="R34" s="63"/>
      <c r="S34" s="63"/>
      <c r="T34" s="63"/>
      <c r="U34" s="64"/>
      <c r="V34" s="65"/>
      <c r="X34" s="58"/>
      <c r="Y34" s="2"/>
      <c r="Z34" s="2"/>
    </row>
    <row r="35" spans="1:26">
      <c r="H35" s="95"/>
      <c r="I35" s="62"/>
      <c r="J35" s="62"/>
      <c r="K35" s="62"/>
      <c r="L35" s="62"/>
      <c r="M35" s="75"/>
      <c r="N35" s="75"/>
      <c r="O35" s="75"/>
      <c r="P35" s="63"/>
      <c r="Q35" s="63"/>
      <c r="R35" s="63"/>
      <c r="S35" s="63"/>
      <c r="T35" s="63"/>
      <c r="U35" s="64"/>
      <c r="V35" s="65"/>
      <c r="X35" s="58"/>
      <c r="Y35" s="2"/>
      <c r="Z35" s="2"/>
    </row>
    <row r="36" spans="1:26">
      <c r="A36" s="87"/>
      <c r="B36" s="71"/>
      <c r="C36" s="71"/>
      <c r="D36" s="40"/>
      <c r="E36" s="71"/>
      <c r="F36" s="71"/>
      <c r="G36" s="90"/>
      <c r="H36" s="62"/>
      <c r="I36" s="62"/>
      <c r="J36" s="62"/>
      <c r="K36" s="62"/>
      <c r="L36" s="62"/>
      <c r="M36" s="75"/>
      <c r="N36" s="75"/>
      <c r="O36" s="75"/>
      <c r="P36" s="63"/>
      <c r="Q36" s="63"/>
      <c r="R36" s="63"/>
      <c r="S36" s="63"/>
      <c r="T36" s="63"/>
      <c r="U36" s="64"/>
      <c r="V36" s="65"/>
      <c r="X36" s="58"/>
      <c r="Y36" s="2"/>
      <c r="Z36" s="2"/>
    </row>
    <row r="37" spans="1:26">
      <c r="A37" s="87"/>
      <c r="B37" s="71"/>
      <c r="C37" s="71"/>
      <c r="D37" s="40"/>
      <c r="E37" s="71"/>
      <c r="F37" s="71"/>
      <c r="G37" s="90"/>
      <c r="H37" s="96"/>
      <c r="I37" s="96"/>
      <c r="J37" s="96"/>
      <c r="K37" s="96"/>
      <c r="L37" s="96"/>
      <c r="M37" s="75"/>
      <c r="N37" s="75"/>
      <c r="O37" s="75"/>
      <c r="P37" s="63"/>
      <c r="Q37" s="63"/>
      <c r="R37" s="63"/>
      <c r="S37" s="63"/>
      <c r="T37" s="63"/>
      <c r="U37" s="64"/>
      <c r="V37" s="65"/>
      <c r="X37" s="58"/>
      <c r="Y37" s="2"/>
      <c r="Z37" s="2"/>
    </row>
    <row r="38" spans="1:26">
      <c r="A38" s="87"/>
      <c r="B38" s="71"/>
      <c r="C38" s="71"/>
      <c r="D38" s="40"/>
      <c r="E38" s="71"/>
      <c r="F38" s="71"/>
      <c r="G38" s="90"/>
      <c r="H38" s="96"/>
      <c r="I38" s="96"/>
      <c r="J38" s="96"/>
      <c r="K38" s="96"/>
      <c r="L38" s="96"/>
      <c r="M38" s="75"/>
      <c r="N38" s="75"/>
      <c r="O38" s="75"/>
      <c r="P38" s="63"/>
      <c r="Q38" s="63"/>
      <c r="R38" s="63"/>
      <c r="S38" s="63"/>
      <c r="T38" s="63"/>
      <c r="U38" s="64"/>
      <c r="V38" s="65"/>
      <c r="X38" s="58"/>
      <c r="Y38" s="2"/>
      <c r="Z38" s="2"/>
    </row>
    <row r="39" spans="1:26">
      <c r="A39" s="87"/>
      <c r="B39" s="71"/>
      <c r="C39" s="71"/>
      <c r="D39" s="40"/>
      <c r="E39" s="71"/>
      <c r="F39" s="71"/>
      <c r="G39" s="90"/>
      <c r="H39" s="96"/>
      <c r="I39" s="96"/>
      <c r="J39" s="96"/>
      <c r="K39" s="96"/>
      <c r="L39" s="96"/>
      <c r="M39" s="75"/>
      <c r="N39" s="75"/>
      <c r="O39" s="75"/>
      <c r="P39" s="63"/>
      <c r="Q39" s="63"/>
      <c r="R39" s="63"/>
      <c r="S39" s="63"/>
      <c r="T39" s="63"/>
      <c r="U39" s="64"/>
      <c r="V39" s="65"/>
      <c r="X39" s="58"/>
      <c r="Y39" s="2"/>
      <c r="Z39" s="2"/>
    </row>
    <row r="40" spans="1:26">
      <c r="A40" s="97"/>
      <c r="B40" s="71"/>
      <c r="C40" s="71"/>
      <c r="D40" s="40"/>
      <c r="E40" s="71"/>
      <c r="F40" s="71"/>
      <c r="G40" s="90"/>
      <c r="H40" s="96"/>
      <c r="I40" s="96"/>
      <c r="J40" s="96"/>
      <c r="K40" s="96"/>
      <c r="L40" s="96"/>
      <c r="M40" s="75"/>
      <c r="N40" s="75"/>
      <c r="O40" s="75"/>
      <c r="P40" s="63"/>
      <c r="Q40" s="63"/>
      <c r="R40" s="63"/>
      <c r="S40" s="63"/>
      <c r="T40" s="63"/>
      <c r="U40" s="64"/>
      <c r="V40" s="65"/>
      <c r="X40" s="58"/>
      <c r="Y40" s="2"/>
      <c r="Z40" s="2"/>
    </row>
    <row r="41" spans="1:26">
      <c r="A41" s="87"/>
      <c r="B41" s="71"/>
      <c r="C41" s="71"/>
      <c r="D41" s="40"/>
      <c r="E41" s="71"/>
      <c r="F41" s="71"/>
      <c r="G41" s="90"/>
      <c r="H41" s="96"/>
      <c r="I41" s="96"/>
      <c r="J41" s="96"/>
      <c r="K41" s="96"/>
      <c r="L41" s="96"/>
      <c r="M41" s="63"/>
      <c r="N41" s="75"/>
      <c r="O41" s="75"/>
      <c r="P41" s="63"/>
      <c r="Q41" s="63"/>
      <c r="R41" s="63"/>
      <c r="S41" s="63"/>
      <c r="T41" s="63"/>
      <c r="U41" s="64"/>
      <c r="V41" s="65"/>
      <c r="X41" s="58"/>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G94"/>
  <sheetViews>
    <sheetView workbookViewId="0">
      <selection activeCell="F16" sqref="F16"/>
    </sheetView>
  </sheetViews>
  <sheetFormatPr defaultColWidth="8.85546875" defaultRowHeight="12.75"/>
  <cols>
    <col min="1" max="1" width="36.140625" style="124" customWidth="1"/>
    <col min="2" max="2" width="10.28515625" style="122" bestFit="1" customWidth="1"/>
    <col min="3" max="3" width="6" style="122" bestFit="1" customWidth="1"/>
    <col min="4" max="4" width="10.7109375" style="123" bestFit="1" customWidth="1"/>
    <col min="5" max="5" width="8.7109375" style="123" bestFit="1" customWidth="1"/>
    <col min="6" max="6" width="10.85546875" style="123" bestFit="1" customWidth="1"/>
    <col min="7" max="7" width="12.28515625" style="123" bestFit="1" customWidth="1"/>
    <col min="8" max="59" width="9.140625" style="123" customWidth="1"/>
    <col min="60" max="16384" width="8.85546875" style="122"/>
  </cols>
  <sheetData>
    <row r="1" spans="1:7">
      <c r="A1" s="17" t="str">
        <f>RevReqSummary!A1</f>
        <v>PacifiCorp General Rate Case UE-140617</v>
      </c>
      <c r="B1" s="98"/>
      <c r="C1" s="99"/>
      <c r="D1" s="98"/>
      <c r="E1" s="98"/>
      <c r="F1" s="100"/>
      <c r="G1" s="100"/>
    </row>
    <row r="2" spans="1:7">
      <c r="A2" s="17" t="str">
        <f>RevReqSummary!A2</f>
        <v>For The Twelve Months Ended December 2013 - Staff Revenue Requirement</v>
      </c>
      <c r="B2" s="98"/>
      <c r="C2" s="99"/>
      <c r="D2" s="98"/>
      <c r="E2" s="98"/>
      <c r="F2" s="98"/>
      <c r="G2" s="98"/>
    </row>
    <row r="3" spans="1:7">
      <c r="A3" s="101" t="s">
        <v>128</v>
      </c>
      <c r="B3" s="98"/>
      <c r="C3" s="99"/>
      <c r="D3" s="98"/>
      <c r="E3" s="98"/>
      <c r="F3" s="98"/>
      <c r="G3" s="98"/>
    </row>
    <row r="4" spans="1:7">
      <c r="A4" s="101" t="s">
        <v>486</v>
      </c>
      <c r="B4" s="98"/>
      <c r="C4" s="99"/>
      <c r="D4" s="102"/>
      <c r="E4" s="103"/>
      <c r="F4" s="103"/>
      <c r="G4" s="103"/>
    </row>
    <row r="5" spans="1:7">
      <c r="A5" s="98"/>
      <c r="B5" s="98"/>
      <c r="C5" s="99"/>
      <c r="D5" s="102"/>
      <c r="E5" s="99"/>
      <c r="F5" s="99"/>
      <c r="G5" s="99"/>
    </row>
    <row r="6" spans="1:7">
      <c r="A6" s="100"/>
      <c r="B6" s="104"/>
      <c r="C6" s="104"/>
      <c r="D6" s="104" t="s">
        <v>131</v>
      </c>
      <c r="E6" s="104"/>
      <c r="F6" s="105"/>
      <c r="G6" s="104" t="s">
        <v>141</v>
      </c>
    </row>
    <row r="7" spans="1:7">
      <c r="A7" s="100"/>
      <c r="B7" s="106" t="s">
        <v>132</v>
      </c>
      <c r="C7" s="26" t="s">
        <v>660</v>
      </c>
      <c r="D7" s="106" t="s">
        <v>134</v>
      </c>
      <c r="E7" s="106" t="s">
        <v>135</v>
      </c>
      <c r="F7" s="106" t="s">
        <v>136</v>
      </c>
      <c r="G7" s="106" t="s">
        <v>137</v>
      </c>
    </row>
    <row r="8" spans="1:7">
      <c r="A8" s="101" t="s">
        <v>278</v>
      </c>
      <c r="B8" s="98"/>
      <c r="C8" s="99"/>
      <c r="D8" s="98"/>
      <c r="E8" s="99"/>
      <c r="F8" s="99"/>
      <c r="G8" s="44"/>
    </row>
    <row r="9" spans="1:7">
      <c r="A9" s="98" t="s">
        <v>520</v>
      </c>
      <c r="B9" s="99">
        <v>4118</v>
      </c>
      <c r="C9" s="99" t="s">
        <v>398</v>
      </c>
      <c r="D9" s="107">
        <v>26460.97</v>
      </c>
      <c r="E9" s="108" t="s">
        <v>148</v>
      </c>
      <c r="F9" s="109">
        <f>'WCA Allocation Factors'!E10</f>
        <v>7.5697931989234163E-2</v>
      </c>
      <c r="G9" s="44">
        <f>D9*F9</f>
        <v>2003.0407074291656</v>
      </c>
    </row>
    <row r="10" spans="1:7">
      <c r="A10" s="98" t="s">
        <v>521</v>
      </c>
      <c r="B10" s="99">
        <v>4118</v>
      </c>
      <c r="C10" s="99" t="s">
        <v>398</v>
      </c>
      <c r="D10" s="107">
        <v>-778051.99910408224</v>
      </c>
      <c r="E10" s="108" t="s">
        <v>141</v>
      </c>
      <c r="F10" s="110" t="s">
        <v>142</v>
      </c>
      <c r="G10" s="44">
        <f>D10</f>
        <v>-778051.99910408224</v>
      </c>
    </row>
    <row r="11" spans="1:7" ht="13.5" thickBot="1">
      <c r="A11" s="100"/>
      <c r="B11" s="104"/>
      <c r="C11" s="104"/>
      <c r="D11" s="111">
        <f>SUM(D9:D10)</f>
        <v>-751591.02910408226</v>
      </c>
      <c r="E11" s="100"/>
      <c r="F11" s="112"/>
      <c r="G11" s="111">
        <f>SUM(G9:G10)</f>
        <v>-776048.95839665306</v>
      </c>
    </row>
    <row r="12" spans="1:7" ht="13.5" thickTop="1">
      <c r="A12" s="101"/>
      <c r="B12" s="99"/>
      <c r="C12" s="99"/>
      <c r="D12" s="69"/>
      <c r="E12" s="98"/>
      <c r="F12" s="113"/>
      <c r="G12" s="98"/>
    </row>
    <row r="13" spans="1:7">
      <c r="A13" s="101" t="s">
        <v>222</v>
      </c>
      <c r="B13" s="99"/>
      <c r="C13" s="99"/>
      <c r="D13" s="114"/>
      <c r="E13" s="103"/>
      <c r="F13" s="110"/>
      <c r="G13" s="44"/>
    </row>
    <row r="14" spans="1:7">
      <c r="A14" s="98" t="s">
        <v>244</v>
      </c>
      <c r="B14" s="99">
        <v>25398</v>
      </c>
      <c r="C14" s="99" t="s">
        <v>398</v>
      </c>
      <c r="D14" s="107">
        <v>-402745.59474258736</v>
      </c>
      <c r="E14" s="108" t="s">
        <v>141</v>
      </c>
      <c r="F14" s="110" t="s">
        <v>142</v>
      </c>
      <c r="G14" s="44">
        <f>D14</f>
        <v>-402745.59474258736</v>
      </c>
    </row>
    <row r="15" spans="1:7" ht="13.5" thickBot="1">
      <c r="A15" s="101"/>
      <c r="B15" s="99"/>
      <c r="C15" s="115"/>
      <c r="D15" s="116">
        <f>SUM(D14:D14)</f>
        <v>-402745.59474258736</v>
      </c>
      <c r="E15" s="99"/>
      <c r="F15" s="110"/>
      <c r="G15" s="116">
        <f>SUM(G14:G14)</f>
        <v>-402745.59474258736</v>
      </c>
    </row>
    <row r="16" spans="1:7" ht="13.5" thickTop="1">
      <c r="A16" s="101"/>
      <c r="B16" s="99"/>
      <c r="C16" s="115"/>
      <c r="D16" s="117"/>
      <c r="E16" s="103"/>
      <c r="F16" s="110"/>
      <c r="G16" s="44"/>
    </row>
    <row r="17" spans="1:10">
      <c r="A17" s="101"/>
      <c r="B17" s="99"/>
      <c r="C17" s="115"/>
      <c r="D17" s="117"/>
      <c r="E17" s="103"/>
      <c r="F17" s="110"/>
      <c r="G17" s="44"/>
    </row>
    <row r="18" spans="1:10">
      <c r="A18" s="101" t="s">
        <v>234</v>
      </c>
      <c r="B18" s="99"/>
      <c r="C18" s="115"/>
      <c r="D18" s="114"/>
      <c r="E18" s="108"/>
      <c r="F18" s="118"/>
      <c r="G18" s="44"/>
    </row>
    <row r="19" spans="1:10">
      <c r="A19" s="98" t="s">
        <v>279</v>
      </c>
      <c r="B19" s="99">
        <v>190</v>
      </c>
      <c r="C19" s="99" t="s">
        <v>398</v>
      </c>
      <c r="D19" s="119">
        <v>152820.8753697275</v>
      </c>
      <c r="E19" s="30" t="s">
        <v>141</v>
      </c>
      <c r="F19" s="33">
        <f>INDEX(WCAAllocations,IFERROR(MATCH(E19,WCAFactors,0),2),IFERROR(MATCH(E19,WCAStates,0),4))</f>
        <v>1</v>
      </c>
      <c r="G19" s="44">
        <f>D19</f>
        <v>152820.8753697275</v>
      </c>
    </row>
    <row r="20" spans="1:10">
      <c r="A20" s="98" t="s">
        <v>267</v>
      </c>
      <c r="B20" s="99" t="s">
        <v>191</v>
      </c>
      <c r="C20" s="99" t="s">
        <v>398</v>
      </c>
      <c r="D20" s="119">
        <v>58.417828750555501</v>
      </c>
      <c r="E20" s="30" t="s">
        <v>141</v>
      </c>
      <c r="F20" s="33">
        <f>INDEX(WCAAllocations,IFERROR(MATCH(E20,WCAFactors,0),2),IFERROR(MATCH(E20,WCAStates,0),4))</f>
        <v>1</v>
      </c>
      <c r="G20" s="44">
        <f>D20</f>
        <v>58.417828750555501</v>
      </c>
    </row>
    <row r="21" spans="1:10">
      <c r="A21" s="98" t="s">
        <v>268</v>
      </c>
      <c r="B21" s="99" t="s">
        <v>193</v>
      </c>
      <c r="C21" s="99" t="s">
        <v>398</v>
      </c>
      <c r="D21" s="119">
        <v>778051.99910408224</v>
      </c>
      <c r="E21" s="30" t="s">
        <v>141</v>
      </c>
      <c r="F21" s="33">
        <f>INDEX(WCAAllocations,IFERROR(MATCH(E21,WCAFactors,0),2),IFERROR(MATCH(E21,WCAStates,0),4))</f>
        <v>1</v>
      </c>
      <c r="G21" s="44">
        <f>D21</f>
        <v>778051.99910408224</v>
      </c>
    </row>
    <row r="22" spans="1:10">
      <c r="A22" s="98" t="s">
        <v>280</v>
      </c>
      <c r="B22" s="99">
        <v>41110</v>
      </c>
      <c r="C22" s="99" t="s">
        <v>398</v>
      </c>
      <c r="D22" s="119">
        <v>-22.19877492521109</v>
      </c>
      <c r="E22" s="30" t="s">
        <v>141</v>
      </c>
      <c r="F22" s="33">
        <f>INDEX(WCAAllocations,IFERROR(MATCH(E22,WCAFactors,0),2),IFERROR(MATCH(E22,WCAStates,0),4))</f>
        <v>1</v>
      </c>
      <c r="G22" s="44">
        <f>D22</f>
        <v>-22.19877492521109</v>
      </c>
    </row>
    <row r="23" spans="1:10">
      <c r="A23" s="98" t="s">
        <v>280</v>
      </c>
      <c r="B23" s="99">
        <v>41010</v>
      </c>
      <c r="C23" s="99" t="s">
        <v>398</v>
      </c>
      <c r="D23" s="119">
        <v>295278.49756776338</v>
      </c>
      <c r="E23" s="30" t="s">
        <v>141</v>
      </c>
      <c r="F23" s="33">
        <f>INDEX(WCAAllocations,IFERROR(MATCH(E23,WCAFactors,0),2),IFERROR(MATCH(E23,WCAStates,0),4))</f>
        <v>1</v>
      </c>
      <c r="G23" s="44">
        <f>D23</f>
        <v>295278.49756776338</v>
      </c>
    </row>
    <row r="24" spans="1:10">
      <c r="A24" s="98"/>
      <c r="B24" s="98"/>
      <c r="C24" s="99"/>
      <c r="D24" s="117"/>
      <c r="E24" s="120"/>
      <c r="F24" s="98"/>
      <c r="G24" s="117"/>
    </row>
    <row r="25" spans="1:10">
      <c r="A25" s="101"/>
      <c r="B25" s="98"/>
      <c r="C25" s="99"/>
      <c r="D25" s="117"/>
      <c r="E25" s="98"/>
      <c r="F25" s="98"/>
      <c r="G25" s="117"/>
    </row>
    <row r="26" spans="1:10">
      <c r="A26" s="101" t="s">
        <v>145</v>
      </c>
      <c r="B26" s="98"/>
      <c r="C26" s="99"/>
      <c r="D26" s="121"/>
      <c r="E26" s="98"/>
      <c r="F26" s="98"/>
      <c r="G26" s="98"/>
    </row>
    <row r="27" spans="1:10" ht="13.15" customHeight="1">
      <c r="A27" s="1397" t="s">
        <v>672</v>
      </c>
      <c r="B27" s="1397"/>
      <c r="C27" s="1397"/>
      <c r="D27" s="1397"/>
      <c r="E27" s="1397"/>
      <c r="F27" s="1397"/>
      <c r="G27" s="1397"/>
      <c r="H27" s="1312"/>
      <c r="I27" s="1312"/>
      <c r="J27" s="1312"/>
    </row>
    <row r="28" spans="1:10">
      <c r="A28" s="1397"/>
      <c r="B28" s="1397"/>
      <c r="C28" s="1397"/>
      <c r="D28" s="1397"/>
      <c r="E28" s="1397"/>
      <c r="F28" s="1397"/>
      <c r="G28" s="1397"/>
      <c r="H28" s="1312"/>
      <c r="I28" s="1312"/>
      <c r="J28" s="1312"/>
    </row>
    <row r="29" spans="1:10">
      <c r="A29" s="1397"/>
      <c r="B29" s="1397"/>
      <c r="C29" s="1397"/>
      <c r="D29" s="1397"/>
      <c r="E29" s="1397"/>
      <c r="F29" s="1397"/>
      <c r="G29" s="1397"/>
      <c r="H29" s="1312"/>
      <c r="I29" s="1312"/>
      <c r="J29" s="1312"/>
    </row>
    <row r="30" spans="1:10">
      <c r="A30" s="1397"/>
      <c r="B30" s="1397"/>
      <c r="C30" s="1397"/>
      <c r="D30" s="1397"/>
      <c r="E30" s="1397"/>
      <c r="F30" s="1397"/>
      <c r="G30" s="1397"/>
      <c r="H30" s="1312"/>
      <c r="I30" s="1312"/>
      <c r="J30" s="1312"/>
    </row>
    <row r="31" spans="1:10">
      <c r="A31" s="1397"/>
      <c r="B31" s="1397"/>
      <c r="C31" s="1397"/>
      <c r="D31" s="1397"/>
      <c r="E31" s="1397"/>
      <c r="F31" s="1397"/>
      <c r="G31" s="1397"/>
      <c r="H31" s="1312"/>
      <c r="I31" s="1312"/>
      <c r="J31" s="1312"/>
    </row>
    <row r="32" spans="1:10">
      <c r="A32" s="1397"/>
      <c r="B32" s="1397"/>
      <c r="C32" s="1397"/>
      <c r="D32" s="1397"/>
      <c r="E32" s="1397"/>
      <c r="F32" s="1397"/>
      <c r="G32" s="1397"/>
      <c r="H32" s="1312"/>
      <c r="I32" s="1312"/>
      <c r="J32" s="1312"/>
    </row>
    <row r="33" spans="1:10">
      <c r="A33" s="1397"/>
      <c r="B33" s="1397"/>
      <c r="C33" s="1397"/>
      <c r="D33" s="1397"/>
      <c r="E33" s="1397"/>
      <c r="F33" s="1397"/>
      <c r="G33" s="1397"/>
      <c r="H33" s="1312"/>
      <c r="I33" s="1312"/>
      <c r="J33" s="1312"/>
    </row>
    <row r="34" spans="1:10">
      <c r="H34" s="125"/>
    </row>
    <row r="36" spans="1:10">
      <c r="A36" s="98"/>
      <c r="B36" s="98"/>
      <c r="C36" s="99"/>
      <c r="D36" s="98"/>
      <c r="E36" s="98"/>
      <c r="F36" s="98"/>
      <c r="G36" s="98"/>
    </row>
    <row r="37" spans="1:10">
      <c r="A37" s="126"/>
      <c r="B37" s="127"/>
      <c r="C37" s="127"/>
      <c r="D37" s="127"/>
    </row>
    <row r="38" spans="1:10">
      <c r="A38" s="126"/>
      <c r="B38" s="127"/>
      <c r="C38" s="127"/>
      <c r="D38" s="127"/>
    </row>
    <row r="39" spans="1:10">
      <c r="A39" s="126"/>
      <c r="B39" s="127"/>
      <c r="C39" s="127"/>
      <c r="D39" s="127"/>
    </row>
    <row r="40" spans="1:10">
      <c r="A40" s="126"/>
      <c r="B40" s="127"/>
      <c r="C40" s="127"/>
      <c r="D40" s="127"/>
    </row>
    <row r="41" spans="1:10">
      <c r="A41" s="126"/>
      <c r="B41" s="127"/>
      <c r="C41" s="127"/>
      <c r="D41" s="127"/>
    </row>
    <row r="42" spans="1:10">
      <c r="A42" s="126"/>
      <c r="B42" s="127"/>
      <c r="C42" s="127"/>
      <c r="D42" s="127"/>
    </row>
    <row r="43" spans="1:10">
      <c r="A43" s="126"/>
      <c r="B43" s="127"/>
      <c r="C43" s="127"/>
      <c r="D43" s="127"/>
    </row>
    <row r="44" spans="1:10">
      <c r="A44" s="126"/>
      <c r="B44" s="127"/>
      <c r="C44" s="127"/>
      <c r="D44" s="127"/>
    </row>
    <row r="45" spans="1:10">
      <c r="A45" s="126"/>
      <c r="B45" s="127"/>
      <c r="C45" s="127"/>
      <c r="D45" s="127"/>
    </row>
    <row r="46" spans="1:10">
      <c r="A46" s="126"/>
      <c r="B46" s="127"/>
      <c r="C46" s="127"/>
      <c r="D46" s="127"/>
    </row>
    <row r="47" spans="1:10">
      <c r="A47" s="126"/>
      <c r="B47" s="127"/>
      <c r="C47" s="127"/>
      <c r="D47" s="127"/>
    </row>
    <row r="48" spans="1:10">
      <c r="A48" s="126"/>
      <c r="B48" s="127"/>
      <c r="C48" s="127"/>
      <c r="D48" s="127"/>
    </row>
    <row r="49" spans="1:4">
      <c r="A49" s="126"/>
      <c r="B49" s="127"/>
      <c r="C49" s="127"/>
      <c r="D49" s="127"/>
    </row>
    <row r="50" spans="1:4">
      <c r="A50" s="126"/>
      <c r="B50" s="127"/>
      <c r="C50" s="127"/>
      <c r="D50" s="127"/>
    </row>
    <row r="51" spans="1:4">
      <c r="A51" s="126"/>
      <c r="B51" s="127"/>
      <c r="C51" s="127"/>
      <c r="D51" s="127"/>
    </row>
    <row r="52" spans="1:4">
      <c r="A52" s="126"/>
      <c r="B52" s="127"/>
      <c r="C52" s="127"/>
      <c r="D52" s="127"/>
    </row>
    <row r="53" spans="1:4">
      <c r="A53" s="126"/>
      <c r="B53" s="127"/>
      <c r="C53" s="127"/>
      <c r="D53" s="127"/>
    </row>
    <row r="54" spans="1:4">
      <c r="A54" s="126"/>
      <c r="B54" s="127"/>
      <c r="C54" s="127"/>
      <c r="D54" s="127"/>
    </row>
    <row r="55" spans="1:4">
      <c r="A55" s="126"/>
      <c r="B55" s="127"/>
      <c r="C55" s="127"/>
      <c r="D55" s="127"/>
    </row>
    <row r="56" spans="1:4">
      <c r="A56" s="126"/>
      <c r="B56" s="127"/>
      <c r="C56" s="127"/>
      <c r="D56" s="127"/>
    </row>
    <row r="57" spans="1:4">
      <c r="A57" s="126"/>
      <c r="B57" s="127"/>
      <c r="C57" s="127"/>
      <c r="D57" s="127"/>
    </row>
    <row r="58" spans="1:4">
      <c r="A58" s="126"/>
      <c r="B58" s="127"/>
      <c r="C58" s="127"/>
      <c r="D58" s="127"/>
    </row>
    <row r="59" spans="1:4">
      <c r="A59" s="126"/>
      <c r="B59" s="127"/>
      <c r="C59" s="127"/>
      <c r="D59" s="127"/>
    </row>
    <row r="60" spans="1:4">
      <c r="A60" s="128"/>
      <c r="B60" s="129"/>
      <c r="C60" s="129"/>
      <c r="D60" s="129"/>
    </row>
    <row r="61" spans="1:4">
      <c r="A61" s="126"/>
      <c r="B61" s="130"/>
      <c r="C61" s="131"/>
      <c r="D61" s="132"/>
    </row>
    <row r="62" spans="1:4" ht="13.5">
      <c r="A62" s="133"/>
      <c r="B62" s="131"/>
      <c r="C62" s="131"/>
      <c r="D62" s="132"/>
    </row>
    <row r="63" spans="1:4">
      <c r="A63" s="126"/>
      <c r="B63" s="131"/>
      <c r="C63" s="131"/>
      <c r="D63" s="132"/>
    </row>
    <row r="64" spans="1:4">
      <c r="A64" s="126"/>
      <c r="B64" s="134"/>
      <c r="C64" s="134"/>
      <c r="D64" s="135"/>
    </row>
    <row r="65" spans="1:4">
      <c r="A65" s="126"/>
      <c r="B65" s="134"/>
      <c r="C65" s="134"/>
      <c r="D65" s="135"/>
    </row>
    <row r="66" spans="1:4">
      <c r="A66" s="126"/>
      <c r="B66" s="134"/>
      <c r="C66" s="134"/>
      <c r="D66" s="135"/>
    </row>
    <row r="67" spans="1:4">
      <c r="A67" s="126"/>
      <c r="B67" s="127"/>
      <c r="C67" s="127"/>
      <c r="D67" s="127"/>
    </row>
    <row r="68" spans="1:4">
      <c r="A68" s="126"/>
      <c r="B68" s="127"/>
      <c r="C68" s="127"/>
      <c r="D68" s="127"/>
    </row>
    <row r="69" spans="1:4">
      <c r="A69" s="126"/>
      <c r="B69" s="127"/>
      <c r="C69" s="127"/>
      <c r="D69" s="127"/>
    </row>
    <row r="70" spans="1:4">
      <c r="A70" s="126"/>
      <c r="B70" s="127"/>
      <c r="C70" s="127"/>
      <c r="D70" s="127"/>
    </row>
    <row r="71" spans="1:4">
      <c r="A71" s="126"/>
      <c r="B71" s="127"/>
      <c r="C71" s="127"/>
      <c r="D71" s="127"/>
    </row>
    <row r="72" spans="1:4">
      <c r="A72" s="126"/>
      <c r="B72" s="127"/>
      <c r="C72" s="127"/>
      <c r="D72" s="127"/>
    </row>
    <row r="73" spans="1:4">
      <c r="A73" s="126"/>
      <c r="B73" s="127"/>
      <c r="C73" s="127"/>
      <c r="D73" s="127"/>
    </row>
    <row r="74" spans="1:4">
      <c r="A74" s="126"/>
      <c r="B74" s="136"/>
      <c r="C74" s="136"/>
      <c r="D74" s="136"/>
    </row>
    <row r="75" spans="1:4">
      <c r="A75" s="126"/>
      <c r="B75" s="127"/>
      <c r="C75" s="127"/>
      <c r="D75" s="127"/>
    </row>
    <row r="76" spans="1:4">
      <c r="A76" s="126"/>
      <c r="B76" s="127"/>
      <c r="C76" s="127"/>
      <c r="D76" s="127"/>
    </row>
    <row r="77" spans="1:4">
      <c r="A77" s="126"/>
      <c r="B77" s="127"/>
      <c r="C77" s="127"/>
      <c r="D77" s="127"/>
    </row>
    <row r="78" spans="1:4">
      <c r="A78" s="126"/>
      <c r="B78" s="127"/>
      <c r="C78" s="127"/>
      <c r="D78" s="127"/>
    </row>
    <row r="79" spans="1:4">
      <c r="A79" s="37"/>
      <c r="B79" s="29"/>
      <c r="C79" s="29"/>
      <c r="D79" s="29"/>
    </row>
    <row r="80" spans="1:4">
      <c r="A80" s="37"/>
      <c r="B80" s="29"/>
      <c r="C80" s="29"/>
      <c r="D80" s="29"/>
    </row>
    <row r="81" spans="1:4">
      <c r="A81" s="137"/>
      <c r="B81" s="123"/>
      <c r="C81" s="123"/>
    </row>
    <row r="82" spans="1:4">
      <c r="A82" s="137"/>
      <c r="B82" s="123"/>
      <c r="C82" s="123"/>
    </row>
    <row r="83" spans="1:4">
      <c r="A83" s="137"/>
      <c r="B83" s="123"/>
      <c r="C83" s="123"/>
    </row>
    <row r="84" spans="1:4">
      <c r="A84" s="137"/>
      <c r="B84" s="123"/>
      <c r="C84" s="123"/>
    </row>
    <row r="85" spans="1:4">
      <c r="A85" s="137"/>
      <c r="B85" s="123"/>
      <c r="C85" s="123"/>
    </row>
    <row r="86" spans="1:4">
      <c r="A86" s="137"/>
      <c r="B86" s="123"/>
      <c r="C86" s="123"/>
    </row>
    <row r="87" spans="1:4">
      <c r="A87" s="137"/>
      <c r="B87" s="123"/>
      <c r="C87" s="123"/>
    </row>
    <row r="88" spans="1:4">
      <c r="A88" s="137"/>
      <c r="B88" s="123"/>
      <c r="C88" s="123"/>
    </row>
    <row r="90" spans="1:4">
      <c r="A90" s="138"/>
      <c r="B90" s="139"/>
      <c r="C90" s="139"/>
      <c r="D90" s="127"/>
    </row>
    <row r="91" spans="1:4">
      <c r="A91" s="138"/>
      <c r="B91" s="139"/>
      <c r="C91" s="139"/>
      <c r="D91" s="127"/>
    </row>
    <row r="92" spans="1:4">
      <c r="A92" s="140"/>
      <c r="B92" s="1"/>
      <c r="C92" s="1"/>
      <c r="D92" s="29"/>
    </row>
    <row r="93" spans="1:4">
      <c r="A93" s="140"/>
      <c r="B93" s="1"/>
      <c r="C93" s="1"/>
      <c r="D93" s="29"/>
    </row>
    <row r="94" spans="1:4">
      <c r="A94" s="140"/>
      <c r="B94" s="1"/>
      <c r="C94" s="1"/>
      <c r="D94" s="29"/>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469"/>
  <sheetViews>
    <sheetView workbookViewId="0">
      <selection activeCell="F16" sqref="F16"/>
    </sheetView>
  </sheetViews>
  <sheetFormatPr defaultColWidth="10" defaultRowHeight="12.75"/>
  <cols>
    <col min="1" max="1" width="30.5703125" style="234" customWidth="1"/>
    <col min="2" max="2" width="10.28515625" style="234" bestFit="1" customWidth="1"/>
    <col min="3" max="3" width="6" style="234" bestFit="1" customWidth="1"/>
    <col min="4" max="4" width="12.5703125" style="2" bestFit="1" customWidth="1"/>
    <col min="5" max="5" width="8.7109375" style="234" bestFit="1" customWidth="1"/>
    <col min="6" max="6" width="10.85546875" style="245" bestFit="1" customWidth="1"/>
    <col min="7" max="7" width="15.140625" style="234" bestFit="1" customWidth="1"/>
    <col min="8" max="16384" width="10" style="234"/>
  </cols>
  <sheetData>
    <row r="1" spans="1:8">
      <c r="A1" s="17" t="str">
        <f>RevReqSummary!A1</f>
        <v>PacifiCorp General Rate Case UE-140617</v>
      </c>
      <c r="B1" s="232"/>
      <c r="C1" s="232"/>
      <c r="D1" s="59"/>
      <c r="E1" s="232"/>
      <c r="F1" s="182"/>
      <c r="G1" s="233"/>
    </row>
    <row r="2" spans="1:8">
      <c r="A2" s="17" t="str">
        <f>RevReqSummary!A2</f>
        <v>For The Twelve Months Ended December 2013 - Staff Revenue Requirement</v>
      </c>
      <c r="B2" s="232"/>
      <c r="C2" s="232"/>
      <c r="D2" s="59"/>
      <c r="E2" s="232"/>
      <c r="F2" s="182"/>
      <c r="G2" s="233"/>
    </row>
    <row r="3" spans="1:8">
      <c r="A3" s="235" t="s">
        <v>617</v>
      </c>
      <c r="B3" s="232"/>
      <c r="C3" s="59"/>
      <c r="D3" s="232"/>
      <c r="E3" s="182"/>
      <c r="F3" s="233"/>
      <c r="G3" s="233"/>
    </row>
    <row r="4" spans="1:8">
      <c r="A4" s="235" t="s">
        <v>487</v>
      </c>
      <c r="B4" s="232"/>
      <c r="C4" s="232"/>
      <c r="D4" s="59"/>
      <c r="E4" s="232"/>
      <c r="F4" s="182"/>
      <c r="G4" s="233"/>
    </row>
    <row r="5" spans="1:8">
      <c r="B5" s="232"/>
      <c r="C5" s="232"/>
      <c r="D5" s="59"/>
      <c r="E5" s="232"/>
      <c r="F5" s="182"/>
      <c r="G5" s="233"/>
    </row>
    <row r="6" spans="1:8">
      <c r="B6" s="232"/>
      <c r="C6" s="232"/>
      <c r="D6" s="59" t="s">
        <v>131</v>
      </c>
      <c r="E6" s="232"/>
      <c r="F6" s="182"/>
      <c r="G6" s="233" t="s">
        <v>236</v>
      </c>
    </row>
    <row r="7" spans="1:8">
      <c r="B7" s="236" t="s">
        <v>132</v>
      </c>
      <c r="C7" s="26" t="s">
        <v>660</v>
      </c>
      <c r="D7" s="237" t="s">
        <v>134</v>
      </c>
      <c r="E7" s="236" t="s">
        <v>135</v>
      </c>
      <c r="F7" s="238" t="s">
        <v>136</v>
      </c>
      <c r="G7" s="239" t="s">
        <v>137</v>
      </c>
    </row>
    <row r="8" spans="1:8">
      <c r="A8" s="240" t="s">
        <v>399</v>
      </c>
      <c r="B8" s="241"/>
      <c r="C8" s="241"/>
      <c r="D8" s="242"/>
      <c r="E8" s="241"/>
      <c r="F8" s="155"/>
      <c r="G8" s="31"/>
    </row>
    <row r="9" spans="1:8" ht="25.5">
      <c r="A9" s="1313" t="s">
        <v>799</v>
      </c>
      <c r="B9" s="30">
        <v>456</v>
      </c>
      <c r="C9" s="232" t="s">
        <v>140</v>
      </c>
      <c r="D9" s="243">
        <v>-7601286.8600000003</v>
      </c>
      <c r="E9" s="30" t="s">
        <v>146</v>
      </c>
      <c r="F9" s="33">
        <f>INDEX(WCAAllocations,IFERROR(MATCH(E9,WCAFactors,0),2),IFERROR(MATCH(E9,WCAStates,0),4))</f>
        <v>7.9057273540331513E-2</v>
      </c>
      <c r="G9" s="59">
        <f>F9*D9</f>
        <v>-600937.01454954769</v>
      </c>
      <c r="H9" s="1"/>
    </row>
    <row r="10" spans="1:8">
      <c r="A10" s="244"/>
      <c r="B10" s="30"/>
      <c r="C10" s="232"/>
      <c r="D10" s="243"/>
      <c r="G10" s="59"/>
      <c r="H10" s="1"/>
    </row>
    <row r="11" spans="1:8">
      <c r="A11" s="244" t="s">
        <v>800</v>
      </c>
      <c r="B11" s="30">
        <v>456</v>
      </c>
      <c r="C11" s="232" t="s">
        <v>140</v>
      </c>
      <c r="D11" s="243">
        <v>-20901329.41</v>
      </c>
      <c r="E11" s="30" t="s">
        <v>146</v>
      </c>
      <c r="F11" s="33">
        <f>INDEX(WCAAllocations,IFERROR(MATCH(E11,WCAFactors,0),2),IFERROR(MATCH(E11,WCAStates,0),4))</f>
        <v>7.9057273540331513E-2</v>
      </c>
      <c r="G11" s="59">
        <f>F11*D11</f>
        <v>-1652402.1165229459</v>
      </c>
      <c r="H11" s="1"/>
    </row>
    <row r="12" spans="1:8">
      <c r="A12" s="244"/>
      <c r="B12" s="30"/>
      <c r="C12" s="241"/>
      <c r="D12" s="242"/>
      <c r="E12" s="30"/>
      <c r="F12" s="155"/>
      <c r="G12" s="31"/>
      <c r="H12" s="1"/>
    </row>
    <row r="13" spans="1:8" ht="13.5" thickBot="1">
      <c r="A13" s="244" t="s">
        <v>3</v>
      </c>
      <c r="B13" s="30"/>
      <c r="C13" s="241"/>
      <c r="D13" s="246">
        <f>SUM(D9:D12)</f>
        <v>-28502616.27</v>
      </c>
      <c r="E13" s="61"/>
      <c r="F13" s="155"/>
      <c r="G13" s="247">
        <f>SUM(G9:G12)</f>
        <v>-2253339.1310724937</v>
      </c>
      <c r="H13" s="1"/>
    </row>
    <row r="14" spans="1:8" ht="13.5" thickTop="1">
      <c r="A14" s="244"/>
      <c r="B14" s="30"/>
      <c r="C14" s="241"/>
      <c r="D14" s="242"/>
      <c r="E14" s="30"/>
      <c r="F14" s="155"/>
      <c r="G14" s="31"/>
      <c r="H14" s="144"/>
    </row>
    <row r="15" spans="1:8" s="244" customFormat="1">
      <c r="B15" s="30"/>
      <c r="C15" s="241"/>
      <c r="D15" s="242"/>
      <c r="E15" s="30"/>
      <c r="F15" s="155"/>
      <c r="G15" s="31"/>
      <c r="H15" s="29"/>
    </row>
    <row r="16" spans="1:8">
      <c r="A16" s="244"/>
      <c r="B16" s="30"/>
      <c r="C16" s="241"/>
      <c r="D16" s="31"/>
      <c r="E16" s="241"/>
      <c r="F16" s="155"/>
      <c r="G16" s="31"/>
    </row>
    <row r="17" spans="1:9">
      <c r="D17" s="249"/>
      <c r="F17" s="234"/>
    </row>
    <row r="18" spans="1:9">
      <c r="A18" s="250" t="s">
        <v>212</v>
      </c>
      <c r="B18" s="241"/>
      <c r="C18" s="232"/>
      <c r="D18" s="31"/>
      <c r="E18" s="241"/>
      <c r="F18" s="182"/>
      <c r="G18" s="59"/>
    </row>
    <row r="19" spans="1:9">
      <c r="A19" s="1398" t="s">
        <v>1048</v>
      </c>
      <c r="B19" s="1398"/>
      <c r="C19" s="1398"/>
      <c r="D19" s="1398"/>
      <c r="E19" s="1398"/>
      <c r="F19" s="1398"/>
      <c r="G19" s="1398"/>
      <c r="H19" s="244"/>
      <c r="I19" s="244"/>
    </row>
    <row r="20" spans="1:9">
      <c r="A20" s="1398"/>
      <c r="B20" s="1398"/>
      <c r="C20" s="1398"/>
      <c r="D20" s="1398"/>
      <c r="E20" s="1398"/>
      <c r="F20" s="1398"/>
      <c r="G20" s="1398"/>
      <c r="H20" s="244"/>
      <c r="I20" s="244"/>
    </row>
    <row r="21" spans="1:9">
      <c r="A21" s="1398"/>
      <c r="B21" s="1398"/>
      <c r="C21" s="1398"/>
      <c r="D21" s="1398"/>
      <c r="E21" s="1398"/>
      <c r="F21" s="1398"/>
      <c r="G21" s="1398"/>
      <c r="H21" s="244"/>
      <c r="I21" s="244"/>
    </row>
    <row r="22" spans="1:9">
      <c r="A22" s="1398"/>
      <c r="B22" s="1398"/>
      <c r="C22" s="1398"/>
      <c r="D22" s="1398"/>
      <c r="E22" s="1398"/>
      <c r="F22" s="1398"/>
      <c r="G22" s="1398"/>
      <c r="H22" s="244"/>
      <c r="I22" s="244"/>
    </row>
    <row r="23" spans="1:9">
      <c r="A23" s="1398"/>
      <c r="B23" s="1398"/>
      <c r="C23" s="1398"/>
      <c r="D23" s="1398"/>
      <c r="E23" s="1398"/>
      <c r="F23" s="1398"/>
      <c r="G23" s="1398"/>
      <c r="H23" s="244"/>
      <c r="I23" s="244"/>
    </row>
    <row r="24" spans="1:9">
      <c r="A24" s="1398"/>
      <c r="B24" s="1398"/>
      <c r="C24" s="1398"/>
      <c r="D24" s="1398"/>
      <c r="E24" s="1398"/>
      <c r="F24" s="1398"/>
      <c r="G24" s="1398"/>
      <c r="H24" s="244"/>
      <c r="I24" s="244"/>
    </row>
    <row r="25" spans="1:9">
      <c r="A25" s="1398"/>
      <c r="B25" s="1398"/>
      <c r="C25" s="1398"/>
      <c r="D25" s="1398"/>
      <c r="E25" s="1398"/>
      <c r="F25" s="1398"/>
      <c r="G25" s="1398"/>
      <c r="H25" s="244"/>
      <c r="I25" s="244"/>
    </row>
    <row r="26" spans="1:9">
      <c r="A26" s="252"/>
      <c r="B26" s="241"/>
      <c r="C26" s="241"/>
      <c r="D26" s="31"/>
      <c r="E26" s="241"/>
      <c r="F26" s="155"/>
      <c r="G26" s="251"/>
      <c r="H26" s="244"/>
      <c r="I26" s="244"/>
    </row>
    <row r="27" spans="1:9">
      <c r="A27" s="252"/>
      <c r="B27" s="241"/>
      <c r="C27" s="241"/>
      <c r="D27" s="31"/>
      <c r="E27" s="241"/>
      <c r="F27" s="155"/>
      <c r="G27" s="251"/>
      <c r="H27" s="244"/>
      <c r="I27" s="244"/>
    </row>
    <row r="28" spans="1:9">
      <c r="A28" s="252"/>
      <c r="B28" s="241"/>
      <c r="C28" s="241"/>
      <c r="D28" s="31"/>
      <c r="E28" s="241"/>
      <c r="F28" s="155"/>
      <c r="G28" s="251"/>
      <c r="H28" s="244"/>
      <c r="I28" s="244"/>
    </row>
    <row r="29" spans="1:9">
      <c r="A29" s="252"/>
      <c r="B29" s="241"/>
      <c r="C29" s="241"/>
      <c r="D29" s="31"/>
      <c r="E29" s="241"/>
      <c r="F29" s="155"/>
      <c r="G29" s="241"/>
      <c r="H29" s="244"/>
    </row>
    <row r="30" spans="1:9">
      <c r="A30" s="244"/>
      <c r="B30" s="244"/>
      <c r="C30" s="241"/>
      <c r="D30" s="136"/>
      <c r="E30" s="244"/>
      <c r="F30" s="253"/>
      <c r="G30" s="244"/>
      <c r="H30" s="244"/>
    </row>
    <row r="31" spans="1:9">
      <c r="C31" s="232"/>
    </row>
    <row r="32" spans="1:9">
      <c r="C32" s="232"/>
    </row>
    <row r="33" spans="3:6">
      <c r="C33" s="232"/>
      <c r="F33" s="370"/>
    </row>
    <row r="34" spans="3:6">
      <c r="C34" s="232"/>
    </row>
    <row r="35" spans="3:6">
      <c r="C35" s="232"/>
    </row>
    <row r="36" spans="3:6">
      <c r="C36" s="232"/>
    </row>
    <row r="37" spans="3:6">
      <c r="C37" s="232"/>
    </row>
    <row r="38" spans="3:6">
      <c r="C38" s="232"/>
    </row>
    <row r="39" spans="3:6">
      <c r="C39" s="232"/>
    </row>
    <row r="40" spans="3:6">
      <c r="C40" s="232"/>
    </row>
    <row r="41" spans="3:6">
      <c r="C41" s="232"/>
    </row>
    <row r="42" spans="3:6">
      <c r="C42" s="232"/>
    </row>
    <row r="43" spans="3:6">
      <c r="C43" s="232"/>
    </row>
    <row r="44" spans="3:6">
      <c r="C44" s="232"/>
    </row>
    <row r="45" spans="3:6">
      <c r="C45" s="232"/>
    </row>
    <row r="46" spans="3:6">
      <c r="C46" s="232"/>
    </row>
    <row r="47" spans="3:6">
      <c r="C47" s="232"/>
    </row>
    <row r="48" spans="3:6">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30"/>
  <sheetViews>
    <sheetView workbookViewId="0">
      <selection activeCell="F16" sqref="F16"/>
    </sheetView>
  </sheetViews>
  <sheetFormatPr defaultColWidth="13.140625" defaultRowHeight="12.75"/>
  <cols>
    <col min="1" max="1" width="34.28515625" style="1" customWidth="1"/>
    <col min="2" max="2" width="10.28515625" style="1" bestFit="1" customWidth="1"/>
    <col min="3" max="3" width="6" style="1" bestFit="1" customWidth="1"/>
    <col min="4" max="4" width="12.28515625" style="1" bestFit="1" customWidth="1"/>
    <col min="5" max="5" width="8.7109375" style="1" bestFit="1" customWidth="1"/>
    <col min="6" max="6" width="10.85546875" style="1" bestFit="1" customWidth="1"/>
    <col min="7" max="7" width="15.140625" style="1" bestFit="1" customWidth="1"/>
    <col min="8" max="16384" width="13.140625" style="1"/>
  </cols>
  <sheetData>
    <row r="1" spans="1:27">
      <c r="A1" s="17" t="str">
        <f>RevReqSummary!A1</f>
        <v>PacifiCorp General Rate Case UE-140617</v>
      </c>
      <c r="B1" s="30"/>
      <c r="C1" s="30"/>
      <c r="D1" s="136"/>
      <c r="E1" s="30"/>
      <c r="F1" s="23"/>
      <c r="G1" s="142"/>
      <c r="H1" s="3"/>
      <c r="I1" s="23"/>
      <c r="J1" s="23"/>
      <c r="K1" s="23"/>
      <c r="L1" s="23"/>
      <c r="M1" s="276"/>
      <c r="N1" s="6"/>
      <c r="O1" s="61"/>
      <c r="P1" s="4"/>
      <c r="Q1" s="4"/>
      <c r="R1" s="4"/>
      <c r="S1" s="277"/>
      <c r="T1" s="57"/>
      <c r="U1" s="29"/>
      <c r="V1" s="42"/>
      <c r="X1" s="58"/>
    </row>
    <row r="2" spans="1:27">
      <c r="A2" s="17" t="str">
        <f>RevReqSummary!A2</f>
        <v>For The Twelve Months Ended December 2013 - Staff Revenue Requirement</v>
      </c>
      <c r="B2" s="30"/>
      <c r="C2" s="30"/>
      <c r="D2" s="136"/>
      <c r="E2" s="30"/>
      <c r="F2" s="30"/>
      <c r="G2" s="171"/>
      <c r="H2" s="31"/>
      <c r="I2" s="31"/>
      <c r="J2" s="31"/>
      <c r="K2" s="31"/>
      <c r="L2" s="31"/>
      <c r="M2" s="276"/>
      <c r="N2" s="6"/>
      <c r="O2" s="61"/>
      <c r="P2" s="4"/>
      <c r="Q2" s="4"/>
      <c r="R2" s="4"/>
      <c r="S2" s="4"/>
      <c r="T2" s="4"/>
      <c r="U2" s="29"/>
      <c r="V2" s="42"/>
      <c r="X2" s="58"/>
    </row>
    <row r="3" spans="1:27">
      <c r="A3" s="25" t="s">
        <v>243</v>
      </c>
      <c r="B3" s="30"/>
      <c r="C3" s="30"/>
      <c r="D3" s="136"/>
      <c r="E3" s="30"/>
      <c r="F3" s="30"/>
      <c r="G3" s="156"/>
      <c r="H3" s="31"/>
      <c r="I3" s="31"/>
      <c r="J3" s="31"/>
      <c r="K3" s="31"/>
      <c r="L3" s="31"/>
      <c r="M3" s="6"/>
      <c r="N3" s="6"/>
      <c r="O3" s="6"/>
      <c r="P3" s="4"/>
      <c r="Q3" s="4"/>
      <c r="R3" s="4"/>
      <c r="S3" s="4"/>
      <c r="T3" s="4"/>
      <c r="U3" s="29"/>
      <c r="V3" s="42"/>
      <c r="X3" s="58"/>
    </row>
    <row r="4" spans="1:27">
      <c r="A4" s="53" t="s">
        <v>488</v>
      </c>
      <c r="B4" s="30"/>
      <c r="C4" s="30"/>
      <c r="D4" s="136"/>
      <c r="E4" s="30"/>
      <c r="F4" s="30"/>
      <c r="G4" s="156"/>
      <c r="H4" s="31"/>
      <c r="I4" s="31"/>
      <c r="J4" s="31"/>
      <c r="K4" s="31"/>
      <c r="L4" s="31"/>
      <c r="M4" s="6"/>
      <c r="N4" s="278"/>
      <c r="O4" s="6"/>
      <c r="P4" s="4"/>
      <c r="Q4" s="4"/>
      <c r="R4" s="4"/>
      <c r="S4" s="4"/>
      <c r="T4" s="4"/>
      <c r="U4" s="279"/>
      <c r="V4" s="42"/>
      <c r="X4" s="58"/>
    </row>
    <row r="5" spans="1:27">
      <c r="A5" s="29"/>
      <c r="B5" s="30"/>
      <c r="C5" s="30"/>
      <c r="D5" s="136"/>
      <c r="E5" s="30"/>
      <c r="F5" s="30"/>
      <c r="G5" s="156"/>
      <c r="H5" s="31"/>
      <c r="I5" s="31"/>
      <c r="J5" s="31"/>
      <c r="K5" s="31"/>
      <c r="L5" s="31"/>
      <c r="M5" s="6"/>
      <c r="N5" s="6"/>
      <c r="O5" s="6"/>
      <c r="P5" s="4"/>
      <c r="Q5" s="4"/>
      <c r="R5" s="4"/>
      <c r="S5" s="4"/>
      <c r="T5" s="4"/>
      <c r="U5" s="29"/>
      <c r="V5" s="42"/>
      <c r="X5" s="58"/>
    </row>
    <row r="6" spans="1:27">
      <c r="B6" s="23"/>
      <c r="C6" s="23"/>
      <c r="D6" s="59" t="s">
        <v>131</v>
      </c>
      <c r="E6" s="23"/>
      <c r="F6" s="23"/>
      <c r="G6" s="146" t="s">
        <v>236</v>
      </c>
      <c r="H6" s="23"/>
      <c r="I6" s="23"/>
      <c r="J6" s="23"/>
      <c r="K6" s="23"/>
      <c r="L6" s="23"/>
      <c r="M6" s="15"/>
      <c r="N6" s="60"/>
      <c r="O6" s="15"/>
      <c r="P6" s="6"/>
      <c r="Q6" s="4"/>
      <c r="R6" s="4"/>
      <c r="S6" s="4"/>
      <c r="T6" s="4"/>
      <c r="U6" s="30"/>
      <c r="V6" s="42"/>
      <c r="X6" s="58"/>
    </row>
    <row r="7" spans="1:27">
      <c r="B7" s="26" t="s">
        <v>132</v>
      </c>
      <c r="C7" s="26" t="s">
        <v>660</v>
      </c>
      <c r="D7" s="237" t="s">
        <v>134</v>
      </c>
      <c r="E7" s="26" t="s">
        <v>135</v>
      </c>
      <c r="F7" s="26" t="s">
        <v>136</v>
      </c>
      <c r="G7" s="149" t="s">
        <v>137</v>
      </c>
      <c r="H7" s="26"/>
      <c r="I7" s="23"/>
      <c r="J7" s="23"/>
      <c r="K7" s="23"/>
      <c r="L7" s="23"/>
      <c r="M7" s="15"/>
      <c r="N7" s="15"/>
      <c r="O7" s="15"/>
      <c r="P7" s="61"/>
      <c r="Q7" s="15"/>
      <c r="R7" s="15"/>
      <c r="S7" s="15"/>
      <c r="T7" s="15"/>
      <c r="U7" s="41"/>
      <c r="V7" s="280"/>
      <c r="X7" s="58"/>
    </row>
    <row r="8" spans="1:27">
      <c r="A8" s="255" t="s">
        <v>197</v>
      </c>
      <c r="B8" s="256"/>
      <c r="C8" s="256"/>
      <c r="D8" s="256"/>
      <c r="E8" s="71"/>
      <c r="F8" s="71"/>
      <c r="G8" s="40"/>
      <c r="H8" s="62"/>
      <c r="I8" s="62"/>
      <c r="J8" s="62"/>
      <c r="K8" s="62"/>
      <c r="L8" s="62"/>
      <c r="M8" s="75"/>
      <c r="N8" s="75"/>
      <c r="O8" s="75"/>
      <c r="P8" s="63"/>
      <c r="Q8" s="63"/>
      <c r="R8" s="63"/>
      <c r="S8" s="63"/>
      <c r="T8" s="63"/>
      <c r="U8" s="64"/>
      <c r="V8" s="65"/>
      <c r="X8" s="58"/>
      <c r="Y8" s="2"/>
      <c r="Z8" s="2"/>
    </row>
    <row r="9" spans="1:27">
      <c r="A9" s="257" t="s">
        <v>198</v>
      </c>
      <c r="B9" s="258">
        <v>456</v>
      </c>
      <c r="C9" s="258" t="s">
        <v>140</v>
      </c>
      <c r="D9" s="243">
        <v>-4480006.8099999987</v>
      </c>
      <c r="E9" s="30" t="s">
        <v>240</v>
      </c>
      <c r="F9" s="33">
        <f>INDEX(WCAAllocations,IFERROR(MATCH(E9,WCAFactors,0),2),IFERROR(MATCH(E9,WCAStates,0),4))</f>
        <v>4.7750639633854279E-2</v>
      </c>
      <c r="G9" s="31">
        <f>ROUND(+F9*D9,0)</f>
        <v>-213923</v>
      </c>
      <c r="H9" s="281"/>
      <c r="I9" s="262"/>
      <c r="J9" s="262"/>
      <c r="K9" s="77"/>
      <c r="L9" s="282"/>
    </row>
    <row r="10" spans="1:27">
      <c r="A10" s="257" t="s">
        <v>198</v>
      </c>
      <c r="B10" s="258">
        <v>456</v>
      </c>
      <c r="C10" s="258" t="s">
        <v>398</v>
      </c>
      <c r="D10" s="243">
        <v>9403371.4652340207</v>
      </c>
      <c r="E10" s="30" t="s">
        <v>240</v>
      </c>
      <c r="F10" s="33">
        <f>INDEX(WCAAllocations,IFERROR(MATCH(E10,WCAFactors,0),2),IFERROR(MATCH(E10,WCAStates,0),4))</f>
        <v>4.7750639633854279E-2</v>
      </c>
      <c r="G10" s="31">
        <f>ROUND(+F10*D10,0)</f>
        <v>449017</v>
      </c>
      <c r="H10" s="281"/>
      <c r="I10" s="262"/>
      <c r="J10" s="262"/>
      <c r="K10" s="77"/>
      <c r="L10" s="282"/>
    </row>
    <row r="11" spans="1:27">
      <c r="A11" s="257"/>
      <c r="B11" s="258"/>
      <c r="C11" s="258"/>
      <c r="D11" s="242"/>
      <c r="E11" s="70"/>
      <c r="F11" s="182"/>
      <c r="G11" s="31"/>
      <c r="H11" s="281"/>
      <c r="I11" s="283"/>
      <c r="J11" s="262"/>
      <c r="K11" s="283"/>
      <c r="L11" s="67"/>
    </row>
    <row r="12" spans="1:27" ht="13.5" thickBot="1">
      <c r="A12" s="259" t="s">
        <v>318</v>
      </c>
      <c r="B12" s="258"/>
      <c r="C12" s="258"/>
      <c r="D12" s="246">
        <f>SUM(D9:D11)</f>
        <v>4923364.6552340221</v>
      </c>
      <c r="E12" s="70"/>
      <c r="F12" s="260"/>
      <c r="G12" s="246">
        <f>SUM(G9:G11)</f>
        <v>235094</v>
      </c>
      <c r="H12" s="284"/>
      <c r="I12" s="283"/>
      <c r="J12" s="262"/>
      <c r="K12" s="285"/>
      <c r="L12" s="286"/>
      <c r="M12" s="5"/>
      <c r="N12" s="5"/>
      <c r="O12" s="5"/>
      <c r="P12" s="5"/>
      <c r="Q12" s="5"/>
      <c r="R12" s="5"/>
      <c r="S12" s="5"/>
      <c r="T12" s="287"/>
      <c r="U12" s="64"/>
      <c r="V12" s="65"/>
      <c r="X12" s="58"/>
      <c r="Y12" s="2"/>
      <c r="Z12" s="2"/>
      <c r="AA12" s="4"/>
    </row>
    <row r="13" spans="1:27" ht="13.5" thickTop="1">
      <c r="A13" s="259"/>
      <c r="B13" s="258"/>
      <c r="C13" s="258"/>
      <c r="D13" s="261"/>
      <c r="E13" s="70"/>
      <c r="F13" s="260"/>
      <c r="G13" s="261"/>
      <c r="H13" s="281"/>
      <c r="I13" s="77"/>
      <c r="J13" s="77"/>
      <c r="K13" s="77"/>
      <c r="L13" s="77"/>
      <c r="M13" s="5"/>
      <c r="N13" s="5"/>
      <c r="O13" s="5"/>
      <c r="P13" s="5"/>
      <c r="Q13" s="5"/>
      <c r="R13" s="5"/>
      <c r="S13" s="5"/>
      <c r="T13" s="287"/>
      <c r="U13" s="64"/>
      <c r="V13" s="65"/>
      <c r="X13" s="58"/>
      <c r="Y13" s="2"/>
      <c r="Z13" s="2"/>
      <c r="AA13" s="4"/>
    </row>
    <row r="14" spans="1:27">
      <c r="A14" s="259"/>
      <c r="B14" s="258"/>
      <c r="C14" s="258"/>
      <c r="D14" s="262"/>
      <c r="E14" s="263"/>
      <c r="F14" s="264"/>
      <c r="G14" s="35"/>
      <c r="H14" s="284"/>
      <c r="I14" s="285"/>
      <c r="J14" s="77"/>
      <c r="K14" s="285"/>
      <c r="L14" s="286"/>
      <c r="M14" s="5"/>
      <c r="N14" s="5"/>
      <c r="O14" s="5"/>
      <c r="P14" s="5"/>
      <c r="Q14" s="5"/>
      <c r="R14" s="5"/>
      <c r="S14" s="5"/>
      <c r="T14" s="287"/>
      <c r="U14" s="64"/>
      <c r="V14" s="65"/>
      <c r="X14" s="58"/>
      <c r="Y14" s="2"/>
      <c r="Z14" s="2"/>
    </row>
    <row r="15" spans="1:27">
      <c r="A15" s="259" t="s">
        <v>319</v>
      </c>
      <c r="B15" s="258">
        <v>566</v>
      </c>
      <c r="C15" s="258" t="s">
        <v>140</v>
      </c>
      <c r="D15" s="265">
        <v>-1418333.34</v>
      </c>
      <c r="E15" s="30" t="s">
        <v>146</v>
      </c>
      <c r="F15" s="33">
        <f>INDEX(WCAAllocations,IFERROR(MATCH(E15,WCAFactors,0),2),IFERROR(MATCH(E15,WCAStates,0),4))</f>
        <v>7.9057273540331513E-2</v>
      </c>
      <c r="G15" s="242">
        <f>ROUND(+F15*D15,0)</f>
        <v>-112130</v>
      </c>
      <c r="H15" s="284"/>
      <c r="I15" s="285"/>
      <c r="J15" s="77"/>
      <c r="K15" s="285"/>
      <c r="L15" s="286"/>
      <c r="M15" s="68"/>
      <c r="N15" s="68"/>
      <c r="O15" s="68"/>
      <c r="P15" s="68"/>
      <c r="Q15" s="68"/>
      <c r="R15" s="68"/>
      <c r="S15" s="68"/>
      <c r="T15" s="68"/>
      <c r="U15" s="64"/>
      <c r="V15" s="65"/>
      <c r="X15" s="58"/>
      <c r="Y15" s="2"/>
      <c r="Z15" s="2"/>
    </row>
    <row r="16" spans="1:27">
      <c r="A16" s="259"/>
      <c r="B16" s="258"/>
      <c r="C16" s="258"/>
      <c r="D16" s="262"/>
      <c r="E16" s="266"/>
      <c r="F16" s="267"/>
      <c r="G16" s="268"/>
      <c r="H16" s="284"/>
      <c r="I16" s="77"/>
      <c r="J16" s="77"/>
      <c r="K16" s="77"/>
      <c r="L16" s="77"/>
      <c r="M16" s="68"/>
      <c r="N16" s="68"/>
      <c r="O16" s="68"/>
      <c r="P16" s="68"/>
      <c r="Q16" s="68"/>
      <c r="R16" s="75"/>
      <c r="S16" s="68"/>
      <c r="T16" s="68"/>
      <c r="U16" s="64"/>
      <c r="V16" s="65"/>
      <c r="X16" s="58"/>
      <c r="Y16" s="2"/>
      <c r="Z16" s="2"/>
    </row>
    <row r="17" spans="1:26">
      <c r="A17" s="269"/>
      <c r="B17" s="270"/>
      <c r="C17" s="271"/>
      <c r="D17" s="272"/>
      <c r="E17" s="272"/>
      <c r="F17" s="273"/>
      <c r="G17" s="262"/>
      <c r="H17" s="284"/>
      <c r="I17" s="288"/>
      <c r="J17" s="77"/>
      <c r="K17" s="283"/>
      <c r="L17" s="67"/>
      <c r="M17" s="68"/>
      <c r="N17" s="68"/>
      <c r="O17" s="68"/>
      <c r="P17" s="68"/>
      <c r="Q17" s="68"/>
      <c r="R17" s="68"/>
      <c r="S17" s="68"/>
      <c r="T17" s="68"/>
      <c r="U17" s="64"/>
      <c r="V17" s="65"/>
      <c r="X17" s="58"/>
      <c r="Y17" s="2"/>
      <c r="Z17" s="2"/>
    </row>
    <row r="18" spans="1:26">
      <c r="A18" s="269" t="s">
        <v>204</v>
      </c>
      <c r="B18" s="258"/>
      <c r="C18" s="258"/>
      <c r="D18" s="262"/>
      <c r="E18" s="274"/>
      <c r="F18" s="273"/>
      <c r="G18" s="262"/>
      <c r="H18" s="284"/>
      <c r="I18" s="288"/>
      <c r="J18" s="77"/>
      <c r="K18" s="283"/>
      <c r="L18" s="67"/>
      <c r="M18" s="68"/>
      <c r="N18" s="68"/>
      <c r="O18" s="68"/>
      <c r="P18" s="68"/>
      <c r="Q18" s="68"/>
      <c r="R18" s="68"/>
      <c r="S18" s="68"/>
      <c r="T18" s="68"/>
      <c r="U18" s="64"/>
      <c r="V18" s="65"/>
      <c r="X18" s="58"/>
      <c r="Y18" s="2"/>
      <c r="Z18" s="2"/>
    </row>
    <row r="19" spans="1:26">
      <c r="A19" s="259" t="s">
        <v>673</v>
      </c>
      <c r="B19" s="258"/>
      <c r="C19" s="258"/>
      <c r="D19" s="242">
        <v>85492934.919999972</v>
      </c>
      <c r="E19" s="274"/>
      <c r="F19" s="273"/>
      <c r="G19" s="262"/>
      <c r="H19" s="284"/>
      <c r="I19" s="288"/>
      <c r="J19" s="96"/>
      <c r="K19" s="96"/>
      <c r="L19" s="96"/>
      <c r="M19" s="75"/>
      <c r="N19" s="75"/>
      <c r="O19" s="75"/>
      <c r="P19" s="63"/>
      <c r="Q19" s="63"/>
      <c r="R19" s="63"/>
      <c r="S19" s="289"/>
      <c r="T19" s="63"/>
      <c r="U19" s="64"/>
      <c r="V19" s="65"/>
      <c r="X19" s="58"/>
      <c r="Y19" s="2"/>
      <c r="Z19" s="2"/>
    </row>
    <row r="20" spans="1:26">
      <c r="A20" s="259" t="s">
        <v>242</v>
      </c>
      <c r="B20" s="256"/>
      <c r="C20" s="258"/>
      <c r="D20" s="1314">
        <v>0</v>
      </c>
      <c r="E20" s="274"/>
      <c r="F20" s="273"/>
      <c r="G20" s="262"/>
      <c r="H20" s="284"/>
      <c r="I20" s="288"/>
      <c r="J20" s="71"/>
      <c r="K20" s="71"/>
      <c r="L20" s="71"/>
      <c r="M20" s="290"/>
      <c r="N20" s="289"/>
      <c r="O20" s="289"/>
      <c r="P20" s="289"/>
      <c r="Q20" s="289"/>
      <c r="R20" s="63"/>
      <c r="S20" s="289"/>
      <c r="T20" s="68"/>
      <c r="U20" s="64"/>
      <c r="V20" s="65"/>
      <c r="X20" s="58"/>
      <c r="Y20" s="2"/>
      <c r="Z20" s="2"/>
    </row>
    <row r="21" spans="1:26" ht="13.5" thickBot="1">
      <c r="A21" s="259" t="s">
        <v>674</v>
      </c>
      <c r="B21" s="256"/>
      <c r="C21" s="258"/>
      <c r="D21" s="246">
        <f>+D20+D19</f>
        <v>85492934.919999972</v>
      </c>
      <c r="E21" s="274"/>
      <c r="F21" s="273"/>
      <c r="G21" s="262"/>
      <c r="H21" s="284"/>
      <c r="I21" s="288"/>
      <c r="J21" s="71"/>
      <c r="K21" s="71"/>
      <c r="L21" s="71"/>
      <c r="M21" s="75"/>
      <c r="N21" s="289"/>
      <c r="O21" s="289"/>
      <c r="P21" s="63"/>
      <c r="Q21" s="63"/>
      <c r="R21" s="63"/>
      <c r="S21" s="63"/>
      <c r="T21" s="63"/>
      <c r="U21" s="64"/>
      <c r="V21" s="65"/>
      <c r="X21" s="58"/>
      <c r="Y21" s="2"/>
      <c r="Z21" s="2"/>
    </row>
    <row r="22" spans="1:26" ht="13.5" thickTop="1">
      <c r="A22" s="269"/>
      <c r="B22" s="256"/>
      <c r="C22" s="258"/>
      <c r="D22" s="262"/>
      <c r="E22" s="274"/>
      <c r="F22" s="273"/>
      <c r="G22" s="262"/>
      <c r="H22" s="284"/>
      <c r="I22" s="288"/>
      <c r="J22" s="71"/>
      <c r="K22" s="71"/>
      <c r="L22" s="71"/>
      <c r="M22" s="75"/>
      <c r="N22" s="289"/>
      <c r="O22" s="289"/>
      <c r="P22" s="63"/>
      <c r="Q22" s="63"/>
      <c r="R22" s="63"/>
      <c r="S22" s="63"/>
      <c r="T22" s="63"/>
      <c r="U22" s="64"/>
      <c r="V22" s="65"/>
      <c r="X22" s="58"/>
      <c r="Y22" s="2"/>
      <c r="Z22" s="2"/>
    </row>
    <row r="23" spans="1:26">
      <c r="A23" s="87"/>
      <c r="B23" s="71"/>
      <c r="C23" s="71"/>
      <c r="D23" s="40"/>
      <c r="E23" s="71"/>
      <c r="F23" s="71"/>
      <c r="G23" s="90"/>
      <c r="H23" s="96"/>
      <c r="I23" s="96"/>
      <c r="J23" s="96"/>
      <c r="K23" s="96"/>
      <c r="L23" s="96"/>
      <c r="M23" s="75"/>
      <c r="N23" s="75"/>
      <c r="O23" s="75"/>
      <c r="P23" s="63"/>
      <c r="Q23" s="63"/>
      <c r="R23" s="63"/>
      <c r="S23" s="63"/>
      <c r="T23" s="63"/>
      <c r="U23" s="64"/>
      <c r="V23" s="65"/>
      <c r="X23" s="58"/>
      <c r="Y23" s="2"/>
      <c r="Z23" s="2"/>
    </row>
    <row r="24" spans="1:26">
      <c r="A24" s="97"/>
      <c r="B24" s="71"/>
      <c r="C24" s="71"/>
      <c r="D24" s="40"/>
      <c r="E24" s="71"/>
      <c r="F24" s="71"/>
      <c r="G24" s="89"/>
      <c r="H24" s="96"/>
      <c r="I24" s="96"/>
      <c r="J24" s="96"/>
      <c r="K24" s="96"/>
      <c r="L24" s="96"/>
      <c r="M24" s="75"/>
      <c r="N24" s="75"/>
      <c r="O24" s="75"/>
      <c r="P24" s="63"/>
      <c r="Q24" s="63"/>
      <c r="R24" s="63"/>
      <c r="S24" s="63"/>
      <c r="T24" s="63"/>
      <c r="U24" s="64"/>
      <c r="V24" s="65"/>
      <c r="X24" s="58"/>
      <c r="Y24" s="2"/>
      <c r="Z24" s="2"/>
    </row>
    <row r="25" spans="1:26">
      <c r="A25" s="97" t="s">
        <v>145</v>
      </c>
      <c r="B25" s="71"/>
      <c r="C25" s="71"/>
      <c r="D25" s="40"/>
      <c r="E25" s="71"/>
      <c r="F25" s="71"/>
      <c r="G25" s="89"/>
      <c r="H25" s="96"/>
      <c r="I25" s="96"/>
      <c r="J25" s="96"/>
      <c r="K25" s="96"/>
      <c r="L25" s="96"/>
      <c r="M25" s="75"/>
      <c r="N25" s="75"/>
      <c r="O25" s="75"/>
      <c r="P25" s="63"/>
      <c r="Q25" s="63"/>
      <c r="R25" s="63"/>
      <c r="S25" s="63"/>
      <c r="T25" s="63"/>
      <c r="U25" s="136"/>
      <c r="V25" s="65"/>
      <c r="X25" s="58"/>
      <c r="Y25" s="2"/>
      <c r="Z25" s="2"/>
    </row>
    <row r="26" spans="1:26">
      <c r="A26" s="1399" t="s">
        <v>1049</v>
      </c>
      <c r="B26" s="1399"/>
      <c r="C26" s="1399"/>
      <c r="D26" s="1399"/>
      <c r="E26" s="1399"/>
      <c r="F26" s="1399"/>
      <c r="G26" s="1399"/>
      <c r="H26" s="96"/>
      <c r="I26" s="96"/>
      <c r="J26" s="96"/>
      <c r="K26" s="96"/>
      <c r="L26" s="96"/>
      <c r="M26" s="75"/>
      <c r="N26" s="75"/>
      <c r="O26" s="75"/>
      <c r="P26" s="63"/>
      <c r="Q26" s="63"/>
      <c r="R26" s="63"/>
      <c r="S26" s="63"/>
      <c r="T26" s="63"/>
      <c r="U26" s="136"/>
      <c r="V26" s="65"/>
      <c r="X26" s="58"/>
      <c r="Y26" s="2"/>
      <c r="Z26" s="2"/>
    </row>
    <row r="27" spans="1:26">
      <c r="A27" s="1399"/>
      <c r="B27" s="1399"/>
      <c r="C27" s="1399"/>
      <c r="D27" s="1399"/>
      <c r="E27" s="1399"/>
      <c r="F27" s="1399"/>
      <c r="G27" s="1399"/>
      <c r="H27" s="96"/>
      <c r="I27" s="96"/>
      <c r="J27" s="96"/>
      <c r="K27" s="96"/>
      <c r="L27" s="96"/>
      <c r="M27" s="75"/>
      <c r="N27" s="75"/>
      <c r="O27" s="75"/>
      <c r="P27" s="63"/>
      <c r="Q27" s="63"/>
      <c r="R27" s="63"/>
      <c r="S27" s="63"/>
      <c r="T27" s="63"/>
      <c r="U27" s="136"/>
      <c r="V27" s="65"/>
      <c r="X27" s="58"/>
      <c r="Y27" s="2"/>
      <c r="Z27" s="2"/>
    </row>
    <row r="28" spans="1:26">
      <c r="A28" s="1399"/>
      <c r="B28" s="1399"/>
      <c r="C28" s="1399"/>
      <c r="D28" s="1399"/>
      <c r="E28" s="1399"/>
      <c r="F28" s="1399"/>
      <c r="G28" s="1399"/>
      <c r="H28" s="291"/>
      <c r="I28" s="96"/>
      <c r="J28" s="96"/>
      <c r="K28" s="96"/>
      <c r="L28" s="96"/>
      <c r="M28" s="75"/>
      <c r="N28" s="75"/>
      <c r="O28" s="75"/>
      <c r="P28" s="63"/>
      <c r="Q28" s="63"/>
      <c r="R28" s="63"/>
      <c r="S28" s="63"/>
      <c r="T28" s="63"/>
      <c r="U28" s="136"/>
      <c r="V28" s="65"/>
      <c r="X28" s="58"/>
      <c r="Y28" s="2"/>
      <c r="Z28" s="2"/>
    </row>
    <row r="29" spans="1:26">
      <c r="A29" s="1399"/>
      <c r="B29" s="1399"/>
      <c r="C29" s="1399"/>
      <c r="D29" s="1399"/>
      <c r="E29" s="1399"/>
      <c r="F29" s="1399"/>
      <c r="G29" s="1399"/>
      <c r="H29" s="31"/>
      <c r="I29" s="31"/>
      <c r="J29" s="31"/>
      <c r="K29" s="31"/>
      <c r="L29" s="31"/>
      <c r="M29" s="61"/>
      <c r="N29" s="61"/>
      <c r="O29" s="61"/>
      <c r="P29" s="4"/>
      <c r="Q29" s="4"/>
      <c r="R29" s="4"/>
      <c r="S29" s="4"/>
      <c r="T29" s="4"/>
      <c r="U29" s="30"/>
      <c r="V29" s="42"/>
      <c r="X29" s="58"/>
    </row>
    <row r="30" spans="1:26">
      <c r="A30" s="1399"/>
      <c r="B30" s="1399"/>
      <c r="C30" s="1399"/>
      <c r="D30" s="1399"/>
      <c r="E30" s="1399"/>
      <c r="F30" s="1399"/>
      <c r="G30" s="1399"/>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49"/>
  <sheetViews>
    <sheetView workbookViewId="0">
      <selection activeCell="F16" sqref="F16"/>
    </sheetView>
  </sheetViews>
  <sheetFormatPr defaultColWidth="9.140625" defaultRowHeight="12.75"/>
  <cols>
    <col min="1" max="1" width="26.7109375" style="1" customWidth="1"/>
    <col min="2" max="2" width="9.85546875" style="1" bestFit="1" customWidth="1"/>
    <col min="3" max="3" width="4.7109375" style="1" bestFit="1" customWidth="1"/>
    <col min="4" max="4" width="11.42578125" style="1" bestFit="1" customWidth="1"/>
    <col min="5" max="5" width="8.140625" style="1" bestFit="1" customWidth="1"/>
    <col min="6" max="6" width="10.28515625" style="1" bestFit="1" customWidth="1"/>
    <col min="7" max="7" width="14.7109375" style="1" bestFit="1" customWidth="1"/>
    <col min="8" max="16384" width="9.140625" style="1"/>
  </cols>
  <sheetData>
    <row r="1" spans="1:9">
      <c r="A1" s="17" t="str">
        <f>RevReqSummary!A1</f>
        <v>PacifiCorp General Rate Case UE-140617</v>
      </c>
      <c r="B1" s="293"/>
      <c r="C1" s="293"/>
      <c r="D1" s="136"/>
      <c r="E1" s="293"/>
      <c r="F1" s="294"/>
      <c r="G1" s="295"/>
      <c r="H1" s="318"/>
    </row>
    <row r="2" spans="1:9">
      <c r="A2" s="17" t="str">
        <f>RevReqSummary!A2</f>
        <v>For The Twelve Months Ended December 2013 - Staff Revenue Requirement</v>
      </c>
      <c r="B2" s="293"/>
      <c r="C2" s="293"/>
      <c r="D2" s="136"/>
      <c r="E2" s="293"/>
      <c r="F2" s="293"/>
      <c r="G2" s="296"/>
      <c r="H2" s="31"/>
    </row>
    <row r="3" spans="1:9">
      <c r="A3" s="297" t="s">
        <v>454</v>
      </c>
      <c r="B3" s="293"/>
      <c r="C3" s="293"/>
      <c r="D3" s="136"/>
      <c r="E3" s="293"/>
      <c r="F3" s="293"/>
      <c r="G3" s="296"/>
      <c r="H3" s="31"/>
    </row>
    <row r="4" spans="1:9">
      <c r="A4" s="297" t="s">
        <v>489</v>
      </c>
      <c r="B4" s="293"/>
      <c r="C4" s="293"/>
      <c r="D4" s="136"/>
      <c r="E4" s="298"/>
      <c r="F4" s="298"/>
      <c r="G4" s="299"/>
      <c r="H4" s="319"/>
    </row>
    <row r="5" spans="1:9">
      <c r="A5" s="292"/>
      <c r="B5" s="293"/>
      <c r="C5" s="293"/>
      <c r="D5" s="136"/>
      <c r="E5" s="293"/>
      <c r="F5" s="293"/>
      <c r="G5" s="300"/>
      <c r="H5" s="31"/>
    </row>
    <row r="6" spans="1:9">
      <c r="A6" s="294"/>
      <c r="B6" s="294"/>
      <c r="C6" s="294"/>
      <c r="D6" s="59" t="s">
        <v>131</v>
      </c>
      <c r="E6" s="294"/>
      <c r="F6" s="294"/>
      <c r="G6" s="301" t="s">
        <v>236</v>
      </c>
      <c r="H6" s="294"/>
    </row>
    <row r="7" spans="1:9">
      <c r="A7" s="302"/>
      <c r="B7" s="303" t="s">
        <v>132</v>
      </c>
      <c r="C7" s="26" t="s">
        <v>660</v>
      </c>
      <c r="D7" s="237" t="s">
        <v>134</v>
      </c>
      <c r="E7" s="303" t="s">
        <v>135</v>
      </c>
      <c r="F7" s="303" t="s">
        <v>136</v>
      </c>
      <c r="G7" s="304" t="s">
        <v>137</v>
      </c>
      <c r="H7" s="303"/>
    </row>
    <row r="8" spans="1:9">
      <c r="A8" s="305" t="s">
        <v>238</v>
      </c>
      <c r="B8" s="70"/>
      <c r="C8" s="70"/>
      <c r="D8" s="70"/>
      <c r="E8" s="307"/>
      <c r="F8" s="307"/>
      <c r="G8" s="96"/>
      <c r="H8" s="320"/>
    </row>
    <row r="9" spans="1:9">
      <c r="A9" s="308" t="s">
        <v>455</v>
      </c>
      <c r="B9" s="309">
        <v>456</v>
      </c>
      <c r="C9" s="309" t="s">
        <v>398</v>
      </c>
      <c r="D9" s="265">
        <v>179016.79515125602</v>
      </c>
      <c r="E9" s="30" t="s">
        <v>203</v>
      </c>
      <c r="F9" s="33">
        <f>INDEX(WCAAllocations,IFERROR(MATCH(E9,WCAFactors,0),2),IFERROR(MATCH(E9,WCAStates,0),4))</f>
        <v>0.23084885646883446</v>
      </c>
      <c r="G9" s="31">
        <f>D9*F9</f>
        <v>41325.822449383042</v>
      </c>
      <c r="H9" s="321"/>
    </row>
    <row r="10" spans="1:9">
      <c r="A10" s="310"/>
      <c r="B10" s="311"/>
      <c r="C10" s="311"/>
      <c r="E10" s="262"/>
      <c r="F10" s="312"/>
      <c r="G10" s="242"/>
      <c r="H10" s="322"/>
    </row>
    <row r="11" spans="1:9">
      <c r="A11" s="310"/>
      <c r="B11" s="311"/>
      <c r="C11" s="311"/>
      <c r="D11" s="262"/>
      <c r="E11" s="70"/>
      <c r="F11" s="155"/>
      <c r="G11" s="31"/>
    </row>
    <row r="12" spans="1:9">
      <c r="D12" s="29"/>
      <c r="E12" s="29"/>
      <c r="F12" s="29"/>
      <c r="G12" s="29"/>
      <c r="H12" s="322"/>
    </row>
    <row r="13" spans="1:9">
      <c r="A13" s="313" t="s">
        <v>212</v>
      </c>
      <c r="B13" s="307"/>
      <c r="C13" s="307"/>
      <c r="D13" s="40"/>
      <c r="E13" s="307"/>
      <c r="F13" s="307"/>
      <c r="G13" s="315"/>
      <c r="H13" s="96"/>
      <c r="I13" s="29"/>
    </row>
    <row r="14" spans="1:9">
      <c r="A14" s="1400" t="s">
        <v>801</v>
      </c>
      <c r="B14" s="1400"/>
      <c r="C14" s="1400"/>
      <c r="D14" s="1400"/>
      <c r="E14" s="1400"/>
      <c r="F14" s="1400"/>
      <c r="G14" s="1400"/>
      <c r="H14" s="316"/>
      <c r="I14" s="29"/>
    </row>
    <row r="15" spans="1:9">
      <c r="A15" s="1400"/>
      <c r="B15" s="1400"/>
      <c r="C15" s="1400"/>
      <c r="D15" s="1400"/>
      <c r="E15" s="1400"/>
      <c r="F15" s="1400"/>
      <c r="G15" s="1400"/>
      <c r="H15" s="1315"/>
      <c r="I15" s="1315"/>
    </row>
    <row r="16" spans="1:9">
      <c r="A16" s="1400"/>
      <c r="B16" s="1400"/>
      <c r="C16" s="1400"/>
      <c r="D16" s="1400"/>
      <c r="E16" s="1400"/>
      <c r="F16" s="1400"/>
      <c r="G16" s="1400"/>
      <c r="H16" s="1315"/>
      <c r="I16" s="1315"/>
    </row>
    <row r="17" spans="1:9">
      <c r="A17" s="1400"/>
      <c r="B17" s="1400"/>
      <c r="C17" s="1400"/>
      <c r="D17" s="1400"/>
      <c r="E17" s="1400"/>
      <c r="F17" s="1400"/>
      <c r="G17" s="1400"/>
      <c r="H17" s="1315"/>
      <c r="I17" s="1315"/>
    </row>
    <row r="18" spans="1:9">
      <c r="A18" s="1400"/>
      <c r="B18" s="1400"/>
      <c r="C18" s="1400"/>
      <c r="D18" s="1400"/>
      <c r="E18" s="1400"/>
      <c r="F18" s="1400"/>
      <c r="G18" s="1400"/>
      <c r="H18" s="1315"/>
      <c r="I18" s="1315"/>
    </row>
    <row r="19" spans="1:9">
      <c r="A19" s="1400"/>
      <c r="B19" s="1400"/>
      <c r="C19" s="1400"/>
      <c r="D19" s="1400"/>
      <c r="E19" s="1400"/>
      <c r="F19" s="1400"/>
      <c r="G19" s="1400"/>
      <c r="H19" s="1315"/>
      <c r="I19" s="1315"/>
    </row>
    <row r="20" spans="1:9">
      <c r="A20" s="1315"/>
      <c r="B20" s="1315"/>
      <c r="C20" s="1315"/>
      <c r="D20" s="1315"/>
      <c r="E20" s="1315"/>
      <c r="F20" s="1315"/>
      <c r="G20" s="1315"/>
      <c r="H20" s="1315"/>
      <c r="I20" s="1315"/>
    </row>
    <row r="21" spans="1:9">
      <c r="A21" s="1315"/>
      <c r="B21" s="1315"/>
      <c r="C21" s="1315"/>
      <c r="D21" s="1315"/>
      <c r="E21" s="1315"/>
      <c r="F21" s="1315"/>
      <c r="G21" s="1315"/>
      <c r="H21" s="1315"/>
      <c r="I21" s="1315"/>
    </row>
    <row r="22" spans="1:9">
      <c r="A22" s="1315"/>
      <c r="B22" s="1315"/>
      <c r="C22" s="1315"/>
      <c r="D22" s="1315"/>
      <c r="E22" s="1315"/>
      <c r="F22" s="1315"/>
      <c r="G22" s="1315"/>
      <c r="H22" s="1315"/>
      <c r="I22" s="1315"/>
    </row>
    <row r="23" spans="1:9">
      <c r="A23" s="1315"/>
      <c r="B23" s="1315"/>
      <c r="C23" s="1315"/>
      <c r="D23" s="1315"/>
      <c r="E23" s="1315"/>
      <c r="F23" s="1315"/>
      <c r="G23" s="1315"/>
      <c r="H23" s="1315"/>
      <c r="I23" s="1315"/>
    </row>
    <row r="24" spans="1:9">
      <c r="A24" s="323"/>
      <c r="B24" s="29"/>
      <c r="C24" s="29"/>
      <c r="D24" s="29"/>
      <c r="E24" s="29"/>
      <c r="F24" s="29"/>
      <c r="G24" s="29"/>
      <c r="H24" s="29"/>
      <c r="I24" s="29"/>
    </row>
    <row r="25" spans="1:9">
      <c r="A25" s="324"/>
      <c r="B25" s="325"/>
      <c r="C25" s="325"/>
      <c r="D25" s="68"/>
      <c r="E25" s="326"/>
      <c r="F25" s="327"/>
      <c r="G25" s="68"/>
      <c r="H25" s="325"/>
      <c r="I25" s="29"/>
    </row>
    <row r="26" spans="1:9">
      <c r="A26" s="317"/>
      <c r="B26" s="317"/>
      <c r="C26" s="317"/>
      <c r="D26" s="317"/>
      <c r="E26" s="317"/>
      <c r="F26" s="317"/>
      <c r="G26" s="317"/>
      <c r="H26" s="325"/>
    </row>
    <row r="27" spans="1:9">
      <c r="A27" s="317"/>
      <c r="B27" s="317"/>
      <c r="C27" s="317"/>
      <c r="D27" s="317"/>
      <c r="E27" s="317"/>
      <c r="F27" s="317"/>
      <c r="G27" s="317"/>
      <c r="H27" s="307"/>
    </row>
    <row r="28" spans="1:9">
      <c r="A28" s="317"/>
      <c r="B28" s="317"/>
      <c r="C28" s="317"/>
      <c r="D28" s="317"/>
      <c r="E28" s="317"/>
      <c r="F28" s="317"/>
      <c r="G28" s="317"/>
      <c r="H28" s="307"/>
    </row>
    <row r="29" spans="1:9">
      <c r="A29" s="314"/>
      <c r="B29" s="317"/>
      <c r="C29" s="317"/>
      <c r="D29" s="317"/>
      <c r="E29" s="317"/>
      <c r="F29" s="317"/>
      <c r="G29" s="317"/>
      <c r="H29" s="307"/>
    </row>
    <row r="30" spans="1:9">
      <c r="A30" s="314"/>
      <c r="B30" s="307"/>
      <c r="C30" s="307"/>
      <c r="D30" s="40"/>
      <c r="E30" s="328"/>
      <c r="F30" s="329"/>
      <c r="G30" s="96"/>
      <c r="H30" s="307"/>
    </row>
    <row r="31" spans="1:9">
      <c r="A31" s="314"/>
      <c r="B31" s="307"/>
      <c r="C31" s="307"/>
      <c r="D31" s="40"/>
      <c r="E31" s="328"/>
      <c r="F31" s="330"/>
      <c r="G31" s="96"/>
      <c r="H31" s="307"/>
    </row>
    <row r="32" spans="1:9">
      <c r="A32" s="314"/>
      <c r="B32" s="307"/>
      <c r="C32" s="307"/>
      <c r="D32" s="40"/>
      <c r="E32" s="328"/>
      <c r="F32" s="330"/>
      <c r="G32" s="96"/>
      <c r="H32" s="307"/>
    </row>
    <row r="33" spans="1:8">
      <c r="A33" s="331"/>
      <c r="B33" s="307"/>
      <c r="C33" s="307"/>
      <c r="D33" s="40"/>
      <c r="E33" s="328"/>
      <c r="F33" s="330"/>
      <c r="G33" s="96"/>
      <c r="H33" s="96"/>
    </row>
    <row r="34" spans="1:8">
      <c r="A34" s="331"/>
      <c r="B34" s="320"/>
      <c r="C34" s="320"/>
      <c r="D34" s="40"/>
      <c r="E34" s="328"/>
      <c r="F34" s="330"/>
      <c r="G34" s="96"/>
      <c r="H34" s="307"/>
    </row>
    <row r="35" spans="1:8">
      <c r="A35" s="331"/>
      <c r="B35" s="307"/>
      <c r="C35" s="307"/>
      <c r="D35" s="40"/>
      <c r="E35" s="369"/>
      <c r="F35" s="330"/>
      <c r="G35" s="96"/>
      <c r="H35" s="307"/>
    </row>
    <row r="36" spans="1:8">
      <c r="A36" s="332"/>
      <c r="B36" s="307"/>
      <c r="C36" s="307"/>
      <c r="D36" s="40"/>
      <c r="E36" s="328"/>
      <c r="F36" s="330"/>
      <c r="G36" s="96"/>
      <c r="H36" s="307"/>
    </row>
    <row r="37" spans="1:8">
      <c r="A37" s="332"/>
      <c r="B37" s="307"/>
      <c r="C37" s="307"/>
      <c r="D37" s="40"/>
      <c r="E37" s="307"/>
      <c r="F37" s="333"/>
      <c r="G37" s="315"/>
      <c r="H37" s="334"/>
    </row>
    <row r="38" spans="1:8">
      <c r="A38" s="314"/>
      <c r="B38" s="307"/>
      <c r="C38" s="307"/>
      <c r="D38" s="40"/>
      <c r="E38" s="307"/>
      <c r="F38" s="333"/>
      <c r="G38" s="315"/>
      <c r="H38" s="307"/>
    </row>
    <row r="39" spans="1:8">
      <c r="A39" s="332"/>
      <c r="B39" s="307"/>
      <c r="C39" s="307"/>
      <c r="D39" s="40"/>
      <c r="E39" s="307"/>
      <c r="F39" s="333"/>
      <c r="G39" s="315"/>
      <c r="H39" s="320"/>
    </row>
    <row r="40" spans="1:8">
      <c r="A40" s="332"/>
      <c r="B40" s="307"/>
      <c r="C40" s="307"/>
      <c r="D40" s="40"/>
      <c r="E40" s="335"/>
      <c r="F40" s="307"/>
      <c r="G40" s="315"/>
      <c r="H40" s="320"/>
    </row>
    <row r="41" spans="1:8">
      <c r="A41" s="332"/>
      <c r="B41" s="307"/>
      <c r="C41" s="307"/>
      <c r="D41" s="40"/>
      <c r="E41" s="335"/>
      <c r="F41" s="328"/>
      <c r="G41" s="315"/>
      <c r="H41" s="320"/>
    </row>
    <row r="42" spans="1:8">
      <c r="A42" s="332"/>
      <c r="B42" s="307"/>
      <c r="C42" s="307"/>
      <c r="D42" s="40"/>
      <c r="E42" s="336"/>
      <c r="F42" s="307"/>
      <c r="G42" s="40"/>
      <c r="H42" s="320"/>
    </row>
    <row r="43" spans="1:8">
      <c r="A43" s="332"/>
      <c r="B43" s="307"/>
      <c r="C43" s="307"/>
      <c r="D43" s="40"/>
      <c r="E43" s="337"/>
      <c r="F43" s="320"/>
      <c r="G43" s="338"/>
      <c r="H43" s="320"/>
    </row>
    <row r="44" spans="1:8">
      <c r="A44" s="332"/>
      <c r="B44" s="307"/>
      <c r="C44" s="307"/>
      <c r="D44" s="40"/>
      <c r="E44" s="307"/>
      <c r="F44" s="307"/>
      <c r="G44" s="40"/>
      <c r="H44" s="320"/>
    </row>
    <row r="45" spans="1:8">
      <c r="A45" s="313"/>
      <c r="B45" s="307"/>
      <c r="C45" s="307"/>
      <c r="D45" s="40"/>
      <c r="E45" s="336"/>
      <c r="F45" s="307"/>
      <c r="G45" s="315"/>
      <c r="H45" s="320"/>
    </row>
    <row r="46" spans="1:8">
      <c r="A46" s="332"/>
      <c r="B46" s="307"/>
      <c r="C46" s="307"/>
      <c r="D46" s="40"/>
      <c r="E46" s="336"/>
      <c r="F46" s="328"/>
      <c r="G46" s="315"/>
      <c r="H46" s="96"/>
    </row>
    <row r="47" spans="1:8">
      <c r="A47" s="314"/>
      <c r="B47" s="307"/>
      <c r="C47" s="307"/>
      <c r="D47" s="40"/>
      <c r="E47" s="307"/>
      <c r="F47" s="307"/>
      <c r="G47" s="315"/>
      <c r="H47" s="96"/>
    </row>
    <row r="48" spans="1:8">
      <c r="A48" s="314"/>
      <c r="B48" s="307"/>
      <c r="C48" s="307"/>
      <c r="D48" s="40"/>
      <c r="E48" s="307"/>
      <c r="F48" s="307"/>
      <c r="G48" s="315"/>
      <c r="H48" s="96"/>
    </row>
    <row r="49" spans="2:8">
      <c r="B49" s="307"/>
      <c r="C49" s="307"/>
      <c r="D49" s="40"/>
      <c r="E49" s="307"/>
      <c r="F49" s="307"/>
      <c r="G49" s="315"/>
      <c r="H49" s="96"/>
    </row>
  </sheetData>
  <mergeCells count="1">
    <mergeCell ref="A14:G19"/>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G32"/>
  <sheetViews>
    <sheetView workbookViewId="0">
      <selection activeCell="F16" sqref="F16"/>
    </sheetView>
  </sheetViews>
  <sheetFormatPr defaultColWidth="8.85546875" defaultRowHeight="12.75"/>
  <cols>
    <col min="1" max="1" width="29.140625" style="1" customWidth="1"/>
    <col min="2" max="2" width="9.7109375" style="23" bestFit="1" customWidth="1"/>
    <col min="3" max="3" width="4.7109375" style="23" bestFit="1" customWidth="1"/>
    <col min="4" max="4" width="10.140625" style="23" bestFit="1" customWidth="1"/>
    <col min="5" max="5" width="8" style="23" bestFit="1" customWidth="1"/>
    <col min="6" max="6" width="10" style="23" bestFit="1" customWidth="1"/>
    <col min="7" max="7" width="11.7109375" style="23" bestFit="1" customWidth="1"/>
    <col min="8" max="16384" width="8.85546875" style="1"/>
  </cols>
  <sheetData>
    <row r="1" spans="1:7">
      <c r="A1" s="17" t="str">
        <f>RevReqSummary!A1</f>
        <v>PacifiCorp General Rate Case UE-140617</v>
      </c>
    </row>
    <row r="2" spans="1:7">
      <c r="A2" s="17" t="str">
        <f>RevReqSummary!A2</f>
        <v>For The Twelve Months Ended December 2013 - Staff Revenue Requirement</v>
      </c>
    </row>
    <row r="3" spans="1:7">
      <c r="A3" s="25" t="s">
        <v>522</v>
      </c>
    </row>
    <row r="4" spans="1:7">
      <c r="A4" s="25" t="s">
        <v>653</v>
      </c>
    </row>
    <row r="7" spans="1:7">
      <c r="D7" s="23" t="s">
        <v>131</v>
      </c>
      <c r="E7" s="23" t="s">
        <v>523</v>
      </c>
      <c r="G7" s="23" t="s">
        <v>196</v>
      </c>
    </row>
    <row r="8" spans="1:7">
      <c r="B8" s="26" t="s">
        <v>132</v>
      </c>
      <c r="C8" s="26" t="s">
        <v>660</v>
      </c>
      <c r="D8" s="26" t="s">
        <v>134</v>
      </c>
      <c r="E8" s="26" t="s">
        <v>135</v>
      </c>
      <c r="F8" s="26" t="s">
        <v>136</v>
      </c>
      <c r="G8" s="26" t="s">
        <v>137</v>
      </c>
    </row>
    <row r="9" spans="1:7">
      <c r="A9" s="25" t="s">
        <v>197</v>
      </c>
    </row>
    <row r="10" spans="1:7">
      <c r="A10" s="1" t="s">
        <v>198</v>
      </c>
      <c r="B10" s="23">
        <v>456</v>
      </c>
      <c r="C10" s="23" t="s">
        <v>398</v>
      </c>
      <c r="D10" s="59">
        <v>84746.666666666672</v>
      </c>
      <c r="E10" s="30" t="s">
        <v>141</v>
      </c>
      <c r="F10" s="33">
        <f>INDEX(WCAAllocations,IFERROR(MATCH(E10,WCAFactors,0),2),IFERROR(MATCH(E10,WCAStates,0),4))</f>
        <v>1</v>
      </c>
      <c r="G10" s="1064">
        <v>0</v>
      </c>
    </row>
    <row r="14" spans="1:7">
      <c r="A14" s="25" t="s">
        <v>145</v>
      </c>
    </row>
    <row r="15" spans="1:7" s="29" customFormat="1" ht="14.45" customHeight="1">
      <c r="A15" s="1401" t="s">
        <v>1051</v>
      </c>
      <c r="B15" s="1401"/>
      <c r="C15" s="1401"/>
      <c r="D15" s="1401"/>
      <c r="E15" s="1401"/>
      <c r="F15" s="1401"/>
      <c r="G15" s="1401"/>
    </row>
    <row r="16" spans="1:7" s="29" customFormat="1">
      <c r="A16" s="1401"/>
      <c r="B16" s="1401"/>
      <c r="C16" s="1401"/>
      <c r="D16" s="1401"/>
      <c r="E16" s="1401"/>
      <c r="F16" s="1401"/>
      <c r="G16" s="1401"/>
    </row>
    <row r="17" spans="1:7" s="29" customFormat="1">
      <c r="A17" s="1401"/>
      <c r="B17" s="1401"/>
      <c r="C17" s="1401"/>
      <c r="D17" s="1401"/>
      <c r="E17" s="1401"/>
      <c r="F17" s="1401"/>
      <c r="G17" s="1401"/>
    </row>
    <row r="18" spans="1:7" s="29" customFormat="1">
      <c r="A18" s="1401"/>
      <c r="B18" s="1401"/>
      <c r="C18" s="1401"/>
      <c r="D18" s="1401"/>
      <c r="E18" s="1401"/>
      <c r="F18" s="1401"/>
      <c r="G18" s="1401"/>
    </row>
    <row r="19" spans="1:7" s="29" customFormat="1">
      <c r="A19" s="1402" t="s">
        <v>1052</v>
      </c>
      <c r="B19" s="1402"/>
      <c r="C19" s="1402"/>
      <c r="D19" s="1402"/>
      <c r="E19" s="1402"/>
      <c r="F19" s="1402"/>
      <c r="G19" s="1402"/>
    </row>
    <row r="20" spans="1:7" s="29" customFormat="1" ht="14.45" customHeight="1">
      <c r="A20" s="1402"/>
      <c r="B20" s="1402"/>
      <c r="C20" s="1402"/>
      <c r="D20" s="1402"/>
      <c r="E20" s="1402"/>
      <c r="F20" s="1402"/>
      <c r="G20" s="1402"/>
    </row>
    <row r="21" spans="1:7" s="29" customFormat="1">
      <c r="A21" s="1402"/>
      <c r="B21" s="1402"/>
      <c r="C21" s="1402"/>
      <c r="D21" s="1402"/>
      <c r="E21" s="1402"/>
      <c r="F21" s="1402"/>
      <c r="G21" s="1402"/>
    </row>
    <row r="22" spans="1:7" s="29" customFormat="1">
      <c r="A22" s="1402"/>
      <c r="B22" s="1402"/>
      <c r="C22" s="1402"/>
      <c r="D22" s="1402"/>
      <c r="E22" s="1402"/>
      <c r="F22" s="1402"/>
      <c r="G22" s="1402"/>
    </row>
    <row r="23" spans="1:7" s="29" customFormat="1">
      <c r="A23" s="1402"/>
      <c r="B23" s="1402"/>
      <c r="C23" s="1402"/>
      <c r="D23" s="1402"/>
      <c r="E23" s="1402"/>
      <c r="F23" s="1402"/>
      <c r="G23" s="1402"/>
    </row>
    <row r="24" spans="1:7" s="29" customFormat="1">
      <c r="A24" s="1402"/>
      <c r="B24" s="1402"/>
      <c r="C24" s="1402"/>
      <c r="D24" s="1402"/>
      <c r="E24" s="1402"/>
      <c r="F24" s="1402"/>
      <c r="G24" s="1402"/>
    </row>
    <row r="25" spans="1:7" s="29" customFormat="1">
      <c r="A25" s="1402"/>
      <c r="B25" s="1402"/>
      <c r="C25" s="1402"/>
      <c r="D25" s="1402"/>
      <c r="E25" s="1402"/>
      <c r="F25" s="1402"/>
      <c r="G25" s="1402"/>
    </row>
    <row r="26" spans="1:7" s="29" customFormat="1">
      <c r="B26" s="30"/>
      <c r="C26" s="30"/>
      <c r="D26" s="30"/>
      <c r="E26" s="30"/>
      <c r="F26" s="30"/>
      <c r="G26" s="30"/>
    </row>
    <row r="32" spans="1:7">
      <c r="F32" s="365"/>
    </row>
  </sheetData>
  <mergeCells count="2">
    <mergeCell ref="A15:G18"/>
    <mergeCell ref="A19:G25"/>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A36"/>
  <sheetViews>
    <sheetView workbookViewId="0">
      <selection activeCell="F16" sqref="F16"/>
    </sheetView>
  </sheetViews>
  <sheetFormatPr defaultColWidth="8.85546875" defaultRowHeight="12.75"/>
  <cols>
    <col min="1" max="1" width="31.5703125" style="1" customWidth="1"/>
    <col min="2" max="3" width="8.85546875" style="1"/>
    <col min="4" max="4" width="9.5703125" style="1" bestFit="1" customWidth="1"/>
    <col min="5" max="5" width="8.85546875" style="1"/>
    <col min="6" max="6" width="10.42578125" style="1" bestFit="1" customWidth="1"/>
    <col min="7" max="7" width="13.28515625" style="1" bestFit="1" customWidth="1"/>
    <col min="8" max="16384" width="8.85546875" style="1"/>
  </cols>
  <sheetData>
    <row r="1" spans="1:27">
      <c r="A1" s="17" t="str">
        <f>RevReqSummary!A1</f>
        <v>PacifiCorp General Rate Case UE-140617</v>
      </c>
      <c r="B1" s="169"/>
      <c r="C1" s="169"/>
      <c r="D1" s="197"/>
    </row>
    <row r="2" spans="1:27">
      <c r="A2" s="17" t="str">
        <f>RevReqSummary!A2</f>
        <v>For The Twelve Months Ended December 2013 - Staff Revenue Requirement</v>
      </c>
      <c r="B2" s="169"/>
      <c r="C2" s="169"/>
      <c r="D2" s="169"/>
    </row>
    <row r="3" spans="1:27">
      <c r="A3" s="17" t="s">
        <v>1094</v>
      </c>
      <c r="B3" s="169"/>
      <c r="C3" s="169"/>
      <c r="D3" s="169"/>
    </row>
    <row r="4" spans="1:27">
      <c r="A4" s="25" t="s">
        <v>675</v>
      </c>
      <c r="B4" s="169"/>
      <c r="C4" s="169"/>
      <c r="D4" s="169"/>
    </row>
    <row r="5" spans="1:27">
      <c r="A5" s="169"/>
      <c r="B5" s="169"/>
      <c r="C5" s="169"/>
      <c r="D5" s="169"/>
    </row>
    <row r="7" spans="1:27">
      <c r="B7" s="23"/>
      <c r="C7" s="23"/>
      <c r="D7" s="23" t="s">
        <v>131</v>
      </c>
      <c r="E7" s="23"/>
      <c r="F7" s="23"/>
      <c r="G7" s="23" t="s">
        <v>236</v>
      </c>
    </row>
    <row r="8" spans="1:27">
      <c r="B8" s="26" t="s">
        <v>132</v>
      </c>
      <c r="C8" s="26" t="s">
        <v>660</v>
      </c>
      <c r="D8" s="26" t="s">
        <v>134</v>
      </c>
      <c r="E8" s="26" t="s">
        <v>135</v>
      </c>
      <c r="F8" s="26" t="s">
        <v>136</v>
      </c>
      <c r="G8" s="26" t="s">
        <v>137</v>
      </c>
    </row>
    <row r="9" spans="1:27">
      <c r="A9" s="25" t="s">
        <v>238</v>
      </c>
      <c r="B9" s="30"/>
      <c r="C9" s="30"/>
      <c r="D9" s="30"/>
      <c r="E9" s="30"/>
      <c r="F9" s="30"/>
      <c r="G9" s="339"/>
    </row>
    <row r="10" spans="1:27">
      <c r="A10" s="1" t="s">
        <v>676</v>
      </c>
      <c r="B10" s="23">
        <v>456</v>
      </c>
      <c r="C10" s="23" t="s">
        <v>140</v>
      </c>
      <c r="D10" s="340">
        <v>-144582.63</v>
      </c>
      <c r="E10" s="30" t="s">
        <v>146</v>
      </c>
      <c r="F10" s="33">
        <f>INDEX(WCAAllocations,IFERROR(MATCH(E10,WCAFactors,0),2),IFERROR(MATCH(E10,WCAStates,0),4))</f>
        <v>7.9057273540331513E-2</v>
      </c>
      <c r="G10" s="341">
        <f>D10*F10</f>
        <v>-11430.308529090542</v>
      </c>
    </row>
    <row r="11" spans="1:27">
      <c r="A11" s="1" t="s">
        <v>677</v>
      </c>
      <c r="B11" s="23">
        <v>456</v>
      </c>
      <c r="C11" s="23" t="s">
        <v>398</v>
      </c>
      <c r="D11" s="340">
        <v>161659.41</v>
      </c>
      <c r="E11" s="30" t="s">
        <v>203</v>
      </c>
      <c r="F11" s="33">
        <f>INDEX(WCAAllocations,IFERROR(MATCH(E11,WCAFactors,0),2),IFERROR(MATCH(E11,WCAStates,0),4))</f>
        <v>0.23084885646883446</v>
      </c>
      <c r="G11" s="341">
        <f>D11*F11</f>
        <v>37318.889935926461</v>
      </c>
    </row>
    <row r="12" spans="1:27">
      <c r="A12" s="29"/>
      <c r="B12" s="30"/>
      <c r="C12" s="30"/>
      <c r="D12" s="342"/>
      <c r="E12" s="30"/>
      <c r="F12" s="48"/>
      <c r="G12" s="343"/>
    </row>
    <row r="13" spans="1:27" ht="13.5" thickBot="1">
      <c r="A13" s="259" t="s">
        <v>802</v>
      </c>
      <c r="B13" s="258"/>
      <c r="C13" s="258"/>
      <c r="D13" s="246">
        <f>SUM(D10:D12)</f>
        <v>17076.78</v>
      </c>
      <c r="E13" s="70"/>
      <c r="F13" s="260"/>
      <c r="G13" s="246">
        <f>SUM(G10:G12)</f>
        <v>25888.581406835918</v>
      </c>
      <c r="H13" s="284"/>
      <c r="I13" s="283"/>
      <c r="J13" s="262"/>
      <c r="K13" s="285"/>
      <c r="L13" s="286"/>
      <c r="M13" s="5"/>
      <c r="N13" s="5"/>
      <c r="O13" s="5"/>
      <c r="P13" s="5"/>
      <c r="Q13" s="5"/>
      <c r="R13" s="5"/>
      <c r="S13" s="5"/>
      <c r="T13" s="287"/>
      <c r="U13" s="64"/>
      <c r="V13" s="65"/>
      <c r="X13" s="58"/>
      <c r="Y13" s="2"/>
      <c r="Z13" s="2"/>
      <c r="AA13" s="4"/>
    </row>
    <row r="14" spans="1:27" ht="13.5" thickTop="1">
      <c r="A14" s="259"/>
      <c r="B14" s="258"/>
      <c r="C14" s="258"/>
      <c r="D14" s="242"/>
      <c r="E14" s="70"/>
      <c r="F14" s="260"/>
      <c r="G14" s="242"/>
      <c r="H14" s="284"/>
      <c r="I14" s="283"/>
      <c r="J14" s="262"/>
      <c r="K14" s="285"/>
      <c r="L14" s="286"/>
      <c r="M14" s="5"/>
      <c r="N14" s="5"/>
      <c r="O14" s="5"/>
      <c r="P14" s="5"/>
      <c r="Q14" s="5"/>
      <c r="R14" s="5"/>
      <c r="S14" s="5"/>
      <c r="T14" s="287"/>
      <c r="U14" s="64"/>
      <c r="V14" s="65"/>
      <c r="X14" s="58"/>
      <c r="Y14" s="2"/>
      <c r="Z14" s="2"/>
      <c r="AA14" s="4"/>
    </row>
    <row r="16" spans="1:27" ht="13.15" customHeight="1">
      <c r="A16" s="25" t="s">
        <v>145</v>
      </c>
      <c r="B16" s="1316"/>
      <c r="C16" s="1316"/>
      <c r="D16" s="1316"/>
      <c r="E16" s="1316"/>
      <c r="F16" s="1316"/>
      <c r="G16" s="1316"/>
      <c r="H16" s="1316"/>
      <c r="I16" s="1316"/>
    </row>
    <row r="17" spans="1:9">
      <c r="A17" s="1395" t="s">
        <v>678</v>
      </c>
      <c r="B17" s="1395"/>
      <c r="C17" s="1395"/>
      <c r="D17" s="1395"/>
      <c r="E17" s="1395"/>
      <c r="F17" s="1395"/>
      <c r="G17" s="1395"/>
      <c r="H17" s="1316"/>
      <c r="I17" s="1316"/>
    </row>
    <row r="18" spans="1:9">
      <c r="A18" s="1395"/>
      <c r="B18" s="1395"/>
      <c r="C18" s="1395"/>
      <c r="D18" s="1395"/>
      <c r="E18" s="1395"/>
      <c r="F18" s="1395"/>
      <c r="G18" s="1395"/>
      <c r="H18" s="1316"/>
      <c r="I18" s="1316"/>
    </row>
    <row r="19" spans="1:9">
      <c r="A19" s="1395"/>
      <c r="B19" s="1395"/>
      <c r="C19" s="1395"/>
      <c r="D19" s="1395"/>
      <c r="E19" s="1395"/>
      <c r="F19" s="1395"/>
      <c r="G19" s="1395"/>
      <c r="H19" s="1316"/>
      <c r="I19" s="1316"/>
    </row>
    <row r="20" spans="1:9">
      <c r="A20" s="1395"/>
      <c r="B20" s="1395"/>
      <c r="C20" s="1395"/>
      <c r="D20" s="1395"/>
      <c r="E20" s="1395"/>
      <c r="F20" s="1395"/>
      <c r="G20" s="1395"/>
      <c r="H20" s="1316"/>
      <c r="I20" s="1316"/>
    </row>
    <row r="21" spans="1:9">
      <c r="A21" s="1395"/>
      <c r="B21" s="1395"/>
      <c r="C21" s="1395"/>
      <c r="D21" s="1395"/>
      <c r="E21" s="1395"/>
      <c r="F21" s="1395"/>
      <c r="G21" s="1395"/>
      <c r="H21" s="1316"/>
      <c r="I21" s="1316"/>
    </row>
    <row r="22" spans="1:9">
      <c r="A22" s="1395"/>
      <c r="B22" s="1395"/>
      <c r="C22" s="1395"/>
      <c r="D22" s="1395"/>
      <c r="E22" s="1395"/>
      <c r="F22" s="1395"/>
      <c r="G22" s="1395"/>
      <c r="H22" s="1316"/>
      <c r="I22" s="1316"/>
    </row>
    <row r="23" spans="1:9">
      <c r="A23" s="1395"/>
      <c r="B23" s="1395"/>
      <c r="C23" s="1395"/>
      <c r="D23" s="1395"/>
      <c r="E23" s="1395"/>
      <c r="F23" s="1395"/>
      <c r="G23" s="1395"/>
      <c r="H23" s="1316"/>
      <c r="I23" s="1316"/>
    </row>
    <row r="24" spans="1:9">
      <c r="A24" s="1316"/>
      <c r="B24" s="1316"/>
      <c r="C24" s="1316"/>
      <c r="D24" s="1316"/>
      <c r="E24" s="1316"/>
      <c r="F24" s="1316"/>
      <c r="G24" s="1316"/>
      <c r="H24" s="1316"/>
      <c r="I24" s="1316"/>
    </row>
    <row r="36" spans="6:6">
      <c r="F36" s="122"/>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87"/>
  <sheetViews>
    <sheetView workbookViewId="0">
      <selection activeCell="F16" sqref="F16"/>
    </sheetView>
  </sheetViews>
  <sheetFormatPr defaultColWidth="10" defaultRowHeight="12.75"/>
  <cols>
    <col min="1" max="1" width="31.28515625" style="1" customWidth="1"/>
    <col min="2" max="2" width="9.7109375" style="1" bestFit="1" customWidth="1"/>
    <col min="3" max="3" width="12" style="1" customWidth="1"/>
    <col min="4" max="4" width="11.42578125" style="1" bestFit="1" customWidth="1"/>
    <col min="5" max="5" width="8" style="1" bestFit="1" customWidth="1"/>
    <col min="6" max="6" width="10.42578125" style="230" customWidth="1"/>
    <col min="7" max="7" width="14.7109375" style="231" bestFit="1" customWidth="1"/>
    <col min="8" max="16384" width="10" style="1"/>
  </cols>
  <sheetData>
    <row r="1" spans="1:7">
      <c r="A1" s="17" t="str">
        <f>RevReqSummary!A1</f>
        <v>PacifiCorp General Rate Case UE-140617</v>
      </c>
      <c r="B1" s="23"/>
      <c r="C1" s="23"/>
      <c r="D1" s="147"/>
      <c r="E1" s="23"/>
      <c r="F1" s="65"/>
      <c r="G1" s="146"/>
    </row>
    <row r="2" spans="1:7">
      <c r="A2" s="17" t="str">
        <f>RevReqSummary!A2</f>
        <v>For The Twelve Months Ended December 2013 - Staff Revenue Requirement</v>
      </c>
      <c r="B2" s="23"/>
      <c r="C2" s="23"/>
      <c r="D2" s="147"/>
      <c r="E2" s="23"/>
      <c r="F2" s="65"/>
      <c r="G2" s="146"/>
    </row>
    <row r="3" spans="1:7">
      <c r="A3" s="25" t="s">
        <v>321</v>
      </c>
      <c r="B3" s="23"/>
      <c r="C3" s="23"/>
      <c r="D3" s="147"/>
      <c r="E3" s="23"/>
      <c r="F3" s="65"/>
      <c r="G3" s="146"/>
    </row>
    <row r="4" spans="1:7">
      <c r="A4" s="25" t="s">
        <v>478</v>
      </c>
      <c r="B4" s="23"/>
      <c r="C4" s="23"/>
      <c r="D4" s="147"/>
      <c r="E4" s="23"/>
      <c r="F4" s="65"/>
      <c r="G4" s="146"/>
    </row>
    <row r="5" spans="1:7">
      <c r="B5" s="23"/>
      <c r="C5" s="23"/>
      <c r="D5" s="147"/>
      <c r="E5" s="23"/>
      <c r="F5" s="65"/>
      <c r="G5" s="146"/>
    </row>
    <row r="6" spans="1:7">
      <c r="B6" s="23"/>
      <c r="C6" s="23"/>
      <c r="D6" s="147" t="s">
        <v>131</v>
      </c>
      <c r="E6" s="23"/>
      <c r="F6" s="65"/>
      <c r="G6" s="146" t="s">
        <v>236</v>
      </c>
    </row>
    <row r="7" spans="1:7">
      <c r="A7" s="186" t="s">
        <v>238</v>
      </c>
      <c r="B7" s="188" t="s">
        <v>132</v>
      </c>
      <c r="C7" s="26" t="s">
        <v>660</v>
      </c>
      <c r="D7" s="189" t="s">
        <v>134</v>
      </c>
      <c r="E7" s="188" t="s">
        <v>135</v>
      </c>
      <c r="F7" s="190" t="s">
        <v>136</v>
      </c>
      <c r="G7" s="191" t="s">
        <v>137</v>
      </c>
    </row>
    <row r="8" spans="1:7">
      <c r="A8" s="192" t="s">
        <v>524</v>
      </c>
      <c r="B8" s="193">
        <v>421</v>
      </c>
      <c r="C8" s="193" t="s">
        <v>140</v>
      </c>
      <c r="D8" s="194">
        <v>-278673.27</v>
      </c>
      <c r="E8" s="30" t="s">
        <v>214</v>
      </c>
      <c r="F8" s="33">
        <f>INDEX(WCAAllocations,IFERROR(MATCH(E8,WCAFactors,0),2),IFERROR(MATCH(E8,WCAStates,0),4))</f>
        <v>0</v>
      </c>
      <c r="G8" s="195">
        <f>D8*F8</f>
        <v>0</v>
      </c>
    </row>
    <row r="9" spans="1:7">
      <c r="A9" s="192" t="s">
        <v>524</v>
      </c>
      <c r="B9" s="193">
        <v>421</v>
      </c>
      <c r="C9" s="193" t="s">
        <v>140</v>
      </c>
      <c r="D9" s="194">
        <v>286365.96000000002</v>
      </c>
      <c r="E9" s="30" t="s">
        <v>130</v>
      </c>
      <c r="F9" s="33">
        <f>INDEX(WCAAllocations,IFERROR(MATCH(E9,WCAFactors,0),2),IFERROR(MATCH(E9,WCAStates,0),4))</f>
        <v>6.8539355270203509E-2</v>
      </c>
      <c r="G9" s="195">
        <f>D9*F9</f>
        <v>19627.338269732889</v>
      </c>
    </row>
    <row r="10" spans="1:7">
      <c r="A10" s="192" t="s">
        <v>524</v>
      </c>
      <c r="B10" s="193">
        <v>421</v>
      </c>
      <c r="C10" s="193" t="s">
        <v>140</v>
      </c>
      <c r="D10" s="32">
        <v>16760.28</v>
      </c>
      <c r="E10" s="30" t="s">
        <v>172</v>
      </c>
      <c r="F10" s="33">
        <f>INDEX(WCAAllocations,IFERROR(MATCH(E10,WCAFactors,0),2),IFERROR(MATCH(E10,WCAStates,0),4))</f>
        <v>0</v>
      </c>
      <c r="G10" s="195">
        <f>D10*F10</f>
        <v>0</v>
      </c>
    </row>
    <row r="11" spans="1:7">
      <c r="A11" s="192" t="s">
        <v>524</v>
      </c>
      <c r="B11" s="193">
        <v>421</v>
      </c>
      <c r="C11" s="193" t="s">
        <v>140</v>
      </c>
      <c r="D11" s="198">
        <v>-24452.97</v>
      </c>
      <c r="E11" s="30" t="s">
        <v>203</v>
      </c>
      <c r="F11" s="33">
        <f>INDEX(WCAAllocations,IFERROR(MATCH(E11,WCAFactors,0),2),IFERROR(MATCH(E11,WCAStates,0),4))</f>
        <v>0.23084885646883446</v>
      </c>
      <c r="G11" s="195">
        <f>D11*F11</f>
        <v>-5644.9401617667154</v>
      </c>
    </row>
    <row r="12" spans="1:7">
      <c r="A12" s="187"/>
      <c r="B12" s="196"/>
      <c r="C12" s="199"/>
      <c r="D12" s="2">
        <f>SUM(D8:D11)</f>
        <v>0</v>
      </c>
      <c r="E12" s="200"/>
      <c r="F12" s="201"/>
      <c r="G12" s="195">
        <f>SUM(G8:G11)</f>
        <v>13982.398107966173</v>
      </c>
    </row>
    <row r="13" spans="1:7">
      <c r="A13" s="187"/>
      <c r="B13" s="196"/>
      <c r="C13" s="199"/>
      <c r="D13" s="202"/>
      <c r="E13" s="200"/>
      <c r="F13" s="201"/>
      <c r="G13" s="195"/>
    </row>
    <row r="14" spans="1:7">
      <c r="A14" s="187" t="s">
        <v>525</v>
      </c>
      <c r="B14" s="196">
        <v>421</v>
      </c>
      <c r="C14" s="199" t="s">
        <v>140</v>
      </c>
      <c r="D14" s="203">
        <v>-5797.59</v>
      </c>
      <c r="E14" s="30" t="s">
        <v>152</v>
      </c>
      <c r="F14" s="33">
        <f>INDEX(WCAAllocations,IFERROR(MATCH(E14,WCAFactors,0),2),IFERROR(MATCH(E14,WCAStates,0),4))</f>
        <v>6.9173575695716499E-2</v>
      </c>
      <c r="G14" s="195">
        <f>D14*F14</f>
        <v>-401.04003071772905</v>
      </c>
    </row>
    <row r="15" spans="1:7">
      <c r="A15" s="187" t="s">
        <v>525</v>
      </c>
      <c r="B15" s="204">
        <v>421</v>
      </c>
      <c r="C15" s="199" t="s">
        <v>140</v>
      </c>
      <c r="D15" s="205">
        <v>10195.200000000001</v>
      </c>
      <c r="E15" s="30" t="s">
        <v>171</v>
      </c>
      <c r="F15" s="33">
        <f>INDEX(WCAAllocations,IFERROR(MATCH(E15,WCAFactors,0),2),IFERROR(MATCH(E15,WCAStates,0),4))</f>
        <v>0</v>
      </c>
      <c r="G15" s="195">
        <f>D15*F15</f>
        <v>0</v>
      </c>
    </row>
    <row r="16" spans="1:7">
      <c r="A16" s="187" t="s">
        <v>525</v>
      </c>
      <c r="B16" s="206">
        <v>421</v>
      </c>
      <c r="C16" s="199" t="s">
        <v>140</v>
      </c>
      <c r="D16" s="203">
        <v>-309908.37</v>
      </c>
      <c r="E16" s="30" t="s">
        <v>130</v>
      </c>
      <c r="F16" s="33">
        <f>INDEX(WCAAllocations,IFERROR(MATCH(E16,WCAFactors,0),2),IFERROR(MATCH(E16,WCAStates,0),4))</f>
        <v>6.8539355270203509E-2</v>
      </c>
      <c r="G16" s="195">
        <f>D16*F16</f>
        <v>-21240.919872639679</v>
      </c>
    </row>
    <row r="17" spans="1:7">
      <c r="A17" s="187" t="s">
        <v>525</v>
      </c>
      <c r="B17" s="206">
        <v>421</v>
      </c>
      <c r="C17" s="199" t="s">
        <v>140</v>
      </c>
      <c r="D17" s="203">
        <v>6002.76</v>
      </c>
      <c r="E17" s="30" t="s">
        <v>214</v>
      </c>
      <c r="F17" s="33">
        <f>INDEX(WCAAllocations,IFERROR(MATCH(E17,WCAFactors,0),2),IFERROR(MATCH(E17,WCAStates,0),4))</f>
        <v>0</v>
      </c>
      <c r="G17" s="195">
        <f>D17*F17</f>
        <v>0</v>
      </c>
    </row>
    <row r="18" spans="1:7">
      <c r="A18" s="187" t="s">
        <v>525</v>
      </c>
      <c r="B18" s="206">
        <v>421</v>
      </c>
      <c r="C18" s="199" t="s">
        <v>140</v>
      </c>
      <c r="D18" s="203">
        <v>299508</v>
      </c>
      <c r="E18" s="30" t="s">
        <v>165</v>
      </c>
      <c r="F18" s="33">
        <f>INDEX(WCAAllocations,IFERROR(MATCH(E18,WCAFactors,0),2),IFERROR(MATCH(E18,WCAStates,0),4))</f>
        <v>0</v>
      </c>
      <c r="G18" s="195">
        <f>D18*F18</f>
        <v>0</v>
      </c>
    </row>
    <row r="19" spans="1:7">
      <c r="A19" s="187"/>
      <c r="B19" s="206"/>
      <c r="C19" s="199"/>
      <c r="D19" s="207">
        <f>SUM(D14:D18)</f>
        <v>0</v>
      </c>
      <c r="E19" s="200"/>
      <c r="F19" s="201"/>
      <c r="G19" s="208">
        <f>SUM(G14:G18)</f>
        <v>-21641.959903357409</v>
      </c>
    </row>
    <row r="20" spans="1:7">
      <c r="A20" s="187"/>
      <c r="B20" s="206"/>
      <c r="C20" s="199"/>
      <c r="D20" s="31"/>
      <c r="E20" s="209"/>
      <c r="F20" s="210"/>
      <c r="G20" s="195"/>
    </row>
    <row r="21" spans="1:7">
      <c r="A21" s="186" t="s">
        <v>199</v>
      </c>
      <c r="B21" s="206"/>
      <c r="C21" s="199"/>
      <c r="D21" s="31"/>
      <c r="E21" s="209"/>
      <c r="F21" s="210"/>
      <c r="G21" s="195"/>
    </row>
    <row r="22" spans="1:7">
      <c r="A22" s="211" t="s">
        <v>526</v>
      </c>
      <c r="B22" s="212">
        <v>557</v>
      </c>
      <c r="C22" s="213" t="s">
        <v>140</v>
      </c>
      <c r="D22" s="214">
        <v>-7223</v>
      </c>
      <c r="E22" s="30" t="s">
        <v>146</v>
      </c>
      <c r="F22" s="33">
        <f>INDEX(WCAAllocations,IFERROR(MATCH(E22,WCAFactors,0),2),IFERROR(MATCH(E22,WCAStates,0),4))</f>
        <v>7.9057273540331513E-2</v>
      </c>
      <c r="G22" s="195">
        <f>D22*F22</f>
        <v>-571.03068678181455</v>
      </c>
    </row>
    <row r="23" spans="1:7">
      <c r="A23" s="211"/>
      <c r="B23" s="212"/>
      <c r="C23" s="213"/>
      <c r="D23" s="31"/>
      <c r="E23" s="209"/>
      <c r="F23" s="210"/>
      <c r="G23" s="195"/>
    </row>
    <row r="24" spans="1:7">
      <c r="A24" s="211" t="s">
        <v>526</v>
      </c>
      <c r="B24" s="212">
        <v>580</v>
      </c>
      <c r="C24" s="213" t="s">
        <v>140</v>
      </c>
      <c r="D24" s="214">
        <v>-1989.91</v>
      </c>
      <c r="E24" s="30" t="s">
        <v>151</v>
      </c>
      <c r="F24" s="33">
        <f>INDEX(WCAAllocations,IFERROR(MATCH(E24,WCAFactors,0),2),IFERROR(MATCH(E24,WCAStates,0),4))</f>
        <v>6.2803307592478125E-2</v>
      </c>
      <c r="G24" s="195">
        <f>D24*F24</f>
        <v>-124.97292981134815</v>
      </c>
    </row>
    <row r="25" spans="1:7">
      <c r="A25" s="211"/>
      <c r="B25" s="212"/>
      <c r="C25" s="213"/>
      <c r="D25" s="31"/>
      <c r="E25" s="209"/>
      <c r="F25" s="210"/>
      <c r="G25" s="195"/>
    </row>
    <row r="26" spans="1:7">
      <c r="A26" s="211" t="s">
        <v>681</v>
      </c>
      <c r="B26" s="215">
        <v>903</v>
      </c>
      <c r="C26" s="216" t="s">
        <v>140</v>
      </c>
      <c r="D26" s="217">
        <v>-24626.32</v>
      </c>
      <c r="E26" s="30" t="s">
        <v>152</v>
      </c>
      <c r="F26" s="33">
        <f>INDEX(WCAAllocations,IFERROR(MATCH(E26,WCAFactors,0),2),IFERROR(MATCH(E26,WCAStates,0),4))</f>
        <v>6.9173575695716499E-2</v>
      </c>
      <c r="G26" s="195">
        <f>D26*F26</f>
        <v>-1703.490610626937</v>
      </c>
    </row>
    <row r="27" spans="1:7">
      <c r="A27" s="211" t="s">
        <v>681</v>
      </c>
      <c r="B27" s="215">
        <v>903</v>
      </c>
      <c r="C27" s="216" t="s">
        <v>140</v>
      </c>
      <c r="D27" s="217">
        <v>-46199.380000000005</v>
      </c>
      <c r="E27" s="30" t="s">
        <v>171</v>
      </c>
      <c r="F27" s="33">
        <f>INDEX(WCAAllocations,IFERROR(MATCH(E27,WCAFactors,0),2),IFERROR(MATCH(E27,WCAStates,0),4))</f>
        <v>0</v>
      </c>
      <c r="G27" s="195">
        <f>D27*F27</f>
        <v>0</v>
      </c>
    </row>
    <row r="28" spans="1:7">
      <c r="A28" s="211"/>
      <c r="B28" s="215"/>
      <c r="C28" s="216"/>
      <c r="D28" s="207">
        <f>SUM(D26:D27)</f>
        <v>-70825.700000000012</v>
      </c>
      <c r="E28" s="200"/>
      <c r="F28" s="201"/>
      <c r="G28" s="207">
        <f>SUM(G26:G27)</f>
        <v>-1703.490610626937</v>
      </c>
    </row>
    <row r="29" spans="1:7">
      <c r="A29" s="211"/>
      <c r="B29" s="215"/>
      <c r="C29" s="216"/>
      <c r="D29" s="31"/>
      <c r="E29" s="209"/>
      <c r="F29" s="210"/>
      <c r="G29" s="195"/>
    </row>
    <row r="30" spans="1:7">
      <c r="A30" s="211" t="s">
        <v>681</v>
      </c>
      <c r="B30" s="215">
        <v>909</v>
      </c>
      <c r="C30" s="216" t="s">
        <v>140</v>
      </c>
      <c r="D30" s="214">
        <v>20096.989999999998</v>
      </c>
      <c r="E30" s="30" t="s">
        <v>152</v>
      </c>
      <c r="F30" s="33">
        <f>INDEX(WCAAllocations,IFERROR(MATCH(E30,WCAFactors,0),2),IFERROR(MATCH(E30,WCAStates,0),4))</f>
        <v>6.9173575695716499E-2</v>
      </c>
      <c r="G30" s="195">
        <f>D30*F30</f>
        <v>1390.1806590210574</v>
      </c>
    </row>
    <row r="31" spans="1:7">
      <c r="A31" s="211" t="s">
        <v>681</v>
      </c>
      <c r="B31" s="215">
        <v>909</v>
      </c>
      <c r="C31" s="216" t="s">
        <v>140</v>
      </c>
      <c r="D31" s="217">
        <v>9797.6</v>
      </c>
      <c r="E31" s="30" t="s">
        <v>171</v>
      </c>
      <c r="F31" s="33">
        <f>INDEX(WCAAllocations,IFERROR(MATCH(E31,WCAFactors,0),2),IFERROR(MATCH(E31,WCAStates,0),4))</f>
        <v>0</v>
      </c>
      <c r="G31" s="195">
        <f>D31*F31</f>
        <v>0</v>
      </c>
    </row>
    <row r="32" spans="1:7">
      <c r="A32" s="211" t="s">
        <v>680</v>
      </c>
      <c r="B32" s="215">
        <v>909</v>
      </c>
      <c r="C32" s="216" t="s">
        <v>140</v>
      </c>
      <c r="D32" s="214">
        <v>-60595.66</v>
      </c>
      <c r="E32" s="30" t="s">
        <v>152</v>
      </c>
      <c r="F32" s="33">
        <f>INDEX(WCAAllocations,IFERROR(MATCH(E32,WCAFactors,0),2),IFERROR(MATCH(E32,WCAStates,0),4))</f>
        <v>6.9173575695716499E-2</v>
      </c>
      <c r="G32" s="195">
        <f>D32*F32</f>
        <v>-4191.6184738419006</v>
      </c>
    </row>
    <row r="33" spans="1:7">
      <c r="A33" s="211" t="s">
        <v>679</v>
      </c>
      <c r="B33" s="215">
        <v>909</v>
      </c>
      <c r="C33" s="216" t="s">
        <v>140</v>
      </c>
      <c r="D33" s="214">
        <v>-1589.24</v>
      </c>
      <c r="E33" s="30" t="s">
        <v>152</v>
      </c>
      <c r="F33" s="33">
        <f>INDEX(WCAAllocations,IFERROR(MATCH(E33,WCAFactors,0),2),IFERROR(MATCH(E33,WCAStates,0),4))</f>
        <v>6.9173575695716499E-2</v>
      </c>
      <c r="G33" s="195">
        <f>D33*F33</f>
        <v>-109.93341343866049</v>
      </c>
    </row>
    <row r="34" spans="1:7">
      <c r="A34" s="211"/>
      <c r="B34" s="215"/>
      <c r="C34" s="216"/>
      <c r="D34" s="207">
        <f>SUM(D30:D33)</f>
        <v>-32290.310000000009</v>
      </c>
      <c r="E34" s="200"/>
      <c r="F34" s="201"/>
      <c r="G34" s="207">
        <f>SUM(G30:G33)</f>
        <v>-2911.3712282595038</v>
      </c>
    </row>
    <row r="35" spans="1:7">
      <c r="A35" s="211"/>
      <c r="B35" s="215"/>
      <c r="C35" s="216"/>
      <c r="D35" s="31"/>
      <c r="E35" s="209"/>
      <c r="F35" s="368"/>
      <c r="G35" s="195"/>
    </row>
    <row r="36" spans="1:7">
      <c r="A36" s="211" t="s">
        <v>681</v>
      </c>
      <c r="B36" s="215">
        <v>921</v>
      </c>
      <c r="C36" s="216" t="s">
        <v>140</v>
      </c>
      <c r="D36" s="217">
        <v>-355.08</v>
      </c>
      <c r="E36" s="30" t="s">
        <v>130</v>
      </c>
      <c r="F36" s="33">
        <f t="shared" ref="F36:F44" si="0">INDEX(WCAAllocations,IFERROR(MATCH(E36,WCAFactors,0),2),IFERROR(MATCH(E36,WCAStates,0),4))</f>
        <v>6.8539355270203509E-2</v>
      </c>
      <c r="G36" s="195">
        <f t="shared" ref="G36:G44" si="1">D36*F36</f>
        <v>-24.33695426934386</v>
      </c>
    </row>
    <row r="37" spans="1:7">
      <c r="A37" s="211" t="s">
        <v>681</v>
      </c>
      <c r="B37" s="215">
        <v>929</v>
      </c>
      <c r="C37" s="216" t="s">
        <v>140</v>
      </c>
      <c r="D37" s="217">
        <v>40931.11</v>
      </c>
      <c r="E37" s="30" t="s">
        <v>130</v>
      </c>
      <c r="F37" s="33">
        <f t="shared" si="0"/>
        <v>6.8539355270203509E-2</v>
      </c>
      <c r="G37" s="195">
        <f t="shared" si="1"/>
        <v>2805.3918898937795</v>
      </c>
    </row>
    <row r="38" spans="1:7">
      <c r="A38" s="211" t="s">
        <v>682</v>
      </c>
      <c r="B38" s="215">
        <v>921</v>
      </c>
      <c r="C38" s="216" t="s">
        <v>140</v>
      </c>
      <c r="D38" s="217">
        <v>-6014.43</v>
      </c>
      <c r="E38" s="30" t="s">
        <v>130</v>
      </c>
      <c r="F38" s="33">
        <f t="shared" si="0"/>
        <v>6.8539355270203509E-2</v>
      </c>
      <c r="G38" s="195">
        <f t="shared" si="1"/>
        <v>-412.22515451777014</v>
      </c>
    </row>
    <row r="39" spans="1:7">
      <c r="A39" s="211" t="s">
        <v>683</v>
      </c>
      <c r="B39" s="215">
        <v>921</v>
      </c>
      <c r="C39" s="216" t="s">
        <v>140</v>
      </c>
      <c r="D39" s="217">
        <v>-612.94000000000005</v>
      </c>
      <c r="E39" s="30" t="s">
        <v>130</v>
      </c>
      <c r="F39" s="33">
        <f t="shared" si="0"/>
        <v>6.8539355270203509E-2</v>
      </c>
      <c r="G39" s="195">
        <f t="shared" si="1"/>
        <v>-42.010512419318545</v>
      </c>
    </row>
    <row r="40" spans="1:7">
      <c r="A40" s="211" t="s">
        <v>685</v>
      </c>
      <c r="B40" s="215">
        <v>923</v>
      </c>
      <c r="C40" s="216" t="s">
        <v>140</v>
      </c>
      <c r="D40" s="217">
        <v>-154730.35999999999</v>
      </c>
      <c r="E40" s="218" t="s">
        <v>130</v>
      </c>
      <c r="F40" s="33">
        <f t="shared" si="0"/>
        <v>6.8539355270203509E-2</v>
      </c>
      <c r="G40" s="195">
        <f t="shared" si="1"/>
        <v>-10605.119115126485</v>
      </c>
    </row>
    <row r="41" spans="1:7">
      <c r="A41" s="211" t="s">
        <v>684</v>
      </c>
      <c r="B41" s="215">
        <v>921</v>
      </c>
      <c r="C41" s="216" t="s">
        <v>140</v>
      </c>
      <c r="D41" s="217">
        <v>-5577.0300000000007</v>
      </c>
      <c r="E41" s="30" t="s">
        <v>130</v>
      </c>
      <c r="F41" s="33">
        <f t="shared" si="0"/>
        <v>6.8539355270203509E-2</v>
      </c>
      <c r="G41" s="195">
        <f t="shared" si="1"/>
        <v>-382.24604052258314</v>
      </c>
    </row>
    <row r="42" spans="1:7">
      <c r="A42" s="211" t="s">
        <v>679</v>
      </c>
      <c r="B42" s="215">
        <v>923</v>
      </c>
      <c r="C42" s="216" t="s">
        <v>140</v>
      </c>
      <c r="D42" s="217">
        <v>-118207.14</v>
      </c>
      <c r="E42" s="30" t="s">
        <v>130</v>
      </c>
      <c r="F42" s="33">
        <f t="shared" si="0"/>
        <v>6.8539355270203509E-2</v>
      </c>
      <c r="G42" s="195">
        <f t="shared" si="1"/>
        <v>-8101.8411639346841</v>
      </c>
    </row>
    <row r="43" spans="1:7">
      <c r="A43" s="211" t="s">
        <v>526</v>
      </c>
      <c r="B43" s="212">
        <v>921</v>
      </c>
      <c r="C43" s="213" t="s">
        <v>140</v>
      </c>
      <c r="D43" s="214">
        <v>-7047.41</v>
      </c>
      <c r="E43" s="30" t="s">
        <v>130</v>
      </c>
      <c r="F43" s="33">
        <f t="shared" si="0"/>
        <v>6.8539355270203509E-2</v>
      </c>
      <c r="G43" s="195">
        <f t="shared" si="1"/>
        <v>-483.02493772478488</v>
      </c>
    </row>
    <row r="44" spans="1:7">
      <c r="A44" s="211" t="s">
        <v>686</v>
      </c>
      <c r="B44" s="215">
        <v>924</v>
      </c>
      <c r="C44" s="216" t="s">
        <v>140</v>
      </c>
      <c r="D44" s="217">
        <v>118207.14</v>
      </c>
      <c r="E44" s="218" t="s">
        <v>130</v>
      </c>
      <c r="F44" s="33">
        <f t="shared" si="0"/>
        <v>6.8539355270203509E-2</v>
      </c>
      <c r="G44" s="195">
        <f t="shared" si="1"/>
        <v>8101.8411639346841</v>
      </c>
    </row>
    <row r="45" spans="1:7">
      <c r="A45" s="211"/>
      <c r="B45" s="215"/>
      <c r="C45" s="216"/>
      <c r="D45" s="207">
        <f>SUM(D36:D44)</f>
        <v>-133406.14000000001</v>
      </c>
      <c r="E45" s="200"/>
      <c r="F45" s="201"/>
      <c r="G45" s="207">
        <f>SUM(G36:G44)</f>
        <v>-9143.570824686507</v>
      </c>
    </row>
    <row r="46" spans="1:7">
      <c r="A46" s="211"/>
      <c r="B46" s="215"/>
      <c r="C46" s="216"/>
      <c r="D46" s="31"/>
      <c r="E46" s="209"/>
      <c r="F46" s="210"/>
      <c r="G46" s="195"/>
    </row>
    <row r="47" spans="1:7" ht="13.5" thickBot="1">
      <c r="A47" s="219" t="s">
        <v>527</v>
      </c>
      <c r="B47" s="23"/>
      <c r="C47" s="199"/>
      <c r="D47" s="220">
        <f>SUM(D22:D44)</f>
        <v>-348851.06999999995</v>
      </c>
      <c r="F47" s="1"/>
      <c r="G47" s="220">
        <f>G45+G34+G28+G24+G22</f>
        <v>-14454.436280166112</v>
      </c>
    </row>
    <row r="48" spans="1:7" ht="13.5" thickTop="1">
      <c r="A48" s="221"/>
      <c r="B48" s="222"/>
      <c r="C48" s="199"/>
      <c r="D48" s="223"/>
      <c r="F48" s="1"/>
      <c r="G48" s="224"/>
    </row>
    <row r="49" spans="1:7">
      <c r="A49" s="25" t="s">
        <v>145</v>
      </c>
      <c r="B49" s="30"/>
      <c r="C49" s="30"/>
      <c r="D49" s="35"/>
      <c r="E49" s="30"/>
      <c r="F49" s="225"/>
      <c r="G49" s="59"/>
    </row>
    <row r="50" spans="1:7">
      <c r="A50" s="1402" t="s">
        <v>1053</v>
      </c>
      <c r="B50" s="1402"/>
      <c r="C50" s="1402"/>
      <c r="D50" s="1402"/>
      <c r="E50" s="1402"/>
      <c r="F50" s="1402"/>
      <c r="G50" s="1402"/>
    </row>
    <row r="51" spans="1:7">
      <c r="A51" s="1402"/>
      <c r="B51" s="1402"/>
      <c r="C51" s="1402"/>
      <c r="D51" s="1402"/>
      <c r="E51" s="1402"/>
      <c r="F51" s="1402"/>
      <c r="G51" s="1402"/>
    </row>
    <row r="52" spans="1:7">
      <c r="A52" s="29"/>
      <c r="B52" s="29"/>
      <c r="C52" s="29"/>
      <c r="D52" s="170"/>
      <c r="E52" s="29"/>
      <c r="F52" s="229"/>
      <c r="G52" s="228"/>
    </row>
    <row r="53" spans="1:7">
      <c r="A53" s="29"/>
      <c r="B53" s="29"/>
      <c r="C53" s="143"/>
      <c r="D53" s="170"/>
      <c r="E53" s="29"/>
      <c r="F53" s="229"/>
      <c r="G53" s="156"/>
    </row>
    <row r="54" spans="1:7">
      <c r="A54" s="29"/>
      <c r="B54" s="29"/>
      <c r="C54" s="143"/>
      <c r="D54" s="170"/>
      <c r="E54" s="29"/>
      <c r="F54" s="229"/>
      <c r="G54" s="156"/>
    </row>
    <row r="55" spans="1:7">
      <c r="A55" s="29"/>
      <c r="B55" s="29"/>
      <c r="C55" s="143"/>
      <c r="D55" s="170"/>
      <c r="E55" s="29"/>
      <c r="F55" s="156"/>
      <c r="G55" s="156"/>
    </row>
    <row r="56" spans="1:7">
      <c r="A56" s="29"/>
      <c r="B56" s="29"/>
      <c r="C56" s="143"/>
      <c r="D56" s="170"/>
      <c r="E56" s="29"/>
      <c r="F56" s="29"/>
      <c r="G56" s="156"/>
    </row>
    <row r="57" spans="1:7">
      <c r="A57" s="29"/>
      <c r="B57" s="29"/>
      <c r="C57" s="143"/>
      <c r="D57" s="170"/>
      <c r="E57" s="29"/>
      <c r="F57" s="29"/>
      <c r="G57" s="156"/>
    </row>
    <row r="58" spans="1:7">
      <c r="C58" s="42"/>
      <c r="D58" s="141"/>
      <c r="F58" s="1"/>
      <c r="G58" s="144"/>
    </row>
    <row r="59" spans="1:7">
      <c r="C59" s="42"/>
      <c r="D59" s="141"/>
      <c r="F59" s="1"/>
      <c r="G59" s="144"/>
    </row>
    <row r="60" spans="1:7">
      <c r="C60" s="42"/>
      <c r="D60" s="141"/>
      <c r="F60" s="1"/>
      <c r="G60" s="144"/>
    </row>
    <row r="61" spans="1:7">
      <c r="C61" s="42"/>
      <c r="D61" s="141"/>
      <c r="F61" s="1"/>
      <c r="G61" s="144"/>
    </row>
    <row r="62" spans="1:7">
      <c r="C62" s="42"/>
      <c r="D62" s="141"/>
      <c r="F62" s="1"/>
      <c r="G62" s="144"/>
    </row>
    <row r="63" spans="1:7">
      <c r="C63" s="42"/>
      <c r="D63" s="141"/>
      <c r="F63" s="1"/>
      <c r="G63" s="144"/>
    </row>
    <row r="64" spans="1:7">
      <c r="C64" s="42"/>
      <c r="D64" s="141"/>
      <c r="F64" s="1"/>
      <c r="G64" s="144"/>
    </row>
    <row r="65" spans="3:7">
      <c r="C65" s="42"/>
      <c r="D65" s="141"/>
      <c r="F65" s="1"/>
      <c r="G65" s="144"/>
    </row>
    <row r="66" spans="3:7">
      <c r="C66" s="42"/>
      <c r="D66" s="141"/>
      <c r="F66" s="1"/>
      <c r="G66" s="144"/>
    </row>
    <row r="67" spans="3:7">
      <c r="C67" s="42"/>
      <c r="D67" s="185"/>
      <c r="F67" s="1"/>
      <c r="G67" s="1"/>
    </row>
    <row r="68" spans="3:7">
      <c r="C68" s="42"/>
      <c r="D68" s="185"/>
      <c r="F68" s="1"/>
      <c r="G68" s="1"/>
    </row>
    <row r="69" spans="3:7">
      <c r="C69" s="42"/>
      <c r="D69" s="185"/>
      <c r="F69" s="1"/>
      <c r="G69" s="1"/>
    </row>
    <row r="70" spans="3:7">
      <c r="C70" s="42"/>
      <c r="D70" s="185"/>
      <c r="F70" s="1"/>
      <c r="G70" s="1"/>
    </row>
    <row r="71" spans="3:7">
      <c r="C71" s="42"/>
      <c r="D71" s="185"/>
      <c r="F71" s="1"/>
      <c r="G71" s="1"/>
    </row>
    <row r="72" spans="3:7">
      <c r="C72" s="42"/>
      <c r="D72" s="185"/>
      <c r="F72" s="1"/>
      <c r="G72" s="1"/>
    </row>
    <row r="73" spans="3:7">
      <c r="C73" s="42"/>
      <c r="D73" s="185"/>
      <c r="F73" s="1"/>
      <c r="G73" s="1"/>
    </row>
    <row r="74" spans="3:7">
      <c r="C74" s="42"/>
      <c r="D74" s="185"/>
      <c r="F74" s="1"/>
      <c r="G74" s="1"/>
    </row>
    <row r="75" spans="3:7">
      <c r="C75" s="42"/>
      <c r="D75" s="185"/>
      <c r="F75" s="1"/>
      <c r="G75" s="1"/>
    </row>
    <row r="76" spans="3:7">
      <c r="C76" s="42"/>
      <c r="D76" s="185"/>
      <c r="F76" s="1"/>
      <c r="G76" s="1"/>
    </row>
    <row r="77" spans="3:7">
      <c r="C77" s="42"/>
      <c r="D77" s="185"/>
      <c r="F77" s="1"/>
      <c r="G77" s="1"/>
    </row>
    <row r="78" spans="3:7">
      <c r="C78" s="42"/>
      <c r="D78" s="185"/>
      <c r="F78" s="1"/>
      <c r="G78" s="1"/>
    </row>
    <row r="79" spans="3:7">
      <c r="C79" s="42"/>
      <c r="D79" s="185"/>
      <c r="F79" s="1"/>
      <c r="G79" s="1"/>
    </row>
    <row r="80" spans="3:7">
      <c r="C80" s="42"/>
      <c r="D80" s="185"/>
      <c r="F80" s="1"/>
      <c r="G80" s="1"/>
    </row>
    <row r="81" spans="3:7">
      <c r="C81" s="42"/>
      <c r="D81" s="185"/>
      <c r="F81" s="1"/>
      <c r="G81" s="1"/>
    </row>
    <row r="82" spans="3:7">
      <c r="C82" s="42"/>
      <c r="D82" s="185"/>
      <c r="F82" s="1"/>
      <c r="G82" s="1"/>
    </row>
    <row r="83" spans="3:7">
      <c r="C83" s="42"/>
      <c r="D83" s="185"/>
      <c r="F83" s="1"/>
      <c r="G83" s="1"/>
    </row>
    <row r="84" spans="3:7">
      <c r="C84" s="42"/>
      <c r="D84" s="185"/>
      <c r="F84" s="1"/>
      <c r="G84" s="1"/>
    </row>
    <row r="85" spans="3:7">
      <c r="C85" s="42"/>
      <c r="D85" s="185"/>
      <c r="F85" s="1"/>
      <c r="G85" s="1"/>
    </row>
    <row r="86" spans="3:7">
      <c r="C86" s="42"/>
      <c r="D86" s="185"/>
      <c r="F86" s="1"/>
      <c r="G86" s="1"/>
    </row>
    <row r="87" spans="3:7">
      <c r="C87" s="42"/>
      <c r="D87" s="185"/>
      <c r="F87" s="1"/>
      <c r="G87" s="1"/>
    </row>
    <row r="88" spans="3:7">
      <c r="C88" s="42"/>
      <c r="D88" s="185"/>
      <c r="F88" s="1"/>
      <c r="G88" s="1"/>
    </row>
    <row r="89" spans="3:7">
      <c r="C89" s="42"/>
      <c r="D89" s="185"/>
      <c r="F89" s="1"/>
      <c r="G89" s="1"/>
    </row>
    <row r="90" spans="3:7">
      <c r="C90" s="42"/>
      <c r="D90" s="185"/>
      <c r="F90" s="1"/>
      <c r="G90" s="1"/>
    </row>
    <row r="91" spans="3:7">
      <c r="C91" s="42"/>
      <c r="D91" s="185"/>
      <c r="F91" s="1"/>
      <c r="G91" s="1"/>
    </row>
    <row r="92" spans="3:7">
      <c r="C92" s="42"/>
      <c r="D92" s="185"/>
      <c r="F92" s="1"/>
      <c r="G92" s="1"/>
    </row>
    <row r="93" spans="3:7">
      <c r="C93" s="42"/>
      <c r="D93" s="185"/>
      <c r="F93" s="1"/>
      <c r="G93" s="1"/>
    </row>
    <row r="94" spans="3:7">
      <c r="C94" s="42"/>
      <c r="D94" s="185"/>
      <c r="F94" s="1"/>
      <c r="G94" s="1"/>
    </row>
    <row r="95" spans="3:7">
      <c r="C95" s="42"/>
      <c r="D95" s="185"/>
      <c r="F95" s="1"/>
      <c r="G95" s="1"/>
    </row>
    <row r="96" spans="3:7">
      <c r="C96" s="42"/>
      <c r="D96" s="185"/>
      <c r="F96" s="1"/>
      <c r="G96" s="1"/>
    </row>
    <row r="97" spans="3:7">
      <c r="C97" s="42"/>
      <c r="D97" s="185"/>
      <c r="F97" s="1"/>
      <c r="G97" s="1"/>
    </row>
    <row r="98" spans="3:7">
      <c r="C98" s="42"/>
      <c r="D98" s="185"/>
      <c r="F98" s="1"/>
      <c r="G98" s="1"/>
    </row>
    <row r="99" spans="3:7">
      <c r="C99" s="42"/>
      <c r="D99" s="185"/>
      <c r="F99" s="1"/>
      <c r="G99" s="1"/>
    </row>
    <row r="100" spans="3:7">
      <c r="C100" s="42"/>
      <c r="D100" s="185"/>
      <c r="F100" s="1"/>
      <c r="G100" s="1"/>
    </row>
    <row r="101" spans="3:7">
      <c r="C101" s="42"/>
      <c r="D101" s="185"/>
      <c r="F101" s="1"/>
      <c r="G101" s="1"/>
    </row>
    <row r="102" spans="3:7">
      <c r="C102" s="42"/>
      <c r="D102" s="185"/>
      <c r="F102" s="1"/>
      <c r="G102" s="1"/>
    </row>
    <row r="103" spans="3:7">
      <c r="C103" s="42"/>
      <c r="D103" s="185"/>
      <c r="F103" s="1"/>
      <c r="G103" s="1"/>
    </row>
    <row r="104" spans="3:7">
      <c r="C104" s="42"/>
      <c r="D104" s="185"/>
      <c r="F104" s="1"/>
      <c r="G104" s="1"/>
    </row>
    <row r="105" spans="3:7">
      <c r="C105" s="42"/>
      <c r="D105" s="185"/>
      <c r="F105" s="1"/>
      <c r="G105" s="1"/>
    </row>
    <row r="106" spans="3:7">
      <c r="C106" s="42"/>
      <c r="D106" s="185"/>
      <c r="F106" s="1"/>
      <c r="G106" s="1"/>
    </row>
    <row r="107" spans="3:7">
      <c r="C107" s="42"/>
      <c r="D107" s="185"/>
      <c r="F107" s="1"/>
      <c r="G107" s="1"/>
    </row>
    <row r="108" spans="3:7">
      <c r="C108" s="42"/>
      <c r="D108" s="185"/>
      <c r="F108" s="1"/>
      <c r="G108" s="1"/>
    </row>
    <row r="109" spans="3:7">
      <c r="C109" s="42"/>
      <c r="D109" s="185"/>
      <c r="F109" s="1"/>
      <c r="G109" s="1"/>
    </row>
    <row r="110" spans="3:7">
      <c r="C110" s="42"/>
      <c r="D110" s="185"/>
      <c r="F110" s="1"/>
      <c r="G110" s="1"/>
    </row>
    <row r="111" spans="3:7">
      <c r="C111" s="42"/>
      <c r="D111" s="185"/>
      <c r="F111" s="1"/>
      <c r="G111" s="1"/>
    </row>
    <row r="112" spans="3:7">
      <c r="C112" s="42"/>
      <c r="D112" s="185"/>
      <c r="F112" s="1"/>
      <c r="G112" s="1"/>
    </row>
    <row r="113" spans="3:7">
      <c r="C113" s="42"/>
      <c r="D113" s="185"/>
      <c r="F113" s="1"/>
      <c r="G113" s="1"/>
    </row>
    <row r="114" spans="3:7">
      <c r="C114" s="42"/>
      <c r="D114" s="185"/>
      <c r="F114" s="1"/>
      <c r="G114" s="1"/>
    </row>
    <row r="115" spans="3:7">
      <c r="C115" s="42"/>
      <c r="D115" s="185"/>
      <c r="F115" s="1"/>
      <c r="G115" s="1"/>
    </row>
    <row r="116" spans="3:7">
      <c r="C116" s="42"/>
      <c r="D116" s="185"/>
      <c r="F116" s="1"/>
      <c r="G116" s="1"/>
    </row>
    <row r="117" spans="3:7">
      <c r="C117" s="42"/>
      <c r="D117" s="185"/>
      <c r="F117" s="1"/>
      <c r="G117" s="1"/>
    </row>
    <row r="118" spans="3:7">
      <c r="C118" s="42"/>
      <c r="D118" s="185"/>
      <c r="F118" s="1"/>
      <c r="G118" s="1"/>
    </row>
    <row r="119" spans="3:7">
      <c r="C119" s="42"/>
      <c r="D119" s="185"/>
      <c r="F119" s="1"/>
      <c r="G119" s="1"/>
    </row>
    <row r="120" spans="3:7">
      <c r="C120" s="42"/>
      <c r="D120" s="185"/>
      <c r="F120" s="1"/>
      <c r="G120" s="1"/>
    </row>
    <row r="121" spans="3:7">
      <c r="C121" s="42"/>
      <c r="D121" s="185"/>
      <c r="F121" s="1"/>
      <c r="G121" s="1"/>
    </row>
    <row r="122" spans="3:7">
      <c r="C122" s="42"/>
      <c r="D122" s="185"/>
      <c r="F122" s="1"/>
      <c r="G122" s="1"/>
    </row>
    <row r="123" spans="3:7">
      <c r="C123" s="42"/>
      <c r="D123" s="185"/>
      <c r="F123" s="1"/>
      <c r="G123" s="1"/>
    </row>
    <row r="124" spans="3:7">
      <c r="C124" s="42"/>
      <c r="D124" s="185"/>
      <c r="F124" s="1"/>
      <c r="G124" s="1"/>
    </row>
    <row r="125" spans="3:7">
      <c r="C125" s="42"/>
      <c r="D125" s="185"/>
      <c r="F125" s="1"/>
      <c r="G125" s="1"/>
    </row>
    <row r="126" spans="3:7">
      <c r="C126" s="42"/>
      <c r="D126" s="185"/>
      <c r="F126" s="1"/>
      <c r="G126" s="1"/>
    </row>
    <row r="127" spans="3:7">
      <c r="C127" s="42"/>
      <c r="D127" s="185"/>
      <c r="F127" s="1"/>
      <c r="G127" s="1"/>
    </row>
    <row r="128" spans="3:7">
      <c r="C128" s="42"/>
      <c r="D128" s="185"/>
      <c r="F128" s="1"/>
      <c r="G128" s="1"/>
    </row>
    <row r="129" spans="3:7">
      <c r="C129" s="42"/>
      <c r="D129" s="185"/>
      <c r="F129" s="1"/>
      <c r="G129" s="1"/>
    </row>
    <row r="130" spans="3:7">
      <c r="C130" s="42"/>
      <c r="D130" s="185"/>
      <c r="F130" s="1"/>
      <c r="G130" s="1"/>
    </row>
    <row r="131" spans="3:7">
      <c r="C131" s="42"/>
      <c r="D131" s="185"/>
      <c r="F131" s="1"/>
      <c r="G131" s="1"/>
    </row>
    <row r="132" spans="3:7">
      <c r="C132" s="42"/>
      <c r="D132" s="185"/>
      <c r="F132" s="1"/>
      <c r="G132" s="1"/>
    </row>
    <row r="133" spans="3:7">
      <c r="C133" s="42"/>
      <c r="D133" s="185"/>
      <c r="F133" s="1"/>
      <c r="G133" s="1"/>
    </row>
    <row r="134" spans="3:7">
      <c r="C134" s="42"/>
      <c r="D134" s="185"/>
      <c r="F134" s="1"/>
      <c r="G134" s="1"/>
    </row>
    <row r="135" spans="3:7">
      <c r="C135" s="42"/>
      <c r="D135" s="185"/>
      <c r="F135" s="1"/>
      <c r="G135" s="1"/>
    </row>
    <row r="136" spans="3:7">
      <c r="C136" s="42"/>
      <c r="D136" s="185"/>
      <c r="F136" s="1"/>
      <c r="G136" s="1"/>
    </row>
    <row r="137" spans="3:7">
      <c r="C137" s="42"/>
      <c r="D137" s="185"/>
      <c r="F137" s="1"/>
      <c r="G137" s="1"/>
    </row>
    <row r="138" spans="3:7">
      <c r="C138" s="42"/>
      <c r="D138" s="185"/>
      <c r="F138" s="1"/>
      <c r="G138" s="1"/>
    </row>
    <row r="139" spans="3:7">
      <c r="C139" s="42"/>
      <c r="D139" s="185"/>
      <c r="F139" s="1"/>
      <c r="G139" s="1"/>
    </row>
    <row r="140" spans="3:7">
      <c r="C140" s="42"/>
      <c r="D140" s="185"/>
      <c r="F140" s="1"/>
      <c r="G140" s="1"/>
    </row>
    <row r="141" spans="3:7">
      <c r="C141" s="42"/>
      <c r="D141" s="185"/>
      <c r="F141" s="1"/>
      <c r="G141" s="1"/>
    </row>
    <row r="142" spans="3:7">
      <c r="C142" s="42"/>
      <c r="D142" s="185"/>
      <c r="F142" s="1"/>
      <c r="G142" s="1"/>
    </row>
    <row r="143" spans="3:7">
      <c r="C143" s="42"/>
      <c r="D143" s="185"/>
      <c r="F143" s="1"/>
      <c r="G143" s="1"/>
    </row>
    <row r="144" spans="3:7">
      <c r="C144" s="42"/>
      <c r="D144" s="185"/>
      <c r="F144" s="1"/>
      <c r="G144" s="1"/>
    </row>
    <row r="145" spans="3:7">
      <c r="C145" s="42"/>
      <c r="D145" s="185"/>
      <c r="F145" s="1"/>
      <c r="G145" s="1"/>
    </row>
    <row r="146" spans="3:7">
      <c r="C146" s="42"/>
      <c r="D146" s="185"/>
      <c r="F146" s="1"/>
      <c r="G146" s="1"/>
    </row>
    <row r="147" spans="3:7">
      <c r="C147" s="42"/>
      <c r="D147" s="185"/>
      <c r="F147" s="1"/>
      <c r="G147" s="1"/>
    </row>
    <row r="148" spans="3:7">
      <c r="C148" s="42"/>
      <c r="D148" s="185"/>
      <c r="F148" s="1"/>
      <c r="G148" s="1"/>
    </row>
    <row r="149" spans="3:7">
      <c r="C149" s="42"/>
      <c r="D149" s="185"/>
      <c r="F149" s="1"/>
      <c r="G149" s="1"/>
    </row>
    <row r="150" spans="3:7">
      <c r="C150" s="42"/>
      <c r="D150" s="185"/>
      <c r="F150" s="1"/>
      <c r="G150" s="1"/>
    </row>
    <row r="151" spans="3:7">
      <c r="C151" s="42"/>
      <c r="D151" s="185"/>
      <c r="F151" s="1"/>
      <c r="G151" s="1"/>
    </row>
    <row r="152" spans="3:7">
      <c r="C152" s="42"/>
      <c r="D152" s="185"/>
      <c r="F152" s="1"/>
      <c r="G152" s="1"/>
    </row>
    <row r="153" spans="3:7">
      <c r="C153" s="42"/>
      <c r="D153" s="185"/>
      <c r="F153" s="1"/>
      <c r="G153" s="1"/>
    </row>
    <row r="154" spans="3:7">
      <c r="C154" s="42"/>
      <c r="D154" s="185"/>
      <c r="F154" s="1"/>
      <c r="G154" s="1"/>
    </row>
    <row r="155" spans="3:7">
      <c r="C155" s="42"/>
      <c r="D155" s="185"/>
      <c r="F155" s="1"/>
      <c r="G155" s="1"/>
    </row>
    <row r="156" spans="3:7">
      <c r="C156" s="42"/>
      <c r="D156" s="185"/>
      <c r="F156" s="1"/>
      <c r="G156" s="1"/>
    </row>
    <row r="157" spans="3:7">
      <c r="C157" s="42"/>
      <c r="D157" s="185"/>
      <c r="F157" s="1"/>
      <c r="G157" s="1"/>
    </row>
    <row r="158" spans="3:7">
      <c r="C158" s="42"/>
      <c r="D158" s="185"/>
      <c r="F158" s="1"/>
      <c r="G158" s="1"/>
    </row>
    <row r="159" spans="3:7">
      <c r="C159" s="42"/>
      <c r="D159" s="185"/>
      <c r="F159" s="1"/>
      <c r="G159" s="1"/>
    </row>
    <row r="160" spans="3:7">
      <c r="C160" s="42"/>
      <c r="D160" s="185"/>
      <c r="F160" s="1"/>
      <c r="G160" s="1"/>
    </row>
    <row r="161" spans="3:7">
      <c r="C161" s="42"/>
      <c r="D161" s="185"/>
      <c r="F161" s="1"/>
      <c r="G161" s="1"/>
    </row>
    <row r="162" spans="3:7">
      <c r="C162" s="42"/>
      <c r="D162" s="185"/>
      <c r="F162" s="1"/>
      <c r="G162" s="1"/>
    </row>
    <row r="163" spans="3:7">
      <c r="C163" s="42"/>
      <c r="D163" s="185"/>
      <c r="F163" s="1"/>
      <c r="G163" s="1"/>
    </row>
    <row r="164" spans="3:7">
      <c r="C164" s="42"/>
      <c r="D164" s="185"/>
      <c r="F164" s="1"/>
      <c r="G164" s="1"/>
    </row>
    <row r="165" spans="3:7">
      <c r="C165" s="42"/>
      <c r="D165" s="185"/>
      <c r="F165" s="1"/>
      <c r="G165" s="1"/>
    </row>
    <row r="166" spans="3:7">
      <c r="C166" s="42"/>
      <c r="D166" s="185"/>
      <c r="F166" s="1"/>
      <c r="G166" s="1"/>
    </row>
    <row r="167" spans="3:7">
      <c r="C167" s="42"/>
      <c r="D167" s="185"/>
      <c r="F167" s="1"/>
      <c r="G167" s="1"/>
    </row>
    <row r="168" spans="3:7">
      <c r="C168" s="42"/>
      <c r="D168" s="185"/>
      <c r="F168" s="1"/>
      <c r="G168" s="1"/>
    </row>
    <row r="169" spans="3:7">
      <c r="C169" s="42"/>
      <c r="D169" s="185"/>
      <c r="F169" s="1"/>
      <c r="G169" s="1"/>
    </row>
    <row r="170" spans="3:7">
      <c r="C170" s="42"/>
      <c r="D170" s="185"/>
      <c r="F170" s="1"/>
      <c r="G170" s="1"/>
    </row>
    <row r="171" spans="3:7">
      <c r="C171" s="42"/>
      <c r="D171" s="185"/>
      <c r="F171" s="1"/>
      <c r="G171" s="1"/>
    </row>
    <row r="172" spans="3:7">
      <c r="C172" s="42"/>
      <c r="D172" s="185"/>
      <c r="F172" s="1"/>
      <c r="G172" s="1"/>
    </row>
    <row r="173" spans="3:7">
      <c r="C173" s="42"/>
      <c r="D173" s="185"/>
      <c r="F173" s="1"/>
      <c r="G173" s="1"/>
    </row>
    <row r="174" spans="3:7">
      <c r="C174" s="42"/>
      <c r="D174" s="185"/>
      <c r="F174" s="1"/>
      <c r="G174" s="1"/>
    </row>
    <row r="175" spans="3:7">
      <c r="C175" s="42"/>
      <c r="D175" s="185"/>
      <c r="F175" s="1"/>
      <c r="G175" s="1"/>
    </row>
    <row r="176" spans="3:7">
      <c r="C176" s="42"/>
      <c r="D176" s="185"/>
      <c r="F176" s="1"/>
      <c r="G176" s="1"/>
    </row>
    <row r="177" spans="3:7">
      <c r="C177" s="42"/>
      <c r="D177" s="185"/>
      <c r="F177" s="1"/>
      <c r="G177" s="1"/>
    </row>
    <row r="178" spans="3:7">
      <c r="C178" s="42"/>
      <c r="D178" s="185"/>
      <c r="F178" s="1"/>
      <c r="G178" s="1"/>
    </row>
    <row r="179" spans="3:7">
      <c r="C179" s="42"/>
      <c r="D179" s="185"/>
      <c r="F179" s="1"/>
      <c r="G179" s="1"/>
    </row>
    <row r="180" spans="3:7">
      <c r="C180" s="42"/>
      <c r="D180" s="185"/>
      <c r="F180" s="1"/>
      <c r="G180" s="1"/>
    </row>
    <row r="181" spans="3:7">
      <c r="C181" s="42"/>
      <c r="D181" s="185"/>
      <c r="F181" s="1"/>
      <c r="G181" s="1"/>
    </row>
    <row r="182" spans="3:7">
      <c r="C182" s="42"/>
      <c r="D182" s="185"/>
      <c r="F182" s="1"/>
      <c r="G182" s="1"/>
    </row>
    <row r="183" spans="3:7">
      <c r="C183" s="42"/>
      <c r="D183" s="185"/>
      <c r="F183" s="1"/>
      <c r="G183" s="1"/>
    </row>
    <row r="184" spans="3:7">
      <c r="C184" s="42"/>
      <c r="D184" s="185"/>
      <c r="F184" s="1"/>
      <c r="G184" s="1"/>
    </row>
    <row r="185" spans="3:7">
      <c r="C185" s="42"/>
      <c r="D185" s="185"/>
      <c r="F185" s="1"/>
      <c r="G185" s="1"/>
    </row>
    <row r="186" spans="3:7">
      <c r="C186" s="42"/>
      <c r="D186" s="185"/>
      <c r="F186" s="1"/>
      <c r="G186" s="1"/>
    </row>
    <row r="187" spans="3:7">
      <c r="C187" s="42"/>
      <c r="D187" s="185"/>
      <c r="F187" s="1"/>
      <c r="G187" s="1"/>
    </row>
    <row r="188" spans="3:7">
      <c r="C188" s="42"/>
      <c r="D188" s="185"/>
      <c r="F188" s="1"/>
      <c r="G188" s="1"/>
    </row>
    <row r="189" spans="3:7">
      <c r="C189" s="42"/>
      <c r="D189" s="185"/>
      <c r="F189" s="1"/>
      <c r="G189" s="1"/>
    </row>
    <row r="190" spans="3:7">
      <c r="C190" s="42"/>
      <c r="D190" s="185"/>
      <c r="F190" s="1"/>
      <c r="G190" s="1"/>
    </row>
    <row r="191" spans="3:7">
      <c r="C191" s="42"/>
      <c r="D191" s="185"/>
      <c r="F191" s="1"/>
      <c r="G191" s="1"/>
    </row>
    <row r="192" spans="3:7">
      <c r="C192" s="42"/>
      <c r="D192" s="185"/>
      <c r="F192" s="1"/>
      <c r="G192" s="1"/>
    </row>
    <row r="193" spans="3:7">
      <c r="C193" s="42"/>
      <c r="D193" s="185"/>
      <c r="F193" s="1"/>
      <c r="G193" s="1"/>
    </row>
    <row r="194" spans="3:7">
      <c r="C194" s="42"/>
      <c r="D194" s="185"/>
      <c r="F194" s="1"/>
      <c r="G194" s="1"/>
    </row>
    <row r="195" spans="3:7">
      <c r="C195" s="42"/>
      <c r="D195" s="185"/>
      <c r="F195" s="1"/>
      <c r="G195" s="1"/>
    </row>
    <row r="196" spans="3:7">
      <c r="C196" s="42"/>
      <c r="D196" s="185"/>
      <c r="F196" s="1"/>
      <c r="G196" s="1"/>
    </row>
    <row r="197" spans="3:7">
      <c r="C197" s="42"/>
      <c r="D197" s="185"/>
      <c r="F197" s="1"/>
      <c r="G197" s="1"/>
    </row>
    <row r="198" spans="3:7">
      <c r="C198" s="42"/>
      <c r="D198" s="185"/>
      <c r="F198" s="1"/>
      <c r="G198" s="1"/>
    </row>
    <row r="199" spans="3:7">
      <c r="C199" s="42"/>
      <c r="D199" s="185"/>
      <c r="F199" s="1"/>
      <c r="G199" s="1"/>
    </row>
    <row r="200" spans="3:7">
      <c r="C200" s="42"/>
      <c r="D200" s="185"/>
      <c r="F200" s="1"/>
      <c r="G200" s="1"/>
    </row>
    <row r="201" spans="3:7">
      <c r="C201" s="42"/>
      <c r="D201" s="185"/>
      <c r="F201" s="1"/>
      <c r="G201" s="1"/>
    </row>
    <row r="202" spans="3:7">
      <c r="C202" s="42"/>
      <c r="D202" s="185"/>
      <c r="F202" s="1"/>
      <c r="G202" s="1"/>
    </row>
    <row r="203" spans="3:7">
      <c r="C203" s="42"/>
      <c r="D203" s="185"/>
      <c r="F203" s="1"/>
      <c r="G203" s="1"/>
    </row>
    <row r="204" spans="3:7">
      <c r="C204" s="42"/>
      <c r="D204" s="185"/>
      <c r="F204" s="1"/>
      <c r="G204" s="1"/>
    </row>
    <row r="205" spans="3:7">
      <c r="C205" s="42"/>
      <c r="D205" s="185"/>
      <c r="F205" s="1"/>
      <c r="G205" s="1"/>
    </row>
    <row r="206" spans="3:7">
      <c r="C206" s="42"/>
      <c r="D206" s="185"/>
      <c r="F206" s="1"/>
      <c r="G206" s="1"/>
    </row>
    <row r="207" spans="3:7">
      <c r="C207" s="42"/>
      <c r="D207" s="185"/>
      <c r="F207" s="1"/>
      <c r="G207" s="1"/>
    </row>
    <row r="208" spans="3:7">
      <c r="C208" s="42"/>
      <c r="D208" s="185"/>
      <c r="F208" s="1"/>
      <c r="G208" s="1"/>
    </row>
    <row r="209" spans="3:7">
      <c r="C209" s="42"/>
      <c r="D209" s="185"/>
      <c r="F209" s="1"/>
      <c r="G209" s="1"/>
    </row>
    <row r="210" spans="3:7">
      <c r="C210" s="42"/>
      <c r="D210" s="185"/>
      <c r="F210" s="1"/>
      <c r="G210" s="1"/>
    </row>
    <row r="211" spans="3:7">
      <c r="C211" s="42"/>
      <c r="D211" s="185"/>
      <c r="F211" s="1"/>
      <c r="G211" s="1"/>
    </row>
    <row r="212" spans="3:7">
      <c r="C212" s="42"/>
      <c r="D212" s="185"/>
      <c r="F212" s="1"/>
      <c r="G212" s="1"/>
    </row>
    <row r="213" spans="3:7">
      <c r="C213" s="42"/>
      <c r="D213" s="185"/>
      <c r="F213" s="1"/>
      <c r="G213" s="1"/>
    </row>
    <row r="214" spans="3:7">
      <c r="C214" s="42"/>
      <c r="D214" s="185"/>
      <c r="F214" s="1"/>
      <c r="G214" s="1"/>
    </row>
    <row r="215" spans="3:7">
      <c r="C215" s="42"/>
      <c r="D215" s="185"/>
      <c r="F215" s="1"/>
      <c r="G215" s="1"/>
    </row>
    <row r="216" spans="3:7">
      <c r="C216" s="42"/>
      <c r="D216" s="185"/>
      <c r="F216" s="1"/>
      <c r="G216" s="1"/>
    </row>
    <row r="217" spans="3:7">
      <c r="C217" s="42"/>
      <c r="D217" s="185"/>
      <c r="F217" s="1"/>
      <c r="G217" s="1"/>
    </row>
    <row r="218" spans="3:7">
      <c r="C218" s="42"/>
      <c r="D218" s="185"/>
      <c r="F218" s="1"/>
      <c r="G218" s="1"/>
    </row>
    <row r="219" spans="3:7">
      <c r="C219" s="42"/>
      <c r="D219" s="185"/>
      <c r="F219" s="1"/>
      <c r="G219" s="1"/>
    </row>
    <row r="220" spans="3:7">
      <c r="C220" s="42"/>
      <c r="D220" s="185"/>
      <c r="F220" s="1"/>
      <c r="G220" s="1"/>
    </row>
    <row r="221" spans="3:7">
      <c r="C221" s="42"/>
      <c r="D221" s="185"/>
      <c r="F221" s="1"/>
      <c r="G221" s="1"/>
    </row>
    <row r="222" spans="3:7">
      <c r="C222" s="42"/>
      <c r="D222" s="185"/>
      <c r="F222" s="1"/>
      <c r="G222" s="1"/>
    </row>
    <row r="223" spans="3:7">
      <c r="C223" s="42"/>
      <c r="D223" s="185"/>
      <c r="F223" s="1"/>
      <c r="G223" s="1"/>
    </row>
    <row r="224" spans="3:7">
      <c r="C224" s="42"/>
      <c r="D224" s="185"/>
      <c r="F224" s="1"/>
      <c r="G224" s="1"/>
    </row>
    <row r="225" spans="3:7">
      <c r="C225" s="42"/>
      <c r="D225" s="185"/>
      <c r="F225" s="1"/>
      <c r="G225" s="1"/>
    </row>
    <row r="226" spans="3:7">
      <c r="C226" s="42"/>
      <c r="D226" s="185"/>
      <c r="F226" s="1"/>
      <c r="G226" s="1"/>
    </row>
    <row r="227" spans="3:7">
      <c r="C227" s="42"/>
      <c r="D227" s="185"/>
      <c r="F227" s="1"/>
      <c r="G227" s="1"/>
    </row>
    <row r="228" spans="3:7">
      <c r="C228" s="42"/>
      <c r="D228" s="185"/>
      <c r="F228" s="1"/>
      <c r="G228" s="1"/>
    </row>
    <row r="229" spans="3:7">
      <c r="C229" s="42"/>
      <c r="D229" s="185"/>
      <c r="F229" s="1"/>
      <c r="G229" s="1"/>
    </row>
    <row r="230" spans="3:7">
      <c r="C230" s="42"/>
      <c r="D230" s="185"/>
      <c r="F230" s="1"/>
      <c r="G230" s="1"/>
    </row>
    <row r="231" spans="3:7">
      <c r="C231" s="42"/>
      <c r="D231" s="185"/>
      <c r="F231" s="1"/>
      <c r="G231" s="1"/>
    </row>
    <row r="232" spans="3:7">
      <c r="C232" s="42"/>
      <c r="D232" s="185"/>
      <c r="F232" s="1"/>
      <c r="G232" s="1"/>
    </row>
    <row r="233" spans="3:7">
      <c r="C233" s="42"/>
      <c r="D233" s="185"/>
      <c r="F233" s="1"/>
      <c r="G233" s="1"/>
    </row>
    <row r="234" spans="3:7">
      <c r="C234" s="42"/>
      <c r="D234" s="185"/>
      <c r="F234" s="1"/>
      <c r="G234" s="1"/>
    </row>
    <row r="235" spans="3:7">
      <c r="C235" s="42"/>
      <c r="D235" s="185"/>
      <c r="F235" s="1"/>
      <c r="G235" s="1"/>
    </row>
    <row r="236" spans="3:7">
      <c r="C236" s="42"/>
      <c r="D236" s="185"/>
      <c r="F236" s="1"/>
      <c r="G236" s="1"/>
    </row>
    <row r="237" spans="3:7">
      <c r="C237" s="42"/>
      <c r="D237" s="185"/>
      <c r="F237" s="1"/>
      <c r="G237" s="1"/>
    </row>
    <row r="238" spans="3:7">
      <c r="C238" s="42"/>
      <c r="D238" s="185"/>
      <c r="F238" s="1"/>
      <c r="G238" s="1"/>
    </row>
    <row r="239" spans="3:7">
      <c r="C239" s="42"/>
      <c r="D239" s="185"/>
      <c r="F239" s="1"/>
      <c r="G239" s="1"/>
    </row>
    <row r="240" spans="3:7">
      <c r="C240" s="42"/>
      <c r="D240" s="185"/>
      <c r="F240" s="1"/>
      <c r="G240" s="1"/>
    </row>
    <row r="241" spans="3:7">
      <c r="C241" s="42"/>
      <c r="D241" s="185"/>
      <c r="F241" s="1"/>
      <c r="G241" s="1"/>
    </row>
    <row r="242" spans="3:7">
      <c r="C242" s="42"/>
      <c r="D242" s="185"/>
      <c r="F242" s="1"/>
      <c r="G242" s="1"/>
    </row>
    <row r="243" spans="3:7">
      <c r="C243" s="42"/>
      <c r="D243" s="185"/>
      <c r="F243" s="1"/>
      <c r="G243" s="1"/>
    </row>
    <row r="244" spans="3:7">
      <c r="C244" s="42"/>
      <c r="D244" s="185"/>
      <c r="F244" s="1"/>
      <c r="G244" s="1"/>
    </row>
    <row r="245" spans="3:7">
      <c r="C245" s="42"/>
      <c r="D245" s="185"/>
      <c r="F245" s="1"/>
      <c r="G245" s="1"/>
    </row>
    <row r="246" spans="3:7">
      <c r="C246" s="42"/>
      <c r="D246" s="185"/>
      <c r="F246" s="1"/>
      <c r="G246" s="1"/>
    </row>
    <row r="247" spans="3:7">
      <c r="C247" s="42"/>
      <c r="D247" s="185"/>
      <c r="F247" s="1"/>
      <c r="G247" s="1"/>
    </row>
    <row r="248" spans="3:7">
      <c r="C248" s="42"/>
      <c r="D248" s="185"/>
      <c r="F248" s="1"/>
      <c r="G248" s="1"/>
    </row>
    <row r="249" spans="3:7">
      <c r="C249" s="42"/>
      <c r="D249" s="185"/>
      <c r="F249" s="1"/>
      <c r="G249" s="1"/>
    </row>
    <row r="250" spans="3:7">
      <c r="C250" s="42"/>
      <c r="D250" s="185"/>
      <c r="F250" s="1"/>
      <c r="G250" s="1"/>
    </row>
    <row r="251" spans="3:7">
      <c r="C251" s="42"/>
      <c r="D251" s="185"/>
      <c r="F251" s="1"/>
      <c r="G251" s="1"/>
    </row>
    <row r="252" spans="3:7">
      <c r="C252" s="42"/>
      <c r="D252" s="185"/>
      <c r="F252" s="1"/>
      <c r="G252" s="1"/>
    </row>
    <row r="253" spans="3:7">
      <c r="C253" s="42"/>
      <c r="D253" s="185"/>
      <c r="F253" s="1"/>
      <c r="G253" s="1"/>
    </row>
    <row r="254" spans="3:7">
      <c r="C254" s="42"/>
      <c r="D254" s="185"/>
      <c r="F254" s="1"/>
      <c r="G254" s="1"/>
    </row>
    <row r="255" spans="3:7">
      <c r="C255" s="42"/>
      <c r="D255" s="185"/>
      <c r="F255" s="1"/>
      <c r="G255" s="1"/>
    </row>
    <row r="256" spans="3:7">
      <c r="C256" s="42"/>
      <c r="D256" s="185"/>
      <c r="F256" s="1"/>
      <c r="G256" s="1"/>
    </row>
    <row r="257" spans="3:7">
      <c r="C257" s="42"/>
      <c r="D257" s="185"/>
      <c r="F257" s="1"/>
      <c r="G257" s="1"/>
    </row>
    <row r="258" spans="3:7">
      <c r="C258" s="42"/>
      <c r="D258" s="185"/>
      <c r="F258" s="1"/>
      <c r="G258" s="1"/>
    </row>
    <row r="259" spans="3:7">
      <c r="C259" s="42"/>
      <c r="D259" s="185"/>
      <c r="F259" s="1"/>
      <c r="G259" s="1"/>
    </row>
    <row r="260" spans="3:7">
      <c r="C260" s="42"/>
      <c r="D260" s="185"/>
      <c r="F260" s="1"/>
      <c r="G260" s="1"/>
    </row>
    <row r="261" spans="3:7">
      <c r="C261" s="42"/>
      <c r="D261" s="185"/>
      <c r="F261" s="1"/>
      <c r="G261" s="1"/>
    </row>
    <row r="262" spans="3:7">
      <c r="C262" s="42"/>
      <c r="D262" s="185"/>
      <c r="F262" s="1"/>
      <c r="G262" s="1"/>
    </row>
    <row r="263" spans="3:7">
      <c r="C263" s="42"/>
      <c r="D263" s="185"/>
      <c r="F263" s="1"/>
      <c r="G263" s="1"/>
    </row>
    <row r="264" spans="3:7">
      <c r="C264" s="42"/>
      <c r="D264" s="185"/>
      <c r="F264" s="1"/>
      <c r="G264" s="1"/>
    </row>
    <row r="265" spans="3:7">
      <c r="C265" s="42"/>
      <c r="D265" s="185"/>
      <c r="F265" s="1"/>
      <c r="G265" s="1"/>
    </row>
    <row r="266" spans="3:7">
      <c r="C266" s="42"/>
      <c r="D266" s="185"/>
      <c r="F266" s="1"/>
      <c r="G266" s="1"/>
    </row>
    <row r="267" spans="3:7">
      <c r="C267" s="42"/>
      <c r="D267" s="185"/>
      <c r="F267" s="1"/>
      <c r="G267" s="1"/>
    </row>
    <row r="268" spans="3:7">
      <c r="C268" s="42"/>
      <c r="D268" s="185"/>
      <c r="F268" s="1"/>
      <c r="G268" s="1"/>
    </row>
    <row r="269" spans="3:7">
      <c r="C269" s="42"/>
      <c r="D269" s="185"/>
      <c r="F269" s="1"/>
      <c r="G269" s="1"/>
    </row>
    <row r="270" spans="3:7">
      <c r="C270" s="42"/>
      <c r="D270" s="185"/>
      <c r="F270" s="1"/>
      <c r="G270" s="1"/>
    </row>
    <row r="271" spans="3:7">
      <c r="C271" s="42"/>
      <c r="D271" s="185"/>
      <c r="F271" s="1"/>
      <c r="G271" s="1"/>
    </row>
    <row r="272" spans="3:7">
      <c r="C272" s="42"/>
      <c r="D272" s="185"/>
      <c r="F272" s="1"/>
      <c r="G272" s="1"/>
    </row>
    <row r="273" spans="3:7">
      <c r="C273" s="42"/>
      <c r="D273" s="185"/>
      <c r="F273" s="1"/>
      <c r="G273" s="1"/>
    </row>
    <row r="274" spans="3:7">
      <c r="C274" s="42"/>
      <c r="D274" s="185"/>
      <c r="F274" s="1"/>
      <c r="G274" s="1"/>
    </row>
    <row r="275" spans="3:7">
      <c r="C275" s="42"/>
      <c r="D275" s="185"/>
      <c r="F275" s="1"/>
      <c r="G275" s="1"/>
    </row>
    <row r="276" spans="3:7">
      <c r="C276" s="42"/>
      <c r="D276" s="185"/>
      <c r="F276" s="1"/>
      <c r="G276" s="1"/>
    </row>
    <row r="277" spans="3:7">
      <c r="C277" s="42"/>
      <c r="D277" s="185"/>
      <c r="F277" s="1"/>
      <c r="G277" s="1"/>
    </row>
    <row r="278" spans="3:7">
      <c r="C278" s="42"/>
      <c r="D278" s="185"/>
      <c r="F278" s="1"/>
      <c r="G278" s="1"/>
    </row>
    <row r="279" spans="3:7">
      <c r="C279" s="42"/>
      <c r="D279" s="185"/>
      <c r="F279" s="1"/>
      <c r="G279" s="1"/>
    </row>
    <row r="280" spans="3:7">
      <c r="C280" s="42"/>
      <c r="D280" s="185"/>
      <c r="F280" s="1"/>
      <c r="G280" s="1"/>
    </row>
    <row r="281" spans="3:7">
      <c r="C281" s="42"/>
      <c r="D281" s="185"/>
      <c r="F281" s="1"/>
      <c r="G281" s="1"/>
    </row>
    <row r="282" spans="3:7">
      <c r="C282" s="42"/>
      <c r="D282" s="185"/>
      <c r="F282" s="1"/>
      <c r="G282" s="1"/>
    </row>
    <row r="283" spans="3:7">
      <c r="C283" s="42"/>
      <c r="D283" s="185"/>
      <c r="F283" s="1"/>
      <c r="G283" s="1"/>
    </row>
    <row r="284" spans="3:7">
      <c r="C284" s="42"/>
      <c r="D284" s="185"/>
      <c r="F284" s="1"/>
      <c r="G284" s="1"/>
    </row>
    <row r="285" spans="3:7">
      <c r="C285" s="42"/>
      <c r="D285" s="185"/>
      <c r="F285" s="1"/>
      <c r="G285" s="1"/>
    </row>
    <row r="286" spans="3:7">
      <c r="C286" s="42"/>
      <c r="D286" s="185"/>
      <c r="F286" s="1"/>
      <c r="G286" s="1"/>
    </row>
    <row r="287" spans="3:7">
      <c r="C287" s="42"/>
      <c r="D287" s="185"/>
      <c r="F287" s="1"/>
      <c r="G287" s="1"/>
    </row>
    <row r="288" spans="3:7">
      <c r="C288" s="42"/>
      <c r="D288" s="185"/>
      <c r="F288" s="1"/>
      <c r="G288" s="1"/>
    </row>
    <row r="289" spans="3:7">
      <c r="C289" s="42"/>
      <c r="D289" s="185"/>
      <c r="F289" s="1"/>
      <c r="G289" s="1"/>
    </row>
    <row r="290" spans="3:7">
      <c r="C290" s="42"/>
      <c r="D290" s="185"/>
      <c r="F290" s="1"/>
      <c r="G290" s="1"/>
    </row>
    <row r="291" spans="3:7">
      <c r="C291" s="42"/>
      <c r="D291" s="185"/>
      <c r="F291" s="1"/>
      <c r="G291" s="1"/>
    </row>
    <row r="292" spans="3:7">
      <c r="C292" s="42"/>
      <c r="D292" s="185"/>
      <c r="F292" s="1"/>
      <c r="G292" s="1"/>
    </row>
    <row r="293" spans="3:7">
      <c r="C293" s="42"/>
      <c r="D293" s="185"/>
      <c r="F293" s="1"/>
      <c r="G293" s="1"/>
    </row>
    <row r="294" spans="3:7">
      <c r="C294" s="42"/>
      <c r="D294" s="185"/>
      <c r="F294" s="1"/>
      <c r="G294" s="1"/>
    </row>
    <row r="295" spans="3:7">
      <c r="C295" s="42"/>
      <c r="D295" s="185"/>
      <c r="F295" s="1"/>
      <c r="G295" s="1"/>
    </row>
    <row r="296" spans="3:7">
      <c r="C296" s="42"/>
      <c r="D296" s="185"/>
      <c r="F296" s="1"/>
      <c r="G296" s="1"/>
    </row>
    <row r="297" spans="3:7">
      <c r="C297" s="42"/>
      <c r="D297" s="185"/>
      <c r="F297" s="1"/>
      <c r="G297" s="1"/>
    </row>
    <row r="298" spans="3:7">
      <c r="C298" s="42"/>
      <c r="D298" s="185"/>
      <c r="F298" s="1"/>
      <c r="G298" s="1"/>
    </row>
    <row r="299" spans="3:7">
      <c r="C299" s="42"/>
      <c r="D299" s="185"/>
      <c r="F299" s="1"/>
      <c r="G299" s="1"/>
    </row>
    <row r="300" spans="3:7">
      <c r="C300" s="42"/>
      <c r="D300" s="185"/>
      <c r="F300" s="1"/>
      <c r="G300" s="1"/>
    </row>
    <row r="301" spans="3:7">
      <c r="C301" s="42"/>
      <c r="D301" s="185"/>
      <c r="F301" s="1"/>
      <c r="G301" s="1"/>
    </row>
    <row r="302" spans="3:7">
      <c r="C302" s="42"/>
      <c r="D302" s="185"/>
      <c r="F302" s="1"/>
      <c r="G302" s="1"/>
    </row>
    <row r="303" spans="3:7">
      <c r="C303" s="42"/>
      <c r="D303" s="185"/>
      <c r="F303" s="1"/>
      <c r="G303" s="1"/>
    </row>
    <row r="304" spans="3:7">
      <c r="C304" s="42"/>
      <c r="D304" s="185"/>
      <c r="F304" s="1"/>
      <c r="G304" s="1"/>
    </row>
    <row r="305" spans="3:7">
      <c r="C305" s="42"/>
      <c r="D305" s="185"/>
      <c r="F305" s="1"/>
      <c r="G305" s="1"/>
    </row>
    <row r="306" spans="3:7">
      <c r="C306" s="42"/>
      <c r="D306" s="185"/>
      <c r="F306" s="1"/>
      <c r="G306" s="1"/>
    </row>
    <row r="307" spans="3:7">
      <c r="C307" s="42"/>
      <c r="D307" s="185"/>
      <c r="F307" s="1"/>
      <c r="G307" s="1"/>
    </row>
    <row r="308" spans="3:7">
      <c r="C308" s="42"/>
      <c r="D308" s="185"/>
      <c r="F308" s="1"/>
      <c r="G308" s="1"/>
    </row>
    <row r="309" spans="3:7">
      <c r="C309" s="42"/>
      <c r="D309" s="185"/>
      <c r="F309" s="1"/>
      <c r="G309" s="1"/>
    </row>
    <row r="310" spans="3:7">
      <c r="C310" s="42"/>
      <c r="D310" s="185"/>
      <c r="F310" s="1"/>
      <c r="G310" s="1"/>
    </row>
    <row r="311" spans="3:7">
      <c r="C311" s="42"/>
      <c r="D311" s="185"/>
      <c r="F311" s="1"/>
      <c r="G311" s="1"/>
    </row>
    <row r="312" spans="3:7">
      <c r="C312" s="42"/>
      <c r="D312" s="185"/>
      <c r="F312" s="1"/>
      <c r="G312" s="1"/>
    </row>
    <row r="313" spans="3:7">
      <c r="C313" s="42"/>
      <c r="D313" s="185"/>
      <c r="F313" s="1"/>
      <c r="G313" s="1"/>
    </row>
    <row r="314" spans="3:7">
      <c r="C314" s="42"/>
      <c r="D314" s="185"/>
      <c r="F314" s="1"/>
      <c r="G314" s="1"/>
    </row>
    <row r="315" spans="3:7">
      <c r="C315" s="42"/>
      <c r="D315" s="185"/>
      <c r="F315" s="1"/>
      <c r="G315" s="1"/>
    </row>
    <row r="316" spans="3:7">
      <c r="C316" s="42"/>
      <c r="D316" s="185"/>
      <c r="F316" s="1"/>
      <c r="G316" s="1"/>
    </row>
    <row r="317" spans="3:7">
      <c r="C317" s="42"/>
      <c r="D317" s="185"/>
      <c r="F317" s="1"/>
      <c r="G317" s="1"/>
    </row>
    <row r="318" spans="3:7">
      <c r="C318" s="42"/>
      <c r="D318" s="185"/>
      <c r="F318" s="1"/>
      <c r="G318" s="1"/>
    </row>
    <row r="319" spans="3:7">
      <c r="C319" s="42"/>
      <c r="D319" s="185"/>
      <c r="F319" s="1"/>
      <c r="G319" s="1"/>
    </row>
    <row r="320" spans="3:7">
      <c r="C320" s="42"/>
      <c r="D320" s="185"/>
      <c r="F320" s="1"/>
      <c r="G320" s="1"/>
    </row>
    <row r="321" spans="3:7">
      <c r="C321" s="42"/>
      <c r="D321" s="185"/>
      <c r="F321" s="1"/>
      <c r="G321" s="1"/>
    </row>
    <row r="322" spans="3:7">
      <c r="C322" s="42"/>
      <c r="D322" s="185"/>
      <c r="F322" s="1"/>
      <c r="G322" s="1"/>
    </row>
    <row r="323" spans="3:7">
      <c r="C323" s="42"/>
      <c r="D323" s="185"/>
      <c r="F323" s="1"/>
      <c r="G323" s="1"/>
    </row>
    <row r="324" spans="3:7">
      <c r="C324" s="42"/>
      <c r="D324" s="185"/>
      <c r="F324" s="1"/>
      <c r="G324" s="1"/>
    </row>
    <row r="325" spans="3:7">
      <c r="C325" s="42"/>
      <c r="D325" s="185"/>
      <c r="F325" s="1"/>
      <c r="G325" s="1"/>
    </row>
    <row r="326" spans="3:7">
      <c r="C326" s="42"/>
      <c r="D326" s="185"/>
      <c r="F326" s="1"/>
      <c r="G326" s="1"/>
    </row>
    <row r="327" spans="3:7">
      <c r="C327" s="42"/>
      <c r="D327" s="185"/>
      <c r="F327" s="1"/>
      <c r="G327" s="1"/>
    </row>
    <row r="328" spans="3:7">
      <c r="C328" s="42"/>
      <c r="D328" s="185"/>
      <c r="F328" s="1"/>
      <c r="G328" s="1"/>
    </row>
    <row r="329" spans="3:7">
      <c r="C329" s="42"/>
      <c r="D329" s="185"/>
      <c r="F329" s="1"/>
      <c r="G329" s="1"/>
    </row>
    <row r="330" spans="3:7">
      <c r="C330" s="42"/>
      <c r="D330" s="185"/>
      <c r="F330" s="1"/>
      <c r="G330" s="1"/>
    </row>
    <row r="331" spans="3:7">
      <c r="C331" s="42"/>
      <c r="D331" s="185"/>
      <c r="F331" s="1"/>
      <c r="G331" s="1"/>
    </row>
    <row r="332" spans="3:7">
      <c r="C332" s="42"/>
      <c r="D332" s="185"/>
      <c r="F332" s="1"/>
      <c r="G332" s="1"/>
    </row>
    <row r="333" spans="3:7">
      <c r="C333" s="42"/>
      <c r="D333" s="185"/>
      <c r="F333" s="1"/>
      <c r="G333" s="1"/>
    </row>
    <row r="334" spans="3:7">
      <c r="C334" s="42"/>
      <c r="D334" s="185"/>
      <c r="F334" s="1"/>
      <c r="G334" s="1"/>
    </row>
    <row r="335" spans="3:7">
      <c r="C335" s="42"/>
      <c r="D335" s="185"/>
      <c r="F335" s="1"/>
      <c r="G335" s="1"/>
    </row>
    <row r="336" spans="3:7">
      <c r="C336" s="42"/>
      <c r="D336" s="185"/>
      <c r="F336" s="1"/>
      <c r="G336" s="1"/>
    </row>
    <row r="337" spans="3:7">
      <c r="C337" s="42"/>
      <c r="D337" s="185"/>
      <c r="F337" s="1"/>
      <c r="G337" s="1"/>
    </row>
    <row r="338" spans="3:7">
      <c r="C338" s="42"/>
      <c r="D338" s="185"/>
      <c r="F338" s="1"/>
      <c r="G338" s="1"/>
    </row>
    <row r="339" spans="3:7">
      <c r="C339" s="42"/>
      <c r="D339" s="185"/>
      <c r="F339" s="1"/>
      <c r="G339" s="1"/>
    </row>
    <row r="340" spans="3:7">
      <c r="C340" s="42"/>
      <c r="D340" s="185"/>
      <c r="F340" s="1"/>
      <c r="G340" s="1"/>
    </row>
    <row r="341" spans="3:7">
      <c r="C341" s="42"/>
      <c r="D341" s="185"/>
      <c r="F341" s="1"/>
      <c r="G341" s="1"/>
    </row>
    <row r="342" spans="3:7">
      <c r="C342" s="42"/>
      <c r="D342" s="185"/>
      <c r="F342" s="1"/>
      <c r="G342" s="1"/>
    </row>
    <row r="343" spans="3:7">
      <c r="C343" s="42"/>
      <c r="D343" s="185"/>
      <c r="F343" s="1"/>
      <c r="G343" s="1"/>
    </row>
    <row r="344" spans="3:7">
      <c r="C344" s="42"/>
      <c r="D344" s="185"/>
      <c r="F344" s="1"/>
      <c r="G344" s="1"/>
    </row>
    <row r="345" spans="3:7">
      <c r="C345" s="42"/>
      <c r="D345" s="185"/>
      <c r="F345" s="1"/>
      <c r="G345" s="1"/>
    </row>
    <row r="346" spans="3:7">
      <c r="C346" s="42"/>
      <c r="D346" s="185"/>
      <c r="F346" s="1"/>
      <c r="G346" s="1"/>
    </row>
    <row r="347" spans="3:7">
      <c r="C347" s="42"/>
      <c r="D347" s="185"/>
      <c r="F347" s="1"/>
      <c r="G347" s="1"/>
    </row>
    <row r="348" spans="3:7">
      <c r="C348" s="42"/>
      <c r="D348" s="185"/>
      <c r="F348" s="1"/>
      <c r="G348" s="1"/>
    </row>
    <row r="349" spans="3:7">
      <c r="C349" s="42"/>
      <c r="D349" s="185"/>
      <c r="F349" s="1"/>
      <c r="G349" s="1"/>
    </row>
    <row r="350" spans="3:7">
      <c r="C350" s="42"/>
      <c r="D350" s="185"/>
      <c r="F350" s="1"/>
      <c r="G350" s="1"/>
    </row>
    <row r="351" spans="3:7">
      <c r="C351" s="42"/>
      <c r="D351" s="185"/>
      <c r="F351" s="1"/>
      <c r="G351" s="1"/>
    </row>
    <row r="352" spans="3:7">
      <c r="C352" s="42"/>
      <c r="D352" s="185"/>
      <c r="F352" s="1"/>
      <c r="G352" s="1"/>
    </row>
    <row r="353" spans="3:7">
      <c r="C353" s="42"/>
      <c r="D353" s="185"/>
      <c r="F353" s="1"/>
      <c r="G353" s="1"/>
    </row>
    <row r="354" spans="3:7">
      <c r="C354" s="42"/>
      <c r="D354" s="185"/>
      <c r="F354" s="1"/>
      <c r="G354" s="1"/>
    </row>
    <row r="355" spans="3:7">
      <c r="C355" s="42"/>
      <c r="D355" s="185"/>
      <c r="F355" s="1"/>
      <c r="G355" s="1"/>
    </row>
    <row r="356" spans="3:7">
      <c r="C356" s="42"/>
      <c r="D356" s="185"/>
      <c r="F356" s="1"/>
      <c r="G356" s="1"/>
    </row>
    <row r="357" spans="3:7">
      <c r="C357" s="42"/>
      <c r="D357" s="185"/>
      <c r="F357" s="1"/>
      <c r="G357" s="1"/>
    </row>
    <row r="358" spans="3:7">
      <c r="C358" s="42"/>
      <c r="D358" s="185"/>
      <c r="F358" s="1"/>
      <c r="G358" s="1"/>
    </row>
    <row r="359" spans="3:7">
      <c r="C359" s="42"/>
      <c r="D359" s="185"/>
      <c r="F359" s="1"/>
      <c r="G359" s="1"/>
    </row>
    <row r="360" spans="3:7">
      <c r="C360" s="42"/>
      <c r="D360" s="185"/>
      <c r="F360" s="1"/>
      <c r="G360" s="1"/>
    </row>
    <row r="361" spans="3:7">
      <c r="C361" s="42"/>
      <c r="D361" s="185"/>
      <c r="F361" s="1"/>
      <c r="G361" s="1"/>
    </row>
    <row r="362" spans="3:7">
      <c r="C362" s="42"/>
      <c r="D362" s="185"/>
      <c r="F362" s="1"/>
      <c r="G362" s="1"/>
    </row>
    <row r="363" spans="3:7">
      <c r="C363" s="42"/>
      <c r="D363" s="185"/>
      <c r="F363" s="1"/>
      <c r="G363" s="1"/>
    </row>
    <row r="364" spans="3:7">
      <c r="C364" s="42"/>
      <c r="D364" s="185"/>
      <c r="F364" s="1"/>
      <c r="G364" s="1"/>
    </row>
    <row r="365" spans="3:7">
      <c r="C365" s="42"/>
      <c r="D365" s="185"/>
      <c r="F365" s="1"/>
      <c r="G365" s="1"/>
    </row>
    <row r="366" spans="3:7">
      <c r="C366" s="42"/>
      <c r="D366" s="185"/>
      <c r="F366" s="1"/>
      <c r="G366" s="1"/>
    </row>
    <row r="367" spans="3:7">
      <c r="C367" s="42"/>
      <c r="D367" s="185"/>
      <c r="F367" s="1"/>
      <c r="G367" s="1"/>
    </row>
    <row r="368" spans="3:7">
      <c r="C368" s="42"/>
      <c r="D368" s="185"/>
      <c r="F368" s="1"/>
      <c r="G368" s="1"/>
    </row>
    <row r="369" spans="3:7">
      <c r="C369" s="42"/>
      <c r="D369" s="185"/>
      <c r="F369" s="1"/>
      <c r="G369" s="1"/>
    </row>
    <row r="370" spans="3:7">
      <c r="C370" s="42"/>
      <c r="D370" s="185"/>
      <c r="F370" s="1"/>
      <c r="G370" s="1"/>
    </row>
    <row r="371" spans="3:7">
      <c r="C371" s="42"/>
      <c r="D371" s="185"/>
      <c r="F371" s="1"/>
      <c r="G371" s="1"/>
    </row>
    <row r="372" spans="3:7">
      <c r="C372" s="42"/>
      <c r="D372" s="185"/>
      <c r="F372" s="1"/>
      <c r="G372" s="1"/>
    </row>
    <row r="373" spans="3:7">
      <c r="C373" s="42"/>
      <c r="D373" s="185"/>
      <c r="F373" s="1"/>
      <c r="G373" s="1"/>
    </row>
    <row r="374" spans="3:7">
      <c r="C374" s="42"/>
      <c r="D374" s="185"/>
      <c r="F374" s="1"/>
      <c r="G374" s="1"/>
    </row>
    <row r="375" spans="3:7">
      <c r="C375" s="42"/>
      <c r="D375" s="185"/>
      <c r="F375" s="1"/>
      <c r="G375" s="1"/>
    </row>
    <row r="376" spans="3:7">
      <c r="C376" s="42"/>
      <c r="D376" s="185"/>
      <c r="F376" s="1"/>
      <c r="G376" s="1"/>
    </row>
    <row r="377" spans="3:7">
      <c r="C377" s="42"/>
      <c r="D377" s="185"/>
      <c r="F377" s="1"/>
      <c r="G377" s="1"/>
    </row>
    <row r="378" spans="3:7">
      <c r="C378" s="42"/>
      <c r="D378" s="185"/>
      <c r="F378" s="1"/>
      <c r="G378" s="1"/>
    </row>
    <row r="379" spans="3:7">
      <c r="C379" s="42"/>
      <c r="D379" s="185"/>
      <c r="F379" s="1"/>
      <c r="G379" s="1"/>
    </row>
    <row r="380" spans="3:7">
      <c r="C380" s="42"/>
      <c r="D380" s="185"/>
      <c r="F380" s="1"/>
      <c r="G380" s="1"/>
    </row>
    <row r="381" spans="3:7">
      <c r="C381" s="42"/>
      <c r="D381" s="185"/>
      <c r="F381" s="1"/>
      <c r="G381" s="1"/>
    </row>
    <row r="382" spans="3:7">
      <c r="C382" s="42"/>
      <c r="D382" s="185"/>
      <c r="F382" s="1"/>
      <c r="G382" s="1"/>
    </row>
    <row r="383" spans="3:7">
      <c r="C383" s="42"/>
      <c r="D383" s="185"/>
      <c r="F383" s="1"/>
      <c r="G383" s="1"/>
    </row>
    <row r="384" spans="3:7">
      <c r="C384" s="42"/>
      <c r="D384" s="185"/>
      <c r="F384" s="1"/>
      <c r="G384" s="1"/>
    </row>
    <row r="385" spans="3:7">
      <c r="C385" s="42"/>
      <c r="D385" s="185"/>
      <c r="F385" s="1"/>
      <c r="G385" s="1"/>
    </row>
    <row r="386" spans="3:7">
      <c r="C386" s="42"/>
      <c r="D386" s="185"/>
      <c r="F386" s="1"/>
      <c r="G386" s="1"/>
    </row>
    <row r="387" spans="3:7">
      <c r="C387" s="42"/>
      <c r="D387" s="185"/>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79"/>
  <sheetViews>
    <sheetView workbookViewId="0">
      <selection activeCell="F16" sqref="F16"/>
    </sheetView>
  </sheetViews>
  <sheetFormatPr defaultColWidth="16.85546875" defaultRowHeight="12.75"/>
  <cols>
    <col min="1" max="1" width="29.28515625" style="1" customWidth="1"/>
    <col min="2" max="2" width="9.7109375" style="23" bestFit="1" customWidth="1"/>
    <col min="3" max="3" width="7.5703125" style="1" customWidth="1"/>
    <col min="4" max="4" width="14" style="1" bestFit="1" customWidth="1"/>
    <col min="5" max="5" width="9.85546875" style="23" bestFit="1" customWidth="1"/>
    <col min="6" max="6" width="10.28515625" style="1" customWidth="1"/>
    <col min="7" max="7" width="12.7109375" style="1" customWidth="1"/>
    <col min="8" max="8" width="8.140625" style="1" bestFit="1" customWidth="1"/>
    <col min="9" max="16384" width="16.85546875" style="1"/>
  </cols>
  <sheetData>
    <row r="1" spans="1:8">
      <c r="A1" s="17" t="str">
        <f>RevReqSummary!A1</f>
        <v>PacifiCorp General Rate Case UE-140617</v>
      </c>
      <c r="D1" s="141"/>
      <c r="G1" s="144"/>
      <c r="H1" s="970"/>
    </row>
    <row r="2" spans="1:8">
      <c r="A2" s="17" t="str">
        <f>RevReqSummary!A2</f>
        <v>For The Twelve Months Ended December 2013 - Staff Revenue Requirement</v>
      </c>
      <c r="D2" s="141"/>
      <c r="G2" s="144"/>
      <c r="H2" s="144"/>
    </row>
    <row r="3" spans="1:8">
      <c r="A3" s="25" t="s">
        <v>528</v>
      </c>
      <c r="D3" s="141"/>
      <c r="G3" s="144"/>
      <c r="H3" s="144"/>
    </row>
    <row r="4" spans="1:8">
      <c r="A4" s="25" t="s">
        <v>490</v>
      </c>
      <c r="D4" s="141"/>
      <c r="G4" s="144"/>
      <c r="H4" s="144"/>
    </row>
    <row r="5" spans="1:8">
      <c r="B5" s="65"/>
      <c r="C5" s="65"/>
      <c r="D5" s="147" t="s">
        <v>131</v>
      </c>
      <c r="E5" s="65"/>
      <c r="F5" s="65"/>
      <c r="G5" s="146" t="s">
        <v>236</v>
      </c>
    </row>
    <row r="6" spans="1:8">
      <c r="B6" s="26" t="s">
        <v>132</v>
      </c>
      <c r="C6" s="26" t="s">
        <v>660</v>
      </c>
      <c r="D6" s="148" t="s">
        <v>134</v>
      </c>
      <c r="E6" s="26" t="s">
        <v>135</v>
      </c>
      <c r="F6" s="26" t="s">
        <v>136</v>
      </c>
      <c r="G6" s="149" t="s">
        <v>137</v>
      </c>
    </row>
    <row r="7" spans="1:8">
      <c r="A7" s="1" t="s">
        <v>199</v>
      </c>
      <c r="D7" s="141"/>
      <c r="F7" s="629"/>
      <c r="G7" s="144"/>
    </row>
    <row r="8" spans="1:8">
      <c r="A8" s="37" t="s">
        <v>324</v>
      </c>
      <c r="B8" s="30">
        <v>500</v>
      </c>
      <c r="C8" s="30" t="s">
        <v>140</v>
      </c>
      <c r="D8" s="971">
        <v>-108784.01319927853</v>
      </c>
      <c r="E8" s="30" t="s">
        <v>214</v>
      </c>
      <c r="F8" s="33">
        <f t="shared" ref="F8:F67" si="0">INDEX(WCAAllocations,IFERROR(MATCH(E8,WCAFactors,0),2),IFERROR(MATCH(E8,WCAStates,0),4))</f>
        <v>0</v>
      </c>
      <c r="G8" s="144">
        <f>D8*F8</f>
        <v>0</v>
      </c>
    </row>
    <row r="9" spans="1:8">
      <c r="A9" s="37" t="s">
        <v>324</v>
      </c>
      <c r="B9" s="30">
        <v>500</v>
      </c>
      <c r="C9" s="30" t="s">
        <v>140</v>
      </c>
      <c r="D9" s="971">
        <v>-5.5300491282735189</v>
      </c>
      <c r="E9" s="30" t="s">
        <v>203</v>
      </c>
      <c r="F9" s="33">
        <f t="shared" si="0"/>
        <v>0.23084885646883446</v>
      </c>
      <c r="G9" s="144">
        <f t="shared" ref="G9:G67" si="1">D9*F9</f>
        <v>-1.2766055174784168</v>
      </c>
    </row>
    <row r="10" spans="1:8">
      <c r="A10" s="37" t="s">
        <v>324</v>
      </c>
      <c r="B10" s="30">
        <v>500</v>
      </c>
      <c r="C10" s="30" t="s">
        <v>140</v>
      </c>
      <c r="D10" s="963">
        <v>-7477.1996832047225</v>
      </c>
      <c r="E10" s="30" t="s">
        <v>231</v>
      </c>
      <c r="F10" s="33">
        <f t="shared" si="0"/>
        <v>0.22953887558714423</v>
      </c>
      <c r="G10" s="144">
        <f t="shared" si="1"/>
        <v>-1716.3080078233629</v>
      </c>
    </row>
    <row r="11" spans="1:8">
      <c r="A11" s="37" t="s">
        <v>324</v>
      </c>
      <c r="B11" s="30">
        <v>500</v>
      </c>
      <c r="C11" s="30" t="s">
        <v>140</v>
      </c>
      <c r="D11" s="959">
        <v>-42.036914037444966</v>
      </c>
      <c r="E11" s="30" t="s">
        <v>146</v>
      </c>
      <c r="F11" s="33">
        <f t="shared" si="0"/>
        <v>7.9057273540331513E-2</v>
      </c>
      <c r="G11" s="144">
        <f t="shared" si="1"/>
        <v>-3.3233238118496882</v>
      </c>
    </row>
    <row r="12" spans="1:8">
      <c r="A12" s="37" t="s">
        <v>325</v>
      </c>
      <c r="B12" s="30">
        <v>501</v>
      </c>
      <c r="C12" s="30" t="s">
        <v>140</v>
      </c>
      <c r="D12" s="959">
        <v>-1582.6143259548192</v>
      </c>
      <c r="E12" s="30" t="s">
        <v>261</v>
      </c>
      <c r="F12" s="33">
        <f t="shared" si="0"/>
        <v>0</v>
      </c>
      <c r="G12" s="144">
        <f t="shared" si="1"/>
        <v>0</v>
      </c>
      <c r="H12" s="144"/>
    </row>
    <row r="13" spans="1:8">
      <c r="A13" s="37" t="s">
        <v>325</v>
      </c>
      <c r="B13" s="30">
        <v>501</v>
      </c>
      <c r="C13" s="30" t="s">
        <v>140</v>
      </c>
      <c r="D13" s="959">
        <v>-981.72168054257281</v>
      </c>
      <c r="E13" s="30" t="s">
        <v>232</v>
      </c>
      <c r="F13" s="33">
        <f t="shared" si="0"/>
        <v>0.22612324164332259</v>
      </c>
      <c r="G13" s="144">
        <f t="shared" si="1"/>
        <v>-221.99008879581694</v>
      </c>
      <c r="H13" s="144"/>
    </row>
    <row r="14" spans="1:8">
      <c r="A14" s="37" t="s">
        <v>325</v>
      </c>
      <c r="B14" s="30">
        <v>501</v>
      </c>
      <c r="C14" s="30" t="s">
        <v>140</v>
      </c>
      <c r="D14" s="959">
        <v>-447.24948095512667</v>
      </c>
      <c r="E14" s="30" t="s">
        <v>148</v>
      </c>
      <c r="F14" s="33">
        <f t="shared" si="0"/>
        <v>7.5697931989234163E-2</v>
      </c>
      <c r="G14" s="144">
        <f t="shared" si="1"/>
        <v>-33.855860791561462</v>
      </c>
    </row>
    <row r="15" spans="1:8">
      <c r="A15" s="37" t="s">
        <v>326</v>
      </c>
      <c r="B15" s="30">
        <v>512</v>
      </c>
      <c r="C15" s="30" t="s">
        <v>140</v>
      </c>
      <c r="D15" s="959">
        <v>-44697.944679276821</v>
      </c>
      <c r="E15" s="30" t="s">
        <v>214</v>
      </c>
      <c r="F15" s="33">
        <f t="shared" si="0"/>
        <v>0</v>
      </c>
      <c r="G15" s="144">
        <f t="shared" si="1"/>
        <v>0</v>
      </c>
    </row>
    <row r="16" spans="1:8">
      <c r="A16" s="37" t="s">
        <v>326</v>
      </c>
      <c r="B16" s="30">
        <v>512</v>
      </c>
      <c r="C16" s="30" t="s">
        <v>140</v>
      </c>
      <c r="D16" s="959">
        <v>279.70544481509614</v>
      </c>
      <c r="E16" s="30" t="s">
        <v>203</v>
      </c>
      <c r="F16" s="33">
        <f t="shared" si="0"/>
        <v>0.23084885646883446</v>
      </c>
      <c r="G16" s="144">
        <f t="shared" si="1"/>
        <v>64.569682083671623</v>
      </c>
      <c r="H16" s="144"/>
    </row>
    <row r="17" spans="1:9">
      <c r="A17" s="37" t="s">
        <v>326</v>
      </c>
      <c r="B17" s="30">
        <v>512</v>
      </c>
      <c r="C17" s="30" t="s">
        <v>140</v>
      </c>
      <c r="D17" s="963">
        <v>-29624.900698921723</v>
      </c>
      <c r="E17" s="30" t="s">
        <v>231</v>
      </c>
      <c r="F17" s="33">
        <f t="shared" si="0"/>
        <v>0.22953887558714423</v>
      </c>
      <c r="G17" s="144">
        <f t="shared" si="1"/>
        <v>-6800.0663958112955</v>
      </c>
    </row>
    <row r="18" spans="1:9">
      <c r="A18" s="37"/>
      <c r="B18" s="30"/>
      <c r="C18" s="30"/>
      <c r="D18" s="207">
        <f>SUM(D8:D17)</f>
        <v>-193363.50526648492</v>
      </c>
      <c r="E18" s="200"/>
      <c r="F18" s="201"/>
      <c r="G18" s="208">
        <f>SUM(G8:G17)</f>
        <v>-8712.2506004676943</v>
      </c>
    </row>
    <row r="19" spans="1:9">
      <c r="A19" s="37"/>
      <c r="B19" s="30"/>
      <c r="C19" s="30"/>
      <c r="E19" s="1"/>
    </row>
    <row r="20" spans="1:9">
      <c r="A20" s="37" t="s">
        <v>327</v>
      </c>
      <c r="B20" s="30">
        <v>535</v>
      </c>
      <c r="C20" s="30" t="s">
        <v>140</v>
      </c>
      <c r="D20" s="959">
        <v>-9363.426148062259</v>
      </c>
      <c r="E20" s="30" t="s">
        <v>214</v>
      </c>
      <c r="F20" s="33">
        <f t="shared" si="0"/>
        <v>0</v>
      </c>
      <c r="G20" s="144">
        <f t="shared" si="1"/>
        <v>0</v>
      </c>
    </row>
    <row r="21" spans="1:9">
      <c r="A21" s="37" t="s">
        <v>327</v>
      </c>
      <c r="B21" s="30">
        <v>535</v>
      </c>
      <c r="C21" s="30" t="s">
        <v>140</v>
      </c>
      <c r="D21" s="959">
        <v>-12361.752950779708</v>
      </c>
      <c r="E21" s="30" t="s">
        <v>203</v>
      </c>
      <c r="F21" s="33">
        <f t="shared" si="0"/>
        <v>0.23084885646883446</v>
      </c>
      <c r="G21" s="144">
        <f t="shared" si="1"/>
        <v>-2853.6965326377358</v>
      </c>
      <c r="H21" s="144"/>
    </row>
    <row r="22" spans="1:9">
      <c r="A22" s="37" t="s">
        <v>328</v>
      </c>
      <c r="B22" s="30">
        <v>545</v>
      </c>
      <c r="C22" s="30" t="s">
        <v>140</v>
      </c>
      <c r="D22" s="959">
        <v>-1852.3982706006304</v>
      </c>
      <c r="E22" s="30" t="s">
        <v>214</v>
      </c>
      <c r="F22" s="33">
        <f t="shared" si="0"/>
        <v>0</v>
      </c>
      <c r="G22" s="144">
        <f t="shared" si="1"/>
        <v>0</v>
      </c>
    </row>
    <row r="23" spans="1:9">
      <c r="A23" s="37" t="s">
        <v>328</v>
      </c>
      <c r="B23" s="30">
        <v>545</v>
      </c>
      <c r="C23" s="30" t="s">
        <v>140</v>
      </c>
      <c r="D23" s="959">
        <v>-5093.2026284641197</v>
      </c>
      <c r="E23" s="30" t="s">
        <v>203</v>
      </c>
      <c r="F23" s="33">
        <f t="shared" si="0"/>
        <v>0.23084885646883446</v>
      </c>
      <c r="G23" s="144">
        <f t="shared" si="1"/>
        <v>-1175.760002545004</v>
      </c>
      <c r="H23" s="144"/>
    </row>
    <row r="24" spans="1:9">
      <c r="A24" s="37"/>
      <c r="B24" s="30"/>
      <c r="C24" s="30"/>
      <c r="D24" s="207">
        <f>SUM(D20:D23)</f>
        <v>-28670.77999790672</v>
      </c>
      <c r="E24" s="200"/>
      <c r="F24" s="201"/>
      <c r="G24" s="208">
        <f>SUM(G20:G23)</f>
        <v>-4029.4565351827396</v>
      </c>
      <c r="H24" s="144"/>
    </row>
    <row r="25" spans="1:9">
      <c r="A25" s="37"/>
      <c r="B25" s="30"/>
      <c r="C25" s="30"/>
      <c r="E25" s="1"/>
      <c r="H25" s="144"/>
    </row>
    <row r="26" spans="1:9">
      <c r="A26" s="37" t="s">
        <v>329</v>
      </c>
      <c r="B26" s="30">
        <v>548</v>
      </c>
      <c r="C26" s="30" t="s">
        <v>140</v>
      </c>
      <c r="D26" s="959">
        <v>-6306.367348838121</v>
      </c>
      <c r="E26" s="30" t="s">
        <v>214</v>
      </c>
      <c r="F26" s="33">
        <f t="shared" si="0"/>
        <v>0</v>
      </c>
      <c r="G26" s="144">
        <f t="shared" si="1"/>
        <v>0</v>
      </c>
    </row>
    <row r="27" spans="1:9" ht="15.75">
      <c r="A27" s="37" t="s">
        <v>329</v>
      </c>
      <c r="B27" s="30">
        <v>548</v>
      </c>
      <c r="C27" s="30" t="s">
        <v>140</v>
      </c>
      <c r="D27" s="959">
        <v>-2357.9931307477445</v>
      </c>
      <c r="E27" s="30" t="s">
        <v>203</v>
      </c>
      <c r="F27" s="33">
        <f t="shared" si="0"/>
        <v>0.23084885646883446</v>
      </c>
      <c r="G27" s="144">
        <f t="shared" si="1"/>
        <v>-544.34001779448374</v>
      </c>
      <c r="I27" s="972"/>
    </row>
    <row r="28" spans="1:9" ht="15.75">
      <c r="A28" s="37" t="s">
        <v>329</v>
      </c>
      <c r="B28" s="30">
        <v>548</v>
      </c>
      <c r="C28" s="30" t="s">
        <v>140</v>
      </c>
      <c r="D28" s="959">
        <v>-2913.7501474996934</v>
      </c>
      <c r="E28" s="30" t="s">
        <v>146</v>
      </c>
      <c r="F28" s="33">
        <f t="shared" si="0"/>
        <v>7.9057273540331513E-2</v>
      </c>
      <c r="G28" s="144">
        <f t="shared" si="1"/>
        <v>-230.35314243906456</v>
      </c>
      <c r="I28" s="972"/>
    </row>
    <row r="29" spans="1:9">
      <c r="A29" s="37" t="s">
        <v>329</v>
      </c>
      <c r="B29" s="30">
        <v>548</v>
      </c>
      <c r="C29" s="30" t="s">
        <v>140</v>
      </c>
      <c r="D29" s="959">
        <v>-5.1743147904132121</v>
      </c>
      <c r="E29" s="30" t="s">
        <v>171</v>
      </c>
      <c r="F29" s="33">
        <f t="shared" si="0"/>
        <v>0</v>
      </c>
      <c r="G29" s="144">
        <f t="shared" si="1"/>
        <v>0</v>
      </c>
    </row>
    <row r="30" spans="1:9">
      <c r="A30" s="37" t="s">
        <v>330</v>
      </c>
      <c r="B30" s="30">
        <v>553</v>
      </c>
      <c r="C30" s="30" t="s">
        <v>140</v>
      </c>
      <c r="D30" s="959">
        <v>-2078.3463906364477</v>
      </c>
      <c r="E30" s="30" t="s">
        <v>214</v>
      </c>
      <c r="F30" s="33">
        <f t="shared" si="0"/>
        <v>0</v>
      </c>
      <c r="G30" s="144">
        <f t="shared" si="1"/>
        <v>0</v>
      </c>
      <c r="H30" s="144"/>
    </row>
    <row r="31" spans="1:9">
      <c r="A31" s="37" t="s">
        <v>330</v>
      </c>
      <c r="B31" s="30">
        <v>553</v>
      </c>
      <c r="C31" s="30" t="s">
        <v>140</v>
      </c>
      <c r="D31" s="959">
        <v>-1206.5314614619183</v>
      </c>
      <c r="E31" s="30" t="s">
        <v>203</v>
      </c>
      <c r="F31" s="33">
        <f t="shared" si="0"/>
        <v>0.23084885646883446</v>
      </c>
      <c r="G31" s="144">
        <f t="shared" si="1"/>
        <v>-278.52640817215547</v>
      </c>
      <c r="H31" s="144"/>
    </row>
    <row r="32" spans="1:9">
      <c r="A32" s="37" t="s">
        <v>687</v>
      </c>
      <c r="B32" s="30">
        <v>557</v>
      </c>
      <c r="C32" s="30" t="s">
        <v>140</v>
      </c>
      <c r="D32" s="962">
        <v>-15097.716583050058</v>
      </c>
      <c r="E32" s="30" t="s">
        <v>214</v>
      </c>
      <c r="F32" s="33">
        <f t="shared" si="0"/>
        <v>0</v>
      </c>
      <c r="G32" s="144">
        <f t="shared" si="1"/>
        <v>0</v>
      </c>
      <c r="H32" s="144"/>
    </row>
    <row r="33" spans="1:9">
      <c r="A33" s="37" t="s">
        <v>687</v>
      </c>
      <c r="B33" s="30">
        <v>557</v>
      </c>
      <c r="C33" s="30" t="s">
        <v>140</v>
      </c>
      <c r="D33" s="959">
        <v>-211.43481385800771</v>
      </c>
      <c r="E33" s="30" t="s">
        <v>203</v>
      </c>
      <c r="F33" s="33">
        <f t="shared" si="0"/>
        <v>0.23084885646883446</v>
      </c>
      <c r="G33" s="144">
        <f t="shared" si="1"/>
        <v>-48.809484996821958</v>
      </c>
    </row>
    <row r="34" spans="1:9">
      <c r="A34" s="37" t="s">
        <v>687</v>
      </c>
      <c r="B34" s="30">
        <v>557</v>
      </c>
      <c r="C34" s="30" t="s">
        <v>140</v>
      </c>
      <c r="D34" s="959">
        <v>-2521.4811209491631</v>
      </c>
      <c r="E34" s="30" t="s">
        <v>231</v>
      </c>
      <c r="F34" s="33">
        <f t="shared" si="0"/>
        <v>0.22953887558714423</v>
      </c>
      <c r="G34" s="144">
        <f t="shared" si="1"/>
        <v>-578.7779413168829</v>
      </c>
    </row>
    <row r="35" spans="1:9">
      <c r="A35" s="37" t="s">
        <v>687</v>
      </c>
      <c r="B35" s="30">
        <v>557</v>
      </c>
      <c r="C35" s="30" t="s">
        <v>140</v>
      </c>
      <c r="D35" s="959">
        <v>-40236.371955282702</v>
      </c>
      <c r="E35" s="356" t="s">
        <v>146</v>
      </c>
      <c r="F35" s="33">
        <f t="shared" si="0"/>
        <v>7.9057273540331513E-2</v>
      </c>
      <c r="G35" s="144">
        <f t="shared" si="1"/>
        <v>-3180.977863939308</v>
      </c>
    </row>
    <row r="36" spans="1:9">
      <c r="A36" s="37"/>
      <c r="B36" s="30"/>
      <c r="C36" s="30"/>
      <c r="D36" s="207">
        <f>SUM(D26:D35)</f>
        <v>-72935.167267114273</v>
      </c>
      <c r="E36" s="200"/>
      <c r="F36" s="201"/>
      <c r="G36" s="208">
        <f>SUM(G26:G35)</f>
        <v>-4861.784858658717</v>
      </c>
    </row>
    <row r="37" spans="1:9">
      <c r="A37" s="37"/>
      <c r="B37" s="30"/>
      <c r="C37" s="30"/>
      <c r="E37" s="1"/>
    </row>
    <row r="38" spans="1:9">
      <c r="A38" s="37" t="s">
        <v>331</v>
      </c>
      <c r="B38" s="30">
        <v>560</v>
      </c>
      <c r="C38" s="30" t="s">
        <v>140</v>
      </c>
      <c r="D38" s="959">
        <v>-6272.1956373918138</v>
      </c>
      <c r="E38" s="30" t="s">
        <v>214</v>
      </c>
      <c r="F38" s="33">
        <f t="shared" si="0"/>
        <v>0</v>
      </c>
      <c r="G38" s="144">
        <f t="shared" si="1"/>
        <v>0</v>
      </c>
    </row>
    <row r="39" spans="1:9">
      <c r="A39" s="37" t="s">
        <v>331</v>
      </c>
      <c r="B39" s="30">
        <v>560</v>
      </c>
      <c r="C39" s="30" t="s">
        <v>140</v>
      </c>
      <c r="D39" s="959">
        <v>-1149.1135449313183</v>
      </c>
      <c r="E39" s="30" t="s">
        <v>203</v>
      </c>
      <c r="F39" s="33">
        <f t="shared" si="0"/>
        <v>0.23084885646883446</v>
      </c>
      <c r="G39" s="144">
        <f t="shared" si="1"/>
        <v>-265.27154780024347</v>
      </c>
    </row>
    <row r="40" spans="1:9">
      <c r="A40" s="37" t="s">
        <v>331</v>
      </c>
      <c r="B40" s="30">
        <v>560</v>
      </c>
      <c r="C40" s="30" t="s">
        <v>140</v>
      </c>
      <c r="D40" s="959">
        <v>-47.424136836298771</v>
      </c>
      <c r="E40" s="30" t="s">
        <v>231</v>
      </c>
      <c r="F40" s="33">
        <f t="shared" si="0"/>
        <v>0.22953887558714423</v>
      </c>
      <c r="G40" s="144">
        <f t="shared" si="1"/>
        <v>-10.885683045094888</v>
      </c>
    </row>
    <row r="41" spans="1:9">
      <c r="A41" s="37" t="s">
        <v>331</v>
      </c>
      <c r="B41" s="30">
        <v>560</v>
      </c>
      <c r="C41" s="30" t="s">
        <v>140</v>
      </c>
      <c r="D41" s="959">
        <v>-23458.766650907517</v>
      </c>
      <c r="E41" s="30" t="s">
        <v>146</v>
      </c>
      <c r="F41" s="33">
        <f t="shared" si="0"/>
        <v>7.9057273540331513E-2</v>
      </c>
      <c r="G41" s="144">
        <f t="shared" si="1"/>
        <v>-1854.5861320396023</v>
      </c>
      <c r="H41" s="144"/>
    </row>
    <row r="42" spans="1:9">
      <c r="A42" s="37" t="s">
        <v>332</v>
      </c>
      <c r="B42" s="30">
        <v>571</v>
      </c>
      <c r="C42" s="30" t="s">
        <v>140</v>
      </c>
      <c r="D42" s="959">
        <v>1305.0476383422765</v>
      </c>
      <c r="E42" s="30" t="s">
        <v>214</v>
      </c>
      <c r="F42" s="33">
        <f t="shared" si="0"/>
        <v>0</v>
      </c>
      <c r="G42" s="144">
        <f t="shared" si="1"/>
        <v>0</v>
      </c>
    </row>
    <row r="43" spans="1:9">
      <c r="A43" s="37" t="s">
        <v>332</v>
      </c>
      <c r="B43" s="30">
        <v>571</v>
      </c>
      <c r="C43" s="30" t="s">
        <v>140</v>
      </c>
      <c r="D43" s="959">
        <v>-1291.071433638954</v>
      </c>
      <c r="E43" s="30" t="s">
        <v>203</v>
      </c>
      <c r="F43" s="33">
        <f t="shared" si="0"/>
        <v>0.23084885646883446</v>
      </c>
      <c r="G43" s="144">
        <f t="shared" si="1"/>
        <v>-298.04236407513122</v>
      </c>
      <c r="I43" s="43"/>
    </row>
    <row r="44" spans="1:9">
      <c r="A44" s="37" t="s">
        <v>332</v>
      </c>
      <c r="B44" s="30">
        <v>571</v>
      </c>
      <c r="C44" s="30" t="s">
        <v>140</v>
      </c>
      <c r="D44" s="959">
        <v>-131.16764183398095</v>
      </c>
      <c r="E44" s="30" t="s">
        <v>231</v>
      </c>
      <c r="F44" s="33">
        <f t="shared" si="0"/>
        <v>0.22953887558714423</v>
      </c>
      <c r="G44" s="144">
        <f t="shared" si="1"/>
        <v>-30.108073019989249</v>
      </c>
    </row>
    <row r="45" spans="1:9">
      <c r="A45" s="37" t="s">
        <v>332</v>
      </c>
      <c r="B45" s="30">
        <v>571</v>
      </c>
      <c r="C45" s="30" t="s">
        <v>140</v>
      </c>
      <c r="D45" s="963">
        <v>-666.44849474922137</v>
      </c>
      <c r="E45" s="30" t="s">
        <v>146</v>
      </c>
      <c r="F45" s="33">
        <f t="shared" si="0"/>
        <v>7.9057273540331513E-2</v>
      </c>
      <c r="G45" s="144">
        <f t="shared" si="1"/>
        <v>-52.687600949931387</v>
      </c>
    </row>
    <row r="46" spans="1:9">
      <c r="A46" s="37"/>
      <c r="B46" s="30"/>
      <c r="C46" s="30"/>
      <c r="D46" s="207">
        <f>SUM(D38:D45)</f>
        <v>-31711.139901946826</v>
      </c>
      <c r="E46" s="200"/>
      <c r="F46" s="201"/>
      <c r="G46" s="207">
        <f>SUM(G38:G45)</f>
        <v>-2511.5814009299925</v>
      </c>
    </row>
    <row r="47" spans="1:9">
      <c r="A47" s="37"/>
      <c r="B47" s="30"/>
      <c r="C47" s="30"/>
      <c r="E47" s="1"/>
    </row>
    <row r="48" spans="1:9">
      <c r="A48" s="37" t="s">
        <v>333</v>
      </c>
      <c r="B48" s="30">
        <v>580</v>
      </c>
      <c r="C48" s="30" t="s">
        <v>140</v>
      </c>
      <c r="D48" s="959">
        <v>-37221.739557426321</v>
      </c>
      <c r="E48" s="30" t="s">
        <v>141</v>
      </c>
      <c r="F48" s="33" t="s">
        <v>797</v>
      </c>
      <c r="G48" s="144">
        <v>-2849.1167116991014</v>
      </c>
    </row>
    <row r="49" spans="1:8">
      <c r="A49" s="37" t="s">
        <v>333</v>
      </c>
      <c r="B49" s="30">
        <v>580</v>
      </c>
      <c r="C49" s="30" t="s">
        <v>140</v>
      </c>
      <c r="D49" s="959">
        <v>-47045.963183237356</v>
      </c>
      <c r="E49" s="30" t="s">
        <v>151</v>
      </c>
      <c r="F49" s="33">
        <f t="shared" si="0"/>
        <v>6.2803307592478125E-2</v>
      </c>
      <c r="G49" s="144">
        <f t="shared" si="1"/>
        <v>-2954.6420967812569</v>
      </c>
    </row>
    <row r="50" spans="1:8">
      <c r="A50" s="37" t="s">
        <v>200</v>
      </c>
      <c r="B50" s="30">
        <v>593</v>
      </c>
      <c r="C50" s="30" t="s">
        <v>140</v>
      </c>
      <c r="D50" s="962">
        <v>-1.8310325297849527E-11</v>
      </c>
      <c r="E50" s="30" t="s">
        <v>164</v>
      </c>
      <c r="F50" s="33">
        <f t="shared" si="0"/>
        <v>0</v>
      </c>
      <c r="G50" s="144">
        <f t="shared" si="1"/>
        <v>0</v>
      </c>
      <c r="H50" s="144"/>
    </row>
    <row r="51" spans="1:8">
      <c r="A51" s="37" t="s">
        <v>200</v>
      </c>
      <c r="B51" s="30">
        <v>593</v>
      </c>
      <c r="C51" s="30" t="s">
        <v>140</v>
      </c>
      <c r="D51" s="959">
        <v>-61040.98096803137</v>
      </c>
      <c r="E51" s="30" t="s">
        <v>141</v>
      </c>
      <c r="F51" s="33" t="s">
        <v>797</v>
      </c>
      <c r="G51" s="144">
        <v>-3609.3538359642348</v>
      </c>
    </row>
    <row r="52" spans="1:8">
      <c r="A52" s="37" t="s">
        <v>200</v>
      </c>
      <c r="B52" s="30">
        <v>593</v>
      </c>
      <c r="C52" s="30" t="s">
        <v>140</v>
      </c>
      <c r="D52" s="959">
        <v>-9216.6995477550136</v>
      </c>
      <c r="E52" s="30" t="s">
        <v>151</v>
      </c>
      <c r="F52" s="33">
        <f t="shared" si="0"/>
        <v>6.2803307592478125E-2</v>
      </c>
      <c r="G52" s="144">
        <f t="shared" si="1"/>
        <v>-578.83921668511209</v>
      </c>
    </row>
    <row r="53" spans="1:8">
      <c r="A53" s="37"/>
      <c r="B53" s="30"/>
      <c r="C53" s="30"/>
      <c r="D53" s="207">
        <f>SUM(D48:D52)</f>
        <v>-154525.38325645006</v>
      </c>
      <c r="E53" s="200"/>
      <c r="F53" s="201"/>
      <c r="G53" s="207">
        <f>SUM(G48:G52)</f>
        <v>-9991.9518611297044</v>
      </c>
    </row>
    <row r="54" spans="1:8">
      <c r="A54" s="37"/>
      <c r="B54" s="30"/>
      <c r="C54" s="30"/>
      <c r="E54" s="1"/>
    </row>
    <row r="55" spans="1:8">
      <c r="A55" s="37" t="s">
        <v>334</v>
      </c>
      <c r="B55" s="30">
        <v>903</v>
      </c>
      <c r="C55" s="30" t="s">
        <v>140</v>
      </c>
      <c r="D55" s="959">
        <v>-52642.223598934652</v>
      </c>
      <c r="E55" s="30" t="s">
        <v>152</v>
      </c>
      <c r="F55" s="33">
        <f t="shared" si="0"/>
        <v>6.9173575695716499E-2</v>
      </c>
      <c r="G55" s="144">
        <f t="shared" si="1"/>
        <v>-3641.4508389117395</v>
      </c>
      <c r="H55" s="144"/>
    </row>
    <row r="56" spans="1:8">
      <c r="A56" s="37" t="s">
        <v>334</v>
      </c>
      <c r="B56" s="30">
        <v>903</v>
      </c>
      <c r="C56" s="30" t="s">
        <v>140</v>
      </c>
      <c r="D56" s="959">
        <v>-30408.663495572488</v>
      </c>
      <c r="E56" s="30" t="s">
        <v>141</v>
      </c>
      <c r="F56" s="33" t="s">
        <v>797</v>
      </c>
      <c r="G56" s="144">
        <v>-1767.9432368221974</v>
      </c>
    </row>
    <row r="57" spans="1:8">
      <c r="A57" s="37"/>
      <c r="B57" s="30"/>
      <c r="C57" s="30"/>
      <c r="D57" s="207">
        <f>SUM(D55:D56)</f>
        <v>-83050.887094507139</v>
      </c>
      <c r="E57" s="200"/>
      <c r="F57" s="201"/>
      <c r="G57" s="207">
        <f>SUM(G55:G56)</f>
        <v>-5409.3940757339369</v>
      </c>
    </row>
    <row r="58" spans="1:8">
      <c r="A58" s="37"/>
      <c r="B58" s="30"/>
      <c r="C58" s="30"/>
      <c r="E58" s="1"/>
    </row>
    <row r="59" spans="1:8">
      <c r="A59" s="37" t="s">
        <v>335</v>
      </c>
      <c r="B59" s="30">
        <v>908</v>
      </c>
      <c r="C59" s="30" t="s">
        <v>140</v>
      </c>
      <c r="D59" s="959">
        <v>-3859.2347670648232</v>
      </c>
      <c r="E59" s="30" t="s">
        <v>152</v>
      </c>
      <c r="F59" s="33">
        <f t="shared" si="0"/>
        <v>6.9173575695716499E-2</v>
      </c>
      <c r="G59" s="144">
        <f t="shared" si="1"/>
        <v>-266.95706828709939</v>
      </c>
    </row>
    <row r="60" spans="1:8">
      <c r="A60" s="37" t="s">
        <v>335</v>
      </c>
      <c r="B60" s="30">
        <v>908</v>
      </c>
      <c r="C60" s="30" t="s">
        <v>140</v>
      </c>
      <c r="D60" s="973">
        <v>-103.23819284972666</v>
      </c>
      <c r="E60" s="30" t="s">
        <v>164</v>
      </c>
      <c r="F60" s="33">
        <f t="shared" si="0"/>
        <v>0</v>
      </c>
      <c r="G60" s="144">
        <f t="shared" si="1"/>
        <v>0</v>
      </c>
      <c r="H60" s="144"/>
    </row>
    <row r="61" spans="1:8">
      <c r="A61" s="37" t="s">
        <v>335</v>
      </c>
      <c r="B61" s="30">
        <v>908</v>
      </c>
      <c r="C61" s="30" t="s">
        <v>140</v>
      </c>
      <c r="D61" s="959">
        <v>-9528.7286736595324</v>
      </c>
      <c r="E61" s="30" t="s">
        <v>141</v>
      </c>
      <c r="F61" s="33" t="s">
        <v>797</v>
      </c>
      <c r="G61" s="144">
        <v>-563.09326962152409</v>
      </c>
    </row>
    <row r="62" spans="1:8">
      <c r="A62" s="37"/>
      <c r="B62" s="30"/>
      <c r="C62" s="30"/>
      <c r="D62" s="207">
        <f>SUM(D59:D61)</f>
        <v>-13491.201633574083</v>
      </c>
      <c r="E62" s="200"/>
      <c r="F62" s="201"/>
      <c r="G62" s="207">
        <f>SUM(G59:G61)</f>
        <v>-830.05033790862353</v>
      </c>
    </row>
    <row r="63" spans="1:8">
      <c r="A63" s="37"/>
      <c r="B63" s="30"/>
      <c r="C63" s="30"/>
      <c r="E63" s="1"/>
    </row>
    <row r="64" spans="1:8">
      <c r="A64" s="37" t="s">
        <v>26</v>
      </c>
      <c r="B64" s="30">
        <v>920</v>
      </c>
      <c r="C64" s="30" t="s">
        <v>140</v>
      </c>
      <c r="D64" s="959">
        <v>-3673.4039978824253</v>
      </c>
      <c r="E64" s="30" t="s">
        <v>141</v>
      </c>
      <c r="F64" s="33" t="s">
        <v>797</v>
      </c>
      <c r="G64" s="144">
        <v>-875.25760919000084</v>
      </c>
      <c r="H64" s="144"/>
    </row>
    <row r="65" spans="1:9">
      <c r="A65" s="37" t="s">
        <v>26</v>
      </c>
      <c r="B65" s="30">
        <v>920</v>
      </c>
      <c r="C65" s="30" t="s">
        <v>140</v>
      </c>
      <c r="D65" s="959">
        <v>-147295.36118625986</v>
      </c>
      <c r="E65" s="30" t="s">
        <v>130</v>
      </c>
      <c r="F65" s="33">
        <f t="shared" si="0"/>
        <v>6.8539355270203509E-2</v>
      </c>
      <c r="G65" s="144">
        <f t="shared" si="1"/>
        <v>-10095.52908999801</v>
      </c>
      <c r="H65" s="144"/>
    </row>
    <row r="66" spans="1:9">
      <c r="A66" s="37" t="s">
        <v>26</v>
      </c>
      <c r="B66" s="30">
        <v>935</v>
      </c>
      <c r="C66" s="30" t="s">
        <v>140</v>
      </c>
      <c r="D66" s="959">
        <v>49.768962347170927</v>
      </c>
      <c r="E66" s="30" t="s">
        <v>141</v>
      </c>
      <c r="F66" s="33" t="s">
        <v>797</v>
      </c>
      <c r="G66" s="144">
        <v>4.4505948122099091E-2</v>
      </c>
      <c r="H66" s="144"/>
    </row>
    <row r="67" spans="1:9">
      <c r="A67" s="37" t="s">
        <v>26</v>
      </c>
      <c r="B67" s="30">
        <v>935</v>
      </c>
      <c r="C67" s="30" t="s">
        <v>140</v>
      </c>
      <c r="D67" s="959">
        <v>-3965.156489074418</v>
      </c>
      <c r="E67" s="30" t="s">
        <v>130</v>
      </c>
      <c r="F67" s="33">
        <f t="shared" si="0"/>
        <v>6.8539355270203509E-2</v>
      </c>
      <c r="G67" s="144">
        <f t="shared" si="1"/>
        <v>-271.76926930662438</v>
      </c>
      <c r="H67" s="144"/>
    </row>
    <row r="68" spans="1:9">
      <c r="A68" s="140"/>
      <c r="B68" s="974"/>
      <c r="D68" s="207">
        <f>SUM(D64:D67)</f>
        <v>-154884.1527108695</v>
      </c>
      <c r="F68" s="629"/>
      <c r="G68" s="207">
        <f>SUM(G64:G67)</f>
        <v>-11242.511462546512</v>
      </c>
      <c r="H68" s="144"/>
    </row>
    <row r="69" spans="1:9">
      <c r="B69" s="974"/>
      <c r="D69" s="141"/>
      <c r="F69" s="629"/>
      <c r="G69" s="144"/>
      <c r="H69" s="144"/>
    </row>
    <row r="70" spans="1:9" ht="13.5" thickBot="1">
      <c r="A70" s="1" t="s">
        <v>3</v>
      </c>
      <c r="B70" s="974"/>
      <c r="D70" s="836">
        <f>D18+D24+D36+D46+D53+D57+D62+D68</f>
        <v>-732632.21712885355</v>
      </c>
      <c r="F70" s="629"/>
      <c r="G70" s="836">
        <f>G18+G24+G36+G46+G53+G57+G62+G68</f>
        <v>-47588.981132557921</v>
      </c>
      <c r="H70" s="144"/>
    </row>
    <row r="71" spans="1:9" ht="13.5" thickTop="1">
      <c r="B71" s="974"/>
      <c r="D71" s="141"/>
      <c r="F71" s="629"/>
      <c r="G71" s="144"/>
      <c r="H71" s="144"/>
    </row>
    <row r="72" spans="1:9">
      <c r="A72" s="25" t="s">
        <v>145</v>
      </c>
      <c r="B72" s="974"/>
      <c r="D72" s="141"/>
      <c r="F72" s="629"/>
      <c r="G72" s="144"/>
      <c r="H72" s="144"/>
    </row>
    <row r="73" spans="1:9" ht="13.15" customHeight="1">
      <c r="A73" s="1403" t="s">
        <v>688</v>
      </c>
      <c r="B73" s="1403"/>
      <c r="C73" s="1403"/>
      <c r="D73" s="1403"/>
      <c r="E73" s="1403"/>
      <c r="F73" s="1403"/>
      <c r="G73" s="1403"/>
      <c r="H73" s="1317"/>
      <c r="I73" s="1317"/>
    </row>
    <row r="74" spans="1:9">
      <c r="A74" s="1403"/>
      <c r="B74" s="1403"/>
      <c r="C74" s="1403"/>
      <c r="D74" s="1403"/>
      <c r="E74" s="1403"/>
      <c r="F74" s="1403"/>
      <c r="G74" s="1403"/>
      <c r="H74" s="1317"/>
      <c r="I74" s="1317"/>
    </row>
    <row r="75" spans="1:9">
      <c r="A75" s="1403"/>
      <c r="B75" s="1403"/>
      <c r="C75" s="1403"/>
      <c r="D75" s="1403"/>
      <c r="E75" s="1403"/>
      <c r="F75" s="1403"/>
      <c r="G75" s="1403"/>
      <c r="H75" s="29"/>
      <c r="I75" s="29"/>
    </row>
    <row r="76" spans="1:9">
      <c r="A76" s="1403"/>
      <c r="B76" s="1403"/>
      <c r="C76" s="1403"/>
      <c r="D76" s="1403"/>
      <c r="E76" s="1403"/>
      <c r="F76" s="1403"/>
      <c r="G76" s="1403"/>
      <c r="H76" s="29"/>
      <c r="I76" s="29"/>
    </row>
    <row r="77" spans="1:9">
      <c r="A77" s="1403"/>
      <c r="B77" s="1403"/>
      <c r="C77" s="1403"/>
      <c r="D77" s="1403"/>
      <c r="E77" s="1403"/>
      <c r="F77" s="1403"/>
      <c r="G77" s="1403"/>
      <c r="H77" s="29"/>
      <c r="I77" s="29"/>
    </row>
    <row r="78" spans="1:9">
      <c r="A78" s="29"/>
      <c r="B78" s="30"/>
      <c r="C78" s="29"/>
      <c r="D78" s="29"/>
      <c r="E78" s="30"/>
      <c r="F78" s="29"/>
      <c r="G78" s="29"/>
      <c r="H78" s="29"/>
      <c r="I78" s="29"/>
    </row>
    <row r="79" spans="1:9">
      <c r="A79" s="29"/>
      <c r="B79" s="30"/>
      <c r="C79" s="29"/>
      <c r="D79" s="29"/>
      <c r="E79" s="30"/>
      <c r="F79" s="29"/>
      <c r="G79" s="29"/>
      <c r="H79" s="29"/>
      <c r="I79" s="29"/>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K89"/>
  <sheetViews>
    <sheetView topLeftCell="A25" workbookViewId="0">
      <selection activeCell="F16" sqref="F16"/>
    </sheetView>
  </sheetViews>
  <sheetFormatPr defaultColWidth="9.140625" defaultRowHeight="12.75"/>
  <cols>
    <col min="1" max="1" width="3.42578125" style="703" customWidth="1"/>
    <col min="2" max="2" width="35.85546875" style="4" customWidth="1"/>
    <col min="3" max="3" width="4.85546875" style="1248" bestFit="1" customWidth="1"/>
    <col min="4" max="4" width="12.28515625" style="976" bestFit="1" customWidth="1"/>
    <col min="5" max="5" width="13.28515625" style="976" bestFit="1" customWidth="1"/>
    <col min="6" max="6" width="14.7109375" style="976" bestFit="1" customWidth="1"/>
    <col min="7" max="7" width="12.28515625" style="4" bestFit="1" customWidth="1"/>
    <col min="8" max="8" width="13.28515625" style="4" bestFit="1" customWidth="1"/>
    <col min="9" max="10" width="12.85546875" style="4" bestFit="1" customWidth="1"/>
    <col min="11" max="11" width="12.28515625" style="6" bestFit="1" customWidth="1"/>
    <col min="12" max="16384" width="9.140625" style="4"/>
  </cols>
  <sheetData>
    <row r="1" spans="1:11">
      <c r="A1" s="1379" t="str">
        <f>RevReqSummary!A1</f>
        <v>PacifiCorp General Rate Case UE-140617</v>
      </c>
      <c r="B1" s="1379"/>
      <c r="C1" s="1379"/>
      <c r="D1" s="1379"/>
      <c r="E1" s="1379"/>
      <c r="F1" s="1379"/>
      <c r="G1" s="1379"/>
      <c r="H1" s="1379"/>
      <c r="I1" s="1379"/>
      <c r="J1" s="1379"/>
      <c r="K1" s="1379"/>
    </row>
    <row r="2" spans="1:11">
      <c r="A2" s="1379" t="str">
        <f>RevReqSummary!A2</f>
        <v>For The Twelve Months Ended December 2013 - Staff Revenue Requirement</v>
      </c>
      <c r="B2" s="1379"/>
      <c r="C2" s="1379"/>
      <c r="D2" s="1379"/>
      <c r="E2" s="1379"/>
      <c r="F2" s="1379"/>
      <c r="G2" s="1379"/>
      <c r="H2" s="1379"/>
      <c r="I2" s="1379"/>
      <c r="J2" s="1379"/>
      <c r="K2" s="1379"/>
    </row>
    <row r="3" spans="1:11">
      <c r="A3" s="1379" t="s">
        <v>665</v>
      </c>
      <c r="B3" s="1379"/>
      <c r="C3" s="1379"/>
      <c r="D3" s="1379"/>
      <c r="E3" s="1379"/>
      <c r="F3" s="1379"/>
      <c r="G3" s="1379"/>
      <c r="H3" s="1379"/>
      <c r="I3" s="1379"/>
      <c r="J3" s="1379"/>
      <c r="K3" s="1379"/>
    </row>
    <row r="4" spans="1:11">
      <c r="A4" s="1226"/>
      <c r="B4" s="1225"/>
      <c r="C4" s="1239"/>
      <c r="D4" s="979"/>
      <c r="E4" s="977" t="s">
        <v>114</v>
      </c>
      <c r="F4" s="978"/>
      <c r="G4" s="980"/>
      <c r="H4" s="981" t="s">
        <v>107</v>
      </c>
      <c r="I4" s="982"/>
      <c r="J4" s="981" t="s">
        <v>664</v>
      </c>
      <c r="K4" s="1175"/>
    </row>
    <row r="5" spans="1:11">
      <c r="A5" s="1227"/>
      <c r="B5" s="985"/>
      <c r="C5" s="1240"/>
      <c r="D5" s="984"/>
      <c r="E5" s="1113"/>
      <c r="F5" s="983" t="s">
        <v>4</v>
      </c>
      <c r="G5" s="984"/>
      <c r="H5" s="1113"/>
      <c r="I5" s="1114" t="s">
        <v>4</v>
      </c>
      <c r="J5" s="1113" t="s">
        <v>4</v>
      </c>
      <c r="K5" s="993" t="s">
        <v>4</v>
      </c>
    </row>
    <row r="6" spans="1:11">
      <c r="A6" s="1227"/>
      <c r="B6" s="985"/>
      <c r="C6" s="1240" t="s">
        <v>91</v>
      </c>
      <c r="D6" s="985" t="s">
        <v>92</v>
      </c>
      <c r="E6" s="1113" t="s">
        <v>93</v>
      </c>
      <c r="F6" s="983" t="s">
        <v>94</v>
      </c>
      <c r="G6" s="985" t="s">
        <v>92</v>
      </c>
      <c r="H6" s="1113" t="s">
        <v>93</v>
      </c>
      <c r="I6" s="1114" t="s">
        <v>94</v>
      </c>
      <c r="J6" s="1113" t="s">
        <v>94</v>
      </c>
      <c r="K6" s="993" t="s">
        <v>94</v>
      </c>
    </row>
    <row r="7" spans="1:11" ht="15.75">
      <c r="A7" s="1227"/>
      <c r="B7" s="987"/>
      <c r="C7" s="1241" t="s">
        <v>95</v>
      </c>
      <c r="D7" s="987" t="s">
        <v>96</v>
      </c>
      <c r="E7" s="1113" t="s">
        <v>96</v>
      </c>
      <c r="F7" s="983" t="s">
        <v>804</v>
      </c>
      <c r="G7" s="987" t="s">
        <v>96</v>
      </c>
      <c r="H7" s="986" t="s">
        <v>96</v>
      </c>
      <c r="I7" s="988" t="s">
        <v>96</v>
      </c>
      <c r="J7" s="986" t="s">
        <v>96</v>
      </c>
      <c r="K7" s="989" t="s">
        <v>1</v>
      </c>
    </row>
    <row r="8" spans="1:11">
      <c r="B8" s="1113"/>
      <c r="C8" s="1242"/>
      <c r="D8" s="990"/>
      <c r="E8" s="991"/>
      <c r="F8" s="1208"/>
      <c r="G8" s="990"/>
      <c r="H8" s="991"/>
      <c r="I8" s="992"/>
      <c r="J8" s="982"/>
      <c r="K8" s="989"/>
    </row>
    <row r="9" spans="1:11">
      <c r="A9" s="703">
        <v>1</v>
      </c>
      <c r="B9" s="1214" t="s">
        <v>97</v>
      </c>
      <c r="C9" s="1243"/>
      <c r="D9" s="1215">
        <v>40389777</v>
      </c>
      <c r="E9" s="1216">
        <v>788256374</v>
      </c>
      <c r="F9" s="1217">
        <f>ROUND((-D9+(E9*$F$89))/$F$81,0)</f>
        <v>32401496</v>
      </c>
      <c r="G9" s="1215">
        <f>RevReqSummary!C38</f>
        <v>40389777</v>
      </c>
      <c r="H9" s="1216">
        <f>+RevReqSummary!C64</f>
        <v>788256374</v>
      </c>
      <c r="I9" s="1217">
        <f>ROUND((-G9+(H9*$F$89))/$F$81,0)</f>
        <v>32401496</v>
      </c>
      <c r="J9" s="1217">
        <f>ROUND((-G9+(H9*$K$89))/$I$81,0)</f>
        <v>24632593</v>
      </c>
      <c r="K9" s="1218">
        <f>J9-F9</f>
        <v>-7768903</v>
      </c>
    </row>
    <row r="10" spans="1:11">
      <c r="A10" s="703">
        <f>+A9+1</f>
        <v>2</v>
      </c>
      <c r="B10" s="996" t="s">
        <v>6</v>
      </c>
      <c r="C10" s="1242"/>
      <c r="D10" s="997"/>
      <c r="E10" s="998"/>
      <c r="F10" s="999"/>
      <c r="G10" s="997"/>
      <c r="H10" s="998"/>
      <c r="I10" s="999"/>
      <c r="J10" s="999"/>
      <c r="K10" s="995"/>
    </row>
    <row r="11" spans="1:11">
      <c r="A11" s="703">
        <f t="shared" ref="A11:A74" si="0">+A10+1</f>
        <v>3</v>
      </c>
      <c r="B11" s="1113" t="s">
        <v>113</v>
      </c>
      <c r="C11" s="1242"/>
      <c r="D11" s="997"/>
      <c r="E11" s="998"/>
      <c r="F11" s="999"/>
      <c r="G11" s="997"/>
      <c r="H11" s="998"/>
      <c r="I11" s="999"/>
      <c r="J11" s="999"/>
      <c r="K11" s="995"/>
    </row>
    <row r="12" spans="1:11">
      <c r="A12" s="703">
        <f t="shared" si="0"/>
        <v>4</v>
      </c>
      <c r="B12" s="650" t="s">
        <v>126</v>
      </c>
      <c r="C12" s="1242" t="s">
        <v>427</v>
      </c>
      <c r="D12" s="1000">
        <v>-3700295.2699999996</v>
      </c>
      <c r="E12" s="819">
        <v>0</v>
      </c>
      <c r="F12" s="1199">
        <f t="shared" ref="F12:F20" si="1">ROUND((-D12+(E12*$F$89))/$F$81,0)</f>
        <v>5973999</v>
      </c>
      <c r="G12" s="1000">
        <f>'Adj - Total'!D36</f>
        <v>-3700295.2699999996</v>
      </c>
      <c r="H12" s="819">
        <f>'Adj - Total'!D63</f>
        <v>0</v>
      </c>
      <c r="I12" s="1199">
        <f t="shared" ref="I12:I20" si="2">ROUND((-G12+(H12*$F$89))/$F$81,0)</f>
        <v>5973999</v>
      </c>
      <c r="J12" s="994">
        <f t="shared" ref="J12:J20" si="3">ROUND((-G12+(H12*$K$89))/$I$81,0)</f>
        <v>5972553</v>
      </c>
      <c r="K12" s="1250">
        <f t="shared" ref="K12:K20" si="4">J12-F12</f>
        <v>-1446</v>
      </c>
    </row>
    <row r="13" spans="1:11">
      <c r="A13" s="703">
        <f t="shared" si="0"/>
        <v>5</v>
      </c>
      <c r="B13" s="650" t="s">
        <v>127</v>
      </c>
      <c r="C13" s="1242" t="s">
        <v>428</v>
      </c>
      <c r="D13" s="1000">
        <v>-4827929.4312790008</v>
      </c>
      <c r="E13" s="819">
        <v>0</v>
      </c>
      <c r="F13" s="1199">
        <f t="shared" si="1"/>
        <v>7794526</v>
      </c>
      <c r="G13" s="1000">
        <f>'Adj - Total'!E36</f>
        <v>-4827929.4312790008</v>
      </c>
      <c r="H13" s="819">
        <f>'Adj - Total'!E63</f>
        <v>0</v>
      </c>
      <c r="I13" s="1199">
        <f t="shared" si="2"/>
        <v>7794526</v>
      </c>
      <c r="J13" s="994">
        <f t="shared" si="3"/>
        <v>7792639</v>
      </c>
      <c r="K13" s="1250">
        <f t="shared" si="4"/>
        <v>-1887</v>
      </c>
    </row>
    <row r="14" spans="1:11">
      <c r="A14" s="703">
        <f t="shared" si="0"/>
        <v>6</v>
      </c>
      <c r="B14" s="650" t="s">
        <v>239</v>
      </c>
      <c r="C14" s="1242" t="s">
        <v>386</v>
      </c>
      <c r="D14" s="1000">
        <v>11066785.820802085</v>
      </c>
      <c r="E14" s="819">
        <v>0</v>
      </c>
      <c r="F14" s="1199">
        <f t="shared" si="1"/>
        <v>-17866945</v>
      </c>
      <c r="G14" s="1000">
        <f>'Adj - Total'!F36</f>
        <v>11066785.820802085</v>
      </c>
      <c r="H14" s="819">
        <f>'Adj - Total'!F63</f>
        <v>0</v>
      </c>
      <c r="I14" s="1199">
        <f t="shared" si="2"/>
        <v>-17866945</v>
      </c>
      <c r="J14" s="994">
        <f t="shared" si="3"/>
        <v>-17862619</v>
      </c>
      <c r="K14" s="1250">
        <f t="shared" si="4"/>
        <v>4326</v>
      </c>
    </row>
    <row r="15" spans="1:11">
      <c r="A15" s="703">
        <f t="shared" si="0"/>
        <v>7</v>
      </c>
      <c r="B15" s="650" t="s">
        <v>638</v>
      </c>
      <c r="C15" s="1242" t="s">
        <v>387</v>
      </c>
      <c r="D15" s="1000">
        <v>481473.65960381489</v>
      </c>
      <c r="E15" s="819">
        <v>-249924.71937285986</v>
      </c>
      <c r="F15" s="1199">
        <f t="shared" si="1"/>
        <v>-808271</v>
      </c>
      <c r="G15" s="1000">
        <f>'Adj - Total'!G36</f>
        <v>481473.65960381489</v>
      </c>
      <c r="H15" s="819">
        <f>'Adj - Total'!G63</f>
        <v>-249924.71937285986</v>
      </c>
      <c r="I15" s="1199">
        <f t="shared" si="2"/>
        <v>-808271</v>
      </c>
      <c r="J15" s="994">
        <f t="shared" si="3"/>
        <v>-805614</v>
      </c>
      <c r="K15" s="1250">
        <f t="shared" si="4"/>
        <v>2657</v>
      </c>
    </row>
    <row r="16" spans="1:11">
      <c r="A16" s="703">
        <f t="shared" si="0"/>
        <v>8</v>
      </c>
      <c r="B16" s="650" t="s">
        <v>425</v>
      </c>
      <c r="C16" s="1242" t="s">
        <v>317</v>
      </c>
      <c r="D16" s="1000">
        <v>-1464670.1310724937</v>
      </c>
      <c r="E16" s="819">
        <v>0</v>
      </c>
      <c r="F16" s="1199">
        <f t="shared" si="1"/>
        <v>2364660</v>
      </c>
      <c r="G16" s="1000">
        <f>'Adj - Total'!H36</f>
        <v>-1464670.1310724937</v>
      </c>
      <c r="H16" s="819">
        <f>'Adj - Total'!H63</f>
        <v>0</v>
      </c>
      <c r="I16" s="1199">
        <f t="shared" si="2"/>
        <v>2364660</v>
      </c>
      <c r="J16" s="994">
        <f t="shared" si="3"/>
        <v>2364087</v>
      </c>
      <c r="K16" s="1250">
        <f t="shared" si="4"/>
        <v>-573</v>
      </c>
    </row>
    <row r="17" spans="1:11">
      <c r="A17" s="703">
        <f t="shared" si="0"/>
        <v>9</v>
      </c>
      <c r="B17" s="650" t="s">
        <v>129</v>
      </c>
      <c r="C17" s="1242" t="s">
        <v>388</v>
      </c>
      <c r="D17" s="1000">
        <v>225696</v>
      </c>
      <c r="E17" s="819">
        <v>0</v>
      </c>
      <c r="F17" s="1199">
        <f t="shared" si="1"/>
        <v>-364378</v>
      </c>
      <c r="G17" s="1000">
        <f>'Adj - Total'!I36</f>
        <v>225696</v>
      </c>
      <c r="H17" s="819">
        <f>'Adj - Total'!I63</f>
        <v>0</v>
      </c>
      <c r="I17" s="1199">
        <f t="shared" si="2"/>
        <v>-364378</v>
      </c>
      <c r="J17" s="994">
        <f t="shared" si="3"/>
        <v>-364290</v>
      </c>
      <c r="K17" s="1250">
        <f t="shared" si="4"/>
        <v>88</v>
      </c>
    </row>
    <row r="18" spans="1:11">
      <c r="A18" s="703">
        <f t="shared" si="0"/>
        <v>10</v>
      </c>
      <c r="B18" s="650" t="s">
        <v>457</v>
      </c>
      <c r="C18" s="1242" t="s">
        <v>456</v>
      </c>
      <c r="D18" s="1000">
        <v>26861.822449383042</v>
      </c>
      <c r="E18" s="819">
        <v>0</v>
      </c>
      <c r="F18" s="1199">
        <f t="shared" si="1"/>
        <v>-43367</v>
      </c>
      <c r="G18" s="1000">
        <f>'Adj - Total'!J36</f>
        <v>26861.822449383042</v>
      </c>
      <c r="H18" s="819">
        <f>'Adj - Total'!J63</f>
        <v>0</v>
      </c>
      <c r="I18" s="1199">
        <f t="shared" si="2"/>
        <v>-43367</v>
      </c>
      <c r="J18" s="994">
        <f t="shared" si="3"/>
        <v>-43357</v>
      </c>
      <c r="K18" s="1250">
        <f t="shared" si="4"/>
        <v>10</v>
      </c>
    </row>
    <row r="19" spans="1:11">
      <c r="A19" s="703">
        <f t="shared" si="0"/>
        <v>11</v>
      </c>
      <c r="B19" s="650" t="s">
        <v>522</v>
      </c>
      <c r="C19" s="1242" t="s">
        <v>619</v>
      </c>
      <c r="D19" s="1000">
        <v>55085.666666666672</v>
      </c>
      <c r="E19" s="819">
        <v>0</v>
      </c>
      <c r="F19" s="1199">
        <f t="shared" si="1"/>
        <v>-88934</v>
      </c>
      <c r="G19" s="1000">
        <f>'Adj - Total'!K36</f>
        <v>0</v>
      </c>
      <c r="H19" s="819">
        <f>'Adj - Total'!K63</f>
        <v>0</v>
      </c>
      <c r="I19" s="1199">
        <f t="shared" si="2"/>
        <v>0</v>
      </c>
      <c r="J19" s="994">
        <f t="shared" si="3"/>
        <v>0</v>
      </c>
      <c r="K19" s="1250">
        <f t="shared" si="4"/>
        <v>88934</v>
      </c>
    </row>
    <row r="20" spans="1:11">
      <c r="A20" s="703">
        <f t="shared" si="0"/>
        <v>12</v>
      </c>
      <c r="B20" s="650" t="s">
        <v>1028</v>
      </c>
      <c r="C20" s="1242" t="s">
        <v>1029</v>
      </c>
      <c r="D20" s="1000">
        <v>16827.581406835918</v>
      </c>
      <c r="E20" s="819">
        <v>0</v>
      </c>
      <c r="F20" s="1199">
        <f t="shared" si="1"/>
        <v>-27168</v>
      </c>
      <c r="G20" s="1000">
        <f>'Adj - Total'!L36</f>
        <v>16827.581406835918</v>
      </c>
      <c r="H20" s="819">
        <f>'Adj - Total'!L63</f>
        <v>0</v>
      </c>
      <c r="I20" s="1199">
        <f t="shared" si="2"/>
        <v>-27168</v>
      </c>
      <c r="J20" s="994">
        <f t="shared" si="3"/>
        <v>-27161</v>
      </c>
      <c r="K20" s="1250">
        <f t="shared" si="4"/>
        <v>7</v>
      </c>
    </row>
    <row r="21" spans="1:11">
      <c r="A21" s="703">
        <f t="shared" si="0"/>
        <v>13</v>
      </c>
      <c r="B21" s="650"/>
      <c r="C21" s="1242"/>
      <c r="D21" s="1000"/>
      <c r="E21" s="819"/>
      <c r="F21" s="1001"/>
      <c r="G21" s="984"/>
      <c r="H21" s="6"/>
      <c r="I21" s="1001"/>
      <c r="J21" s="1001"/>
      <c r="K21" s="1250"/>
    </row>
    <row r="22" spans="1:11">
      <c r="A22" s="703">
        <f t="shared" si="0"/>
        <v>14</v>
      </c>
      <c r="B22" s="1113" t="s">
        <v>110</v>
      </c>
      <c r="C22" s="1242"/>
      <c r="D22" s="1000"/>
      <c r="E22" s="819"/>
      <c r="F22" s="1001"/>
      <c r="G22" s="984"/>
      <c r="H22" s="6"/>
      <c r="I22" s="1001"/>
      <c r="J22" s="1001"/>
      <c r="K22" s="1250"/>
    </row>
    <row r="23" spans="1:11">
      <c r="A23" s="703">
        <f t="shared" si="0"/>
        <v>15</v>
      </c>
      <c r="B23" s="650" t="s">
        <v>124</v>
      </c>
      <c r="C23" s="1242" t="s">
        <v>320</v>
      </c>
      <c r="D23" s="1000">
        <v>14373.998075557345</v>
      </c>
      <c r="E23" s="819">
        <v>0</v>
      </c>
      <c r="F23" s="1199">
        <f t="shared" ref="F23:F35" si="5">ROUND((-D23+(E23*$F$89))/$F$81,0)</f>
        <v>-23206</v>
      </c>
      <c r="G23" s="1000">
        <f>'Adj - Total'!M36</f>
        <v>14373.998075557345</v>
      </c>
      <c r="H23" s="819">
        <f>'Adj - Total'!M63</f>
        <v>0</v>
      </c>
      <c r="I23" s="1199">
        <f t="shared" ref="I23:I35" si="6">ROUND((-G23+(H23*$F$89))/$F$81,0)</f>
        <v>-23206</v>
      </c>
      <c r="J23" s="994">
        <f t="shared" ref="J23:J35" si="7">ROUND((-G23+(H23*$K$89))/$I$81,0)</f>
        <v>-23201</v>
      </c>
      <c r="K23" s="1250">
        <f t="shared" ref="K23:K35" si="8">J23-F23</f>
        <v>5</v>
      </c>
    </row>
    <row r="24" spans="1:11">
      <c r="A24" s="703">
        <f t="shared" si="0"/>
        <v>16</v>
      </c>
      <c r="B24" s="650" t="s">
        <v>642</v>
      </c>
      <c r="C24" s="1242" t="s">
        <v>323</v>
      </c>
      <c r="D24" s="1000">
        <v>30932.981132557921</v>
      </c>
      <c r="E24" s="819">
        <v>0</v>
      </c>
      <c r="F24" s="1199">
        <f t="shared" si="5"/>
        <v>-49940</v>
      </c>
      <c r="G24" s="1000">
        <f>'Adj - Total'!N36</f>
        <v>30932.981132557921</v>
      </c>
      <c r="H24" s="819">
        <f>'Adj - Total'!N63</f>
        <v>0</v>
      </c>
      <c r="I24" s="1199">
        <f t="shared" si="6"/>
        <v>-49940</v>
      </c>
      <c r="J24" s="994">
        <f t="shared" si="7"/>
        <v>-49928</v>
      </c>
      <c r="K24" s="1250">
        <f t="shared" si="8"/>
        <v>12</v>
      </c>
    </row>
    <row r="25" spans="1:11">
      <c r="A25" s="703">
        <f t="shared" si="0"/>
        <v>17</v>
      </c>
      <c r="B25" s="650" t="s">
        <v>426</v>
      </c>
      <c r="C25" s="1242" t="s">
        <v>336</v>
      </c>
      <c r="D25" s="1000">
        <v>-801978.53661093162</v>
      </c>
      <c r="E25" s="819">
        <v>0</v>
      </c>
      <c r="F25" s="1199">
        <f t="shared" si="5"/>
        <v>1294767</v>
      </c>
      <c r="G25" s="1000">
        <f>'Adj - Total'!O36</f>
        <v>-801978.53661093162</v>
      </c>
      <c r="H25" s="819">
        <f>'Adj - Total'!O63</f>
        <v>0</v>
      </c>
      <c r="I25" s="1199">
        <f t="shared" si="6"/>
        <v>1294767</v>
      </c>
      <c r="J25" s="994">
        <f t="shared" si="7"/>
        <v>1294453</v>
      </c>
      <c r="K25" s="1250">
        <f t="shared" si="8"/>
        <v>-314</v>
      </c>
    </row>
    <row r="26" spans="1:11">
      <c r="A26" s="703">
        <f t="shared" si="0"/>
        <v>18</v>
      </c>
      <c r="B26" s="650" t="s">
        <v>529</v>
      </c>
      <c r="C26" s="1242" t="s">
        <v>338</v>
      </c>
      <c r="D26" s="1000">
        <v>3471.7537227038374</v>
      </c>
      <c r="E26" s="819">
        <v>0</v>
      </c>
      <c r="F26" s="1199">
        <f t="shared" si="5"/>
        <v>-5605</v>
      </c>
      <c r="G26" s="1000">
        <f>'Adj - Total'!P36</f>
        <v>3471.7537227038374</v>
      </c>
      <c r="H26" s="819">
        <f>'Adj - Total'!P63</f>
        <v>0</v>
      </c>
      <c r="I26" s="1199">
        <f t="shared" si="6"/>
        <v>-5605</v>
      </c>
      <c r="J26" s="994">
        <f t="shared" si="7"/>
        <v>-5604</v>
      </c>
      <c r="K26" s="1250">
        <f t="shared" si="8"/>
        <v>1</v>
      </c>
    </row>
    <row r="27" spans="1:11">
      <c r="A27" s="703">
        <f t="shared" si="0"/>
        <v>19</v>
      </c>
      <c r="B27" s="650" t="s">
        <v>125</v>
      </c>
      <c r="C27" s="1242" t="s">
        <v>389</v>
      </c>
      <c r="D27" s="1000">
        <v>-101033.59276701676</v>
      </c>
      <c r="E27" s="819">
        <v>0</v>
      </c>
      <c r="F27" s="1199">
        <f t="shared" si="5"/>
        <v>163115</v>
      </c>
      <c r="G27" s="1000">
        <f>'Adj - Total'!Q36</f>
        <v>-101033.59276701676</v>
      </c>
      <c r="H27" s="819">
        <f>'Adj - Total'!Q63</f>
        <v>0</v>
      </c>
      <c r="I27" s="1199">
        <f t="shared" si="6"/>
        <v>163115</v>
      </c>
      <c r="J27" s="994">
        <f t="shared" si="7"/>
        <v>163076</v>
      </c>
      <c r="K27" s="1250">
        <f t="shared" si="8"/>
        <v>-39</v>
      </c>
    </row>
    <row r="28" spans="1:11">
      <c r="A28" s="703">
        <f t="shared" si="0"/>
        <v>20</v>
      </c>
      <c r="B28" s="650" t="s">
        <v>423</v>
      </c>
      <c r="C28" s="1242" t="s">
        <v>339</v>
      </c>
      <c r="D28" s="1000">
        <v>6923689.5899999999</v>
      </c>
      <c r="E28" s="819">
        <v>0</v>
      </c>
      <c r="F28" s="1199">
        <f t="shared" si="5"/>
        <v>-11178059</v>
      </c>
      <c r="G28" s="1000">
        <f>'Adj - Total'!R36</f>
        <v>6923689.5899999999</v>
      </c>
      <c r="H28" s="819">
        <f>'Adj - Total'!R63</f>
        <v>0</v>
      </c>
      <c r="I28" s="1199">
        <f t="shared" si="6"/>
        <v>-11178059</v>
      </c>
      <c r="J28" s="994">
        <f t="shared" si="7"/>
        <v>-11175352</v>
      </c>
      <c r="K28" s="1250">
        <f t="shared" si="8"/>
        <v>2707</v>
      </c>
    </row>
    <row r="29" spans="1:11">
      <c r="A29" s="703">
        <f t="shared" si="0"/>
        <v>21</v>
      </c>
      <c r="B29" s="6" t="s">
        <v>403</v>
      </c>
      <c r="C29" s="1242" t="s">
        <v>343</v>
      </c>
      <c r="D29" s="1000">
        <v>1590632.7024140095</v>
      </c>
      <c r="E29" s="819">
        <v>0</v>
      </c>
      <c r="F29" s="1199">
        <f t="shared" si="5"/>
        <v>-2568022</v>
      </c>
      <c r="G29" s="1000">
        <f>'Adj - Total'!S36</f>
        <v>1744866.4615596212</v>
      </c>
      <c r="H29" s="819">
        <f>'Adj - Total'!S63</f>
        <v>0</v>
      </c>
      <c r="I29" s="1199">
        <f t="shared" si="6"/>
        <v>-2817027</v>
      </c>
      <c r="J29" s="994">
        <f t="shared" si="7"/>
        <v>-2816345</v>
      </c>
      <c r="K29" s="1250">
        <f t="shared" si="8"/>
        <v>-248323</v>
      </c>
    </row>
    <row r="30" spans="1:11">
      <c r="A30" s="703">
        <f t="shared" si="0"/>
        <v>22</v>
      </c>
      <c r="B30" s="6" t="s">
        <v>322</v>
      </c>
      <c r="C30" s="1242" t="s">
        <v>345</v>
      </c>
      <c r="D30" s="1000">
        <v>260.946618269174</v>
      </c>
      <c r="E30" s="819">
        <v>0</v>
      </c>
      <c r="F30" s="1199">
        <f t="shared" si="5"/>
        <v>-421</v>
      </c>
      <c r="G30" s="1000">
        <f>'Adj - Total'!T36</f>
        <v>260.94661826917422</v>
      </c>
      <c r="H30" s="819">
        <f>'Adj - Total'!T63</f>
        <v>0</v>
      </c>
      <c r="I30" s="1199">
        <f t="shared" si="6"/>
        <v>-421</v>
      </c>
      <c r="J30" s="994">
        <f t="shared" si="7"/>
        <v>-421</v>
      </c>
      <c r="K30" s="1250">
        <f t="shared" si="8"/>
        <v>0</v>
      </c>
    </row>
    <row r="31" spans="1:11">
      <c r="A31" s="703">
        <f t="shared" si="0"/>
        <v>23</v>
      </c>
      <c r="B31" s="6" t="s">
        <v>452</v>
      </c>
      <c r="C31" s="1242" t="s">
        <v>429</v>
      </c>
      <c r="D31" s="1000">
        <v>-972.52741804815014</v>
      </c>
      <c r="E31" s="819">
        <v>0</v>
      </c>
      <c r="F31" s="1199">
        <f t="shared" si="5"/>
        <v>1570</v>
      </c>
      <c r="G31" s="1000">
        <f>'Adj - Total'!U36</f>
        <v>-972.52741804815014</v>
      </c>
      <c r="H31" s="819">
        <f>'Adj - Total'!U63</f>
        <v>0</v>
      </c>
      <c r="I31" s="1199">
        <f t="shared" si="6"/>
        <v>1570</v>
      </c>
      <c r="J31" s="994">
        <f t="shared" si="7"/>
        <v>1570</v>
      </c>
      <c r="K31" s="1250">
        <f t="shared" si="8"/>
        <v>0</v>
      </c>
    </row>
    <row r="32" spans="1:11">
      <c r="A32" s="703">
        <f t="shared" si="0"/>
        <v>24</v>
      </c>
      <c r="B32" s="650" t="s">
        <v>543</v>
      </c>
      <c r="C32" s="1242" t="s">
        <v>430</v>
      </c>
      <c r="D32" s="1000">
        <v>-274576.00651124539</v>
      </c>
      <c r="E32" s="819">
        <v>0</v>
      </c>
      <c r="F32" s="1199">
        <f t="shared" si="5"/>
        <v>443294</v>
      </c>
      <c r="G32" s="1000">
        <f>'Adj - Total'!V36</f>
        <v>-274576.00651124539</v>
      </c>
      <c r="H32" s="819">
        <f>'Adj - Total'!V63</f>
        <v>0</v>
      </c>
      <c r="I32" s="1199">
        <f t="shared" si="6"/>
        <v>443294</v>
      </c>
      <c r="J32" s="994">
        <f t="shared" si="7"/>
        <v>443186</v>
      </c>
      <c r="K32" s="1250">
        <f t="shared" si="8"/>
        <v>-108</v>
      </c>
    </row>
    <row r="33" spans="1:11">
      <c r="A33" s="703">
        <f t="shared" si="0"/>
        <v>25</v>
      </c>
      <c r="B33" s="650" t="s">
        <v>639</v>
      </c>
      <c r="C33" s="1242" t="s">
        <v>431</v>
      </c>
      <c r="D33" s="1000">
        <v>-139979.2102726177</v>
      </c>
      <c r="E33" s="819">
        <v>0</v>
      </c>
      <c r="F33" s="1199">
        <f t="shared" si="5"/>
        <v>225992</v>
      </c>
      <c r="G33" s="1000">
        <f>'Adj - Total'!W36</f>
        <v>-139979.2102726177</v>
      </c>
      <c r="H33" s="819">
        <f>'Adj - Total'!W63</f>
        <v>0</v>
      </c>
      <c r="I33" s="1199">
        <f t="shared" si="6"/>
        <v>225992</v>
      </c>
      <c r="J33" s="994">
        <f t="shared" si="7"/>
        <v>225937</v>
      </c>
      <c r="K33" s="1250">
        <f t="shared" si="8"/>
        <v>-55</v>
      </c>
    </row>
    <row r="34" spans="1:11">
      <c r="A34" s="703">
        <f t="shared" si="0"/>
        <v>26</v>
      </c>
      <c r="B34" s="650" t="s">
        <v>668</v>
      </c>
      <c r="C34" s="1242" t="s">
        <v>474</v>
      </c>
      <c r="D34" s="1000">
        <v>27339</v>
      </c>
      <c r="E34" s="819">
        <v>0</v>
      </c>
      <c r="F34" s="1199">
        <f t="shared" si="5"/>
        <v>-44138</v>
      </c>
      <c r="G34" s="1000">
        <f>'Adj - Total'!X36</f>
        <v>0</v>
      </c>
      <c r="H34" s="819">
        <f>'Adj - Total'!X63</f>
        <v>0</v>
      </c>
      <c r="I34" s="1199">
        <f t="shared" si="6"/>
        <v>0</v>
      </c>
      <c r="J34" s="994">
        <f t="shared" si="7"/>
        <v>0</v>
      </c>
      <c r="K34" s="1250">
        <f t="shared" si="8"/>
        <v>44138</v>
      </c>
    </row>
    <row r="35" spans="1:11">
      <c r="A35" s="703">
        <f t="shared" si="0"/>
        <v>27</v>
      </c>
      <c r="B35" s="650" t="s">
        <v>1018</v>
      </c>
      <c r="C35" s="1242" t="s">
        <v>475</v>
      </c>
      <c r="D35" s="1000">
        <v>-936190.79689033842</v>
      </c>
      <c r="E35" s="819">
        <v>0</v>
      </c>
      <c r="F35" s="1199">
        <f t="shared" si="5"/>
        <v>1511448</v>
      </c>
      <c r="G35" s="1000">
        <f>'Adj - Total'!Y36</f>
        <v>0</v>
      </c>
      <c r="H35" s="819">
        <f>'Adj - Total'!Y63</f>
        <v>0</v>
      </c>
      <c r="I35" s="1199">
        <f t="shared" si="6"/>
        <v>0</v>
      </c>
      <c r="J35" s="994">
        <f t="shared" si="7"/>
        <v>0</v>
      </c>
      <c r="K35" s="1250">
        <f t="shared" si="8"/>
        <v>-1511448</v>
      </c>
    </row>
    <row r="36" spans="1:11">
      <c r="A36" s="703">
        <f t="shared" si="0"/>
        <v>28</v>
      </c>
      <c r="B36" s="650"/>
      <c r="C36" s="1242"/>
      <c r="D36" s="1000"/>
      <c r="E36" s="819"/>
      <c r="F36" s="1001"/>
      <c r="G36" s="984"/>
      <c r="H36" s="6"/>
      <c r="I36" s="1001"/>
      <c r="J36" s="1001"/>
      <c r="K36" s="1250"/>
    </row>
    <row r="37" spans="1:11">
      <c r="A37" s="703">
        <f t="shared" si="0"/>
        <v>29</v>
      </c>
      <c r="B37" s="1113" t="s">
        <v>115</v>
      </c>
      <c r="C37" s="1242"/>
      <c r="D37" s="1000"/>
      <c r="E37" s="819"/>
      <c r="F37" s="1001"/>
      <c r="G37" s="984"/>
      <c r="H37" s="6"/>
      <c r="I37" s="1001"/>
      <c r="J37" s="1001"/>
      <c r="K37" s="1250"/>
    </row>
    <row r="38" spans="1:11">
      <c r="A38" s="703">
        <f t="shared" si="0"/>
        <v>30</v>
      </c>
      <c r="B38" s="650" t="s">
        <v>384</v>
      </c>
      <c r="C38" s="1242">
        <v>5.0999999999999996</v>
      </c>
      <c r="D38" s="1000">
        <v>7484567.6746666431</v>
      </c>
      <c r="E38" s="819">
        <v>0</v>
      </c>
      <c r="F38" s="1199">
        <f>ROUND((-D38+(E38*$F$89))/$F$81,0)</f>
        <v>-12083577</v>
      </c>
      <c r="G38" s="1000">
        <f>'Adj - Total'!Z36</f>
        <v>7484567.6746666431</v>
      </c>
      <c r="H38" s="819">
        <f>'Adj - Total'!Z63</f>
        <v>0</v>
      </c>
      <c r="I38" s="1199">
        <f>ROUND((-G38+(H38*$F$89))/$F$81,0)</f>
        <v>-12083577</v>
      </c>
      <c r="J38" s="994">
        <f>ROUND((-G38+(H38*$K$89))/$I$81,0)</f>
        <v>-12080652</v>
      </c>
      <c r="K38" s="1250">
        <f>J38-F38</f>
        <v>2925</v>
      </c>
    </row>
    <row r="39" spans="1:11">
      <c r="A39" s="703">
        <f t="shared" si="0"/>
        <v>31</v>
      </c>
      <c r="B39" s="650" t="s">
        <v>385</v>
      </c>
      <c r="C39" s="1242" t="s">
        <v>419</v>
      </c>
      <c r="D39" s="1000">
        <v>-5539982.2450051978</v>
      </c>
      <c r="E39" s="819">
        <v>0</v>
      </c>
      <c r="F39" s="1199">
        <f>ROUND((-D39+(E39*$F$89))/$F$81,0)</f>
        <v>8944111</v>
      </c>
      <c r="G39" s="1000">
        <f>'Adj - Total'!AA36</f>
        <v>590408.56677233428</v>
      </c>
      <c r="H39" s="819">
        <f>'Adj - Total'!AA63</f>
        <v>0</v>
      </c>
      <c r="I39" s="1199">
        <f>ROUND((-G39+(H39*$F$89))/$F$81,0)</f>
        <v>-953194</v>
      </c>
      <c r="J39" s="994">
        <f>ROUND((-G39+(H39*$K$89))/$I$81,0)</f>
        <v>-952964</v>
      </c>
      <c r="K39" s="1250">
        <f>J39-F39</f>
        <v>-9897075</v>
      </c>
    </row>
    <row r="40" spans="1:11">
      <c r="A40" s="703">
        <f t="shared" si="0"/>
        <v>32</v>
      </c>
      <c r="B40" s="650" t="s">
        <v>360</v>
      </c>
      <c r="C40" s="1242" t="s">
        <v>432</v>
      </c>
      <c r="D40" s="1000">
        <v>441934.4167838149</v>
      </c>
      <c r="E40" s="819">
        <v>0</v>
      </c>
      <c r="F40" s="1199">
        <f>ROUND((-D40+(E40*$F$89))/$F$81,0)</f>
        <v>-713488</v>
      </c>
      <c r="G40" s="1000">
        <f>'Adj - Total'!AB36</f>
        <v>441934.4167838149</v>
      </c>
      <c r="H40" s="819">
        <f>'Adj - Total'!AB63</f>
        <v>0</v>
      </c>
      <c r="I40" s="1199">
        <f>ROUND((-G40+(H40*$F$89))/$F$81,0)</f>
        <v>-713488</v>
      </c>
      <c r="J40" s="994">
        <f>ROUND((-G40+(H40*$K$89))/$I$81,0)</f>
        <v>-713315</v>
      </c>
      <c r="K40" s="1250">
        <f>J40-F40</f>
        <v>173</v>
      </c>
    </row>
    <row r="41" spans="1:11">
      <c r="A41" s="703">
        <f t="shared" si="0"/>
        <v>33</v>
      </c>
      <c r="B41" s="6" t="s">
        <v>1021</v>
      </c>
      <c r="C41" s="1242" t="s">
        <v>433</v>
      </c>
      <c r="D41" s="1000">
        <v>314398.23129746714</v>
      </c>
      <c r="E41" s="819">
        <v>-8567345.2846213318</v>
      </c>
      <c r="F41" s="1199">
        <f>ROUND((-D41+(E41*$F$89))/$F$81,0)</f>
        <v>-1568475</v>
      </c>
      <c r="G41" s="1000">
        <f>'Adj - Total'!AC36</f>
        <v>314398.23129746714</v>
      </c>
      <c r="H41" s="819">
        <f>'Adj - Total'!AC63</f>
        <v>-8567345.2846213318</v>
      </c>
      <c r="I41" s="1199">
        <f>ROUND((-G41+(H41*$F$89))/$F$81,0)</f>
        <v>-1568475</v>
      </c>
      <c r="J41" s="994">
        <f>ROUND((-G41+(H41*$K$89))/$I$81,0)</f>
        <v>-1483743</v>
      </c>
      <c r="K41" s="1250">
        <f>J41-F41</f>
        <v>84732</v>
      </c>
    </row>
    <row r="42" spans="1:11">
      <c r="A42" s="703">
        <f t="shared" si="0"/>
        <v>34</v>
      </c>
      <c r="B42" s="650"/>
      <c r="C42" s="1242"/>
      <c r="D42" s="1002"/>
      <c r="E42" s="644"/>
      <c r="F42" s="1001"/>
      <c r="G42" s="984"/>
      <c r="H42" s="6"/>
      <c r="I42" s="1001"/>
      <c r="J42" s="1001"/>
      <c r="K42" s="1250"/>
    </row>
    <row r="43" spans="1:11">
      <c r="A43" s="703">
        <f t="shared" si="0"/>
        <v>35</v>
      </c>
      <c r="B43" s="1113" t="s">
        <v>118</v>
      </c>
      <c r="C43" s="1242"/>
      <c r="D43" s="1002"/>
      <c r="E43" s="644"/>
      <c r="F43" s="1001"/>
      <c r="G43" s="984"/>
      <c r="H43" s="6"/>
      <c r="I43" s="1001"/>
      <c r="J43" s="1001"/>
      <c r="K43" s="1250"/>
    </row>
    <row r="44" spans="1:11">
      <c r="A44" s="703">
        <f t="shared" si="0"/>
        <v>36</v>
      </c>
      <c r="B44" s="650" t="s">
        <v>122</v>
      </c>
      <c r="C44" s="1242" t="s">
        <v>362</v>
      </c>
      <c r="D44" s="1000">
        <v>-3781.2329403176627</v>
      </c>
      <c r="E44" s="819">
        <v>-212765.11892330143</v>
      </c>
      <c r="F44" s="1199">
        <f>ROUND((-D44+(E44*$F$89))/$F$81,0)</f>
        <v>-20242</v>
      </c>
      <c r="G44" s="1000">
        <f>'Adj - Total'!AD36</f>
        <v>-3781.2329403176627</v>
      </c>
      <c r="H44" s="819">
        <f>'Adj - Total'!AD63</f>
        <v>-212765.11892330143</v>
      </c>
      <c r="I44" s="1199">
        <f>ROUND((-G44+(H44*$F$89))/$F$81,0)</f>
        <v>-20242</v>
      </c>
      <c r="J44" s="994">
        <f>ROUND((-G44+(H44*$K$89))/$I$81,0)</f>
        <v>-18142</v>
      </c>
      <c r="K44" s="1250">
        <f>J44-F44</f>
        <v>2100</v>
      </c>
    </row>
    <row r="45" spans="1:11">
      <c r="A45" s="703">
        <f t="shared" si="0"/>
        <v>37</v>
      </c>
      <c r="B45" s="650" t="s">
        <v>641</v>
      </c>
      <c r="C45" s="1242" t="s">
        <v>615</v>
      </c>
      <c r="D45" s="1000">
        <v>0</v>
      </c>
      <c r="E45" s="819">
        <v>-6526992.7775002476</v>
      </c>
      <c r="F45" s="1199">
        <f>ROUND((-D45+(E45*$F$89))/$F$81,0)</f>
        <v>-808234</v>
      </c>
      <c r="G45" s="1000">
        <f>'Adj - Total'!AE36</f>
        <v>0</v>
      </c>
      <c r="H45" s="819">
        <f>'Adj - Total'!AE63</f>
        <v>-6526992.7775002476</v>
      </c>
      <c r="I45" s="1199">
        <f>ROUND((-G45+(H45*$F$89))/$F$81,0)</f>
        <v>-808234</v>
      </c>
      <c r="J45" s="994">
        <f>ROUND((-G45+(H45*$K$89))/$I$81,0)</f>
        <v>-743775</v>
      </c>
      <c r="K45" s="1250">
        <f>J45-F45</f>
        <v>64459</v>
      </c>
    </row>
    <row r="46" spans="1:11">
      <c r="A46" s="703">
        <f t="shared" si="0"/>
        <v>38</v>
      </c>
      <c r="B46" s="650" t="s">
        <v>577</v>
      </c>
      <c r="C46" s="1242" t="s">
        <v>616</v>
      </c>
      <c r="D46" s="1000">
        <v>-1249180.3745660563</v>
      </c>
      <c r="E46" s="819">
        <v>-1249180.3745660563</v>
      </c>
      <c r="F46" s="1199">
        <f>ROUND((-D46+(E46*$F$89))/$F$81,0)</f>
        <v>1862073</v>
      </c>
      <c r="G46" s="1000">
        <f>'Adj - Total'!AF36</f>
        <v>-1249180.3745660563</v>
      </c>
      <c r="H46" s="819">
        <f>'Adj - Total'!AF63</f>
        <v>-1249180.3745660563</v>
      </c>
      <c r="I46" s="1199">
        <f>ROUND((-G46+(H46*$F$89))/$F$81,0)</f>
        <v>1862073</v>
      </c>
      <c r="J46" s="994">
        <f>ROUND((-G46+(H46*$K$89))/$I$81,0)</f>
        <v>1873922</v>
      </c>
      <c r="K46" s="1250">
        <f>J46-F46</f>
        <v>11849</v>
      </c>
    </row>
    <row r="47" spans="1:11">
      <c r="A47" s="703">
        <f t="shared" si="0"/>
        <v>39</v>
      </c>
      <c r="B47" s="650" t="s">
        <v>1016</v>
      </c>
      <c r="C47" s="1242" t="s">
        <v>1019</v>
      </c>
      <c r="D47" s="1000">
        <v>74723.8394267369</v>
      </c>
      <c r="E47" s="819">
        <v>-143763.74042216278</v>
      </c>
      <c r="F47" s="1199">
        <f>ROUND((-D47+(E47*$F$89))/$F$81,0)</f>
        <v>-138441</v>
      </c>
      <c r="G47" s="1000">
        <f>'Adj - Total'!AG36</f>
        <v>74723.8394267369</v>
      </c>
      <c r="H47" s="819">
        <f>'Adj - Total'!AG63</f>
        <v>-143763.74042216278</v>
      </c>
      <c r="I47" s="1199">
        <f>ROUND((-G47+(H47*$F$89))/$F$81,0)</f>
        <v>-138441</v>
      </c>
      <c r="J47" s="994">
        <f>ROUND((-G47+(H47*$K$89))/$I$81,0)</f>
        <v>-136992</v>
      </c>
      <c r="K47" s="1250">
        <f>J47-F47</f>
        <v>1449</v>
      </c>
    </row>
    <row r="48" spans="1:11">
      <c r="A48" s="703">
        <f t="shared" si="0"/>
        <v>40</v>
      </c>
      <c r="B48" s="650"/>
      <c r="C48" s="1242"/>
      <c r="D48" s="1000"/>
      <c r="E48" s="819"/>
      <c r="F48" s="1001"/>
      <c r="G48" s="984"/>
      <c r="H48" s="6"/>
      <c r="I48" s="1001"/>
      <c r="J48" s="1001"/>
      <c r="K48" s="1250"/>
    </row>
    <row r="49" spans="1:11">
      <c r="A49" s="703">
        <f t="shared" si="0"/>
        <v>41</v>
      </c>
      <c r="B49" s="1113" t="s">
        <v>111</v>
      </c>
      <c r="C49" s="1242"/>
      <c r="D49" s="1000"/>
      <c r="E49" s="819"/>
      <c r="F49" s="1001"/>
      <c r="G49" s="984"/>
      <c r="H49" s="6"/>
      <c r="I49" s="1001"/>
      <c r="J49" s="1001"/>
      <c r="K49" s="1250">
        <f t="shared" ref="K49:K57" si="9">J49-F49</f>
        <v>0</v>
      </c>
    </row>
    <row r="50" spans="1:11">
      <c r="A50" s="703">
        <f t="shared" si="0"/>
        <v>42</v>
      </c>
      <c r="B50" s="650" t="s">
        <v>106</v>
      </c>
      <c r="C50" s="1242">
        <v>7.1</v>
      </c>
      <c r="D50" s="1000">
        <v>-87526</v>
      </c>
      <c r="E50" s="819">
        <v>0</v>
      </c>
      <c r="F50" s="1199">
        <f t="shared" ref="F50:F57" si="10">ROUND((-D50+(E50*$F$89))/$F$81,0)</f>
        <v>141308</v>
      </c>
      <c r="G50" s="1000">
        <f>'Adj - Total'!AH36</f>
        <v>277542</v>
      </c>
      <c r="H50" s="819">
        <f>'Adj - Total'!AH63</f>
        <v>0</v>
      </c>
      <c r="I50" s="1199">
        <f t="shared" ref="I50:I57" si="11">ROUND((-G50+(H50*$F$89))/$F$81,0)</f>
        <v>-448082</v>
      </c>
      <c r="J50" s="994">
        <f t="shared" ref="J50:J57" si="12">ROUND((-G50+(H50*$K$89))/$I$81,0)</f>
        <v>-447974</v>
      </c>
      <c r="K50" s="1250">
        <f t="shared" si="9"/>
        <v>-589282</v>
      </c>
    </row>
    <row r="51" spans="1:11">
      <c r="A51" s="703">
        <f t="shared" si="0"/>
        <v>43</v>
      </c>
      <c r="B51" s="650" t="s">
        <v>579</v>
      </c>
      <c r="C51" s="1242">
        <v>7.2</v>
      </c>
      <c r="D51" s="1000">
        <v>-335268.78438014071</v>
      </c>
      <c r="E51" s="819">
        <v>0</v>
      </c>
      <c r="F51" s="1199">
        <f t="shared" si="10"/>
        <v>541280</v>
      </c>
      <c r="G51" s="1000">
        <f>'Adj - Total'!AI36</f>
        <v>0</v>
      </c>
      <c r="H51" s="819">
        <f>'Adj - Total'!AI63</f>
        <v>0</v>
      </c>
      <c r="I51" s="1199">
        <f t="shared" si="11"/>
        <v>0</v>
      </c>
      <c r="J51" s="994">
        <f t="shared" si="12"/>
        <v>0</v>
      </c>
      <c r="K51" s="1250">
        <f t="shared" si="9"/>
        <v>-541280</v>
      </c>
    </row>
    <row r="52" spans="1:11">
      <c r="A52" s="703">
        <f t="shared" si="0"/>
        <v>44</v>
      </c>
      <c r="B52" s="650" t="s">
        <v>121</v>
      </c>
      <c r="C52" s="1242">
        <v>7.3</v>
      </c>
      <c r="D52" s="1000">
        <v>661916.82775972039</v>
      </c>
      <c r="E52" s="819">
        <v>0</v>
      </c>
      <c r="F52" s="1199">
        <f t="shared" si="10"/>
        <v>-1068642</v>
      </c>
      <c r="G52" s="1000">
        <f>'Adj - Total'!AJ36</f>
        <v>661916.82775972039</v>
      </c>
      <c r="H52" s="819">
        <f>'Adj - Total'!AJ63</f>
        <v>0</v>
      </c>
      <c r="I52" s="1199">
        <f t="shared" si="11"/>
        <v>-1068642</v>
      </c>
      <c r="J52" s="994">
        <f t="shared" si="12"/>
        <v>-1068383</v>
      </c>
      <c r="K52" s="1250">
        <f t="shared" si="9"/>
        <v>259</v>
      </c>
    </row>
    <row r="53" spans="1:11">
      <c r="A53" s="703">
        <f t="shared" si="0"/>
        <v>45</v>
      </c>
      <c r="B53" s="650" t="s">
        <v>614</v>
      </c>
      <c r="C53" s="1242">
        <v>7.4</v>
      </c>
      <c r="D53" s="1000">
        <v>0</v>
      </c>
      <c r="E53" s="819">
        <v>-1637024.1070903214</v>
      </c>
      <c r="F53" s="1199">
        <f t="shared" si="10"/>
        <v>-202712</v>
      </c>
      <c r="G53" s="1000">
        <f>'Adj - Total'!AK36</f>
        <v>0</v>
      </c>
      <c r="H53" s="819">
        <f>'Adj - Total'!AK63</f>
        <v>-1637024.1070903214</v>
      </c>
      <c r="I53" s="1199">
        <f t="shared" si="11"/>
        <v>-202712</v>
      </c>
      <c r="J53" s="994">
        <f t="shared" si="12"/>
        <v>-186545</v>
      </c>
      <c r="K53" s="1250">
        <f t="shared" si="9"/>
        <v>16167</v>
      </c>
    </row>
    <row r="54" spans="1:11">
      <c r="A54" s="703">
        <f t="shared" si="0"/>
        <v>46</v>
      </c>
      <c r="B54" s="650" t="s">
        <v>581</v>
      </c>
      <c r="C54" s="1242">
        <v>7.5</v>
      </c>
      <c r="D54" s="1000">
        <v>-25873</v>
      </c>
      <c r="E54" s="819">
        <v>0</v>
      </c>
      <c r="F54" s="1199">
        <f t="shared" si="10"/>
        <v>41771</v>
      </c>
      <c r="G54" s="1000">
        <f>'Adj - Total'!AL36</f>
        <v>0</v>
      </c>
      <c r="H54" s="819">
        <f>'Adj - Total'!AL63</f>
        <v>0</v>
      </c>
      <c r="I54" s="1199">
        <f t="shared" si="11"/>
        <v>0</v>
      </c>
      <c r="J54" s="994">
        <f t="shared" si="12"/>
        <v>0</v>
      </c>
      <c r="K54" s="1250">
        <f t="shared" si="9"/>
        <v>-41771</v>
      </c>
    </row>
    <row r="55" spans="1:11">
      <c r="A55" s="703">
        <f t="shared" si="0"/>
        <v>47</v>
      </c>
      <c r="B55" s="6" t="s">
        <v>420</v>
      </c>
      <c r="C55" s="1242">
        <v>7.6</v>
      </c>
      <c r="D55" s="1000">
        <v>407648.85953784268</v>
      </c>
      <c r="E55" s="819">
        <v>-9662968.9592523444</v>
      </c>
      <c r="F55" s="1199">
        <f t="shared" si="10"/>
        <v>-1854696</v>
      </c>
      <c r="G55" s="1000">
        <f>'Adj - Total'!AM36</f>
        <v>407648.85953784268</v>
      </c>
      <c r="H55" s="819">
        <f>'Adj - Total'!AM63</f>
        <v>-9662968.9592523444</v>
      </c>
      <c r="I55" s="1199">
        <f t="shared" si="11"/>
        <v>-1854696</v>
      </c>
      <c r="J55" s="994">
        <f t="shared" si="12"/>
        <v>-1759107</v>
      </c>
      <c r="K55" s="1250">
        <f t="shared" si="9"/>
        <v>95589</v>
      </c>
    </row>
    <row r="56" spans="1:11">
      <c r="A56" s="703">
        <f t="shared" si="0"/>
        <v>48</v>
      </c>
      <c r="B56" s="650" t="s">
        <v>367</v>
      </c>
      <c r="C56" s="1242" t="s">
        <v>476</v>
      </c>
      <c r="D56" s="1000">
        <v>493727</v>
      </c>
      <c r="E56" s="819">
        <v>246864</v>
      </c>
      <c r="F56" s="1199">
        <f t="shared" si="10"/>
        <v>-766536</v>
      </c>
      <c r="G56" s="1000">
        <f>'Adj - Total'!AN36</f>
        <v>493727</v>
      </c>
      <c r="H56" s="819">
        <f>'Adj - Total'!AN63</f>
        <v>246864</v>
      </c>
      <c r="I56" s="1199">
        <f t="shared" si="11"/>
        <v>-766536</v>
      </c>
      <c r="J56" s="994">
        <f t="shared" si="12"/>
        <v>-768781</v>
      </c>
      <c r="K56" s="1250">
        <f t="shared" si="9"/>
        <v>-2245</v>
      </c>
    </row>
    <row r="57" spans="1:11">
      <c r="A57" s="703">
        <f t="shared" si="0"/>
        <v>49</v>
      </c>
      <c r="B57" s="650" t="s">
        <v>434</v>
      </c>
      <c r="C57" s="1242" t="s">
        <v>1020</v>
      </c>
      <c r="D57" s="1000">
        <v>524708.49001859501</v>
      </c>
      <c r="E57" s="819">
        <v>0</v>
      </c>
      <c r="F57" s="1199">
        <f t="shared" si="10"/>
        <v>-847124</v>
      </c>
      <c r="G57" s="1000">
        <f>'Adj - Total'!AO36</f>
        <v>524708.49001859501</v>
      </c>
      <c r="H57" s="819">
        <f>'Adj - Total'!AO63</f>
        <v>0</v>
      </c>
      <c r="I57" s="1199">
        <f t="shared" si="11"/>
        <v>-847124</v>
      </c>
      <c r="J57" s="994">
        <f t="shared" si="12"/>
        <v>-846919</v>
      </c>
      <c r="K57" s="1250">
        <f t="shared" si="9"/>
        <v>205</v>
      </c>
    </row>
    <row r="58" spans="1:11">
      <c r="A58" s="703">
        <f t="shared" si="0"/>
        <v>50</v>
      </c>
      <c r="B58" s="650"/>
      <c r="C58" s="1242"/>
      <c r="D58" s="1000"/>
      <c r="E58" s="819"/>
      <c r="F58" s="1001"/>
      <c r="G58" s="984"/>
      <c r="H58" s="6"/>
      <c r="I58" s="1001"/>
      <c r="J58" s="1001"/>
      <c r="K58" s="1250"/>
    </row>
    <row r="59" spans="1:11">
      <c r="A59" s="703">
        <f t="shared" si="0"/>
        <v>51</v>
      </c>
      <c r="B59" s="1113" t="s">
        <v>112</v>
      </c>
      <c r="C59" s="1242"/>
      <c r="D59" s="1000"/>
      <c r="E59" s="819"/>
      <c r="F59" s="1001"/>
      <c r="G59" s="984"/>
      <c r="H59" s="6"/>
      <c r="I59" s="1001"/>
      <c r="J59" s="1001"/>
      <c r="K59" s="1250"/>
    </row>
    <row r="60" spans="1:11">
      <c r="A60" s="703">
        <f t="shared" si="0"/>
        <v>52</v>
      </c>
      <c r="B60" s="650" t="s">
        <v>369</v>
      </c>
      <c r="C60" s="1242">
        <v>8.1</v>
      </c>
      <c r="D60" s="1000">
        <v>-138615</v>
      </c>
      <c r="E60" s="819">
        <v>26734872.303152114</v>
      </c>
      <c r="F60" s="1199">
        <f t="shared" ref="F60:F72" si="13">ROUND((-D60+(E60*$F$89))/$F$81,0)</f>
        <v>3534355</v>
      </c>
      <c r="G60" s="1000">
        <f>'Adj - Total'!AP36</f>
        <v>-138615</v>
      </c>
      <c r="H60" s="819">
        <f>'Adj - Total'!AP63</f>
        <v>26734872.303152114</v>
      </c>
      <c r="I60" s="1199">
        <f t="shared" ref="I60:I72" si="14">ROUND((-G60+(H60*$F$89))/$F$81,0)</f>
        <v>3534355</v>
      </c>
      <c r="J60" s="994">
        <f t="shared" ref="J60:J72" si="15">ROUND((-G60+(H60*$K$89))/$I$81,0)</f>
        <v>3270272</v>
      </c>
      <c r="K60" s="1250">
        <f t="shared" ref="K60:K72" si="16">J60-F60</f>
        <v>-264083</v>
      </c>
    </row>
    <row r="61" spans="1:11">
      <c r="A61" s="703">
        <f t="shared" si="0"/>
        <v>53</v>
      </c>
      <c r="B61" s="650" t="s">
        <v>381</v>
      </c>
      <c r="C61" s="1242">
        <v>8.1999999999999993</v>
      </c>
      <c r="D61" s="1000">
        <v>-171516.90404896234</v>
      </c>
      <c r="E61" s="819">
        <v>-250034.33575255581</v>
      </c>
      <c r="F61" s="1199">
        <f t="shared" si="13"/>
        <v>245947</v>
      </c>
      <c r="G61" s="1000">
        <f>'Adj - Total'!AQ36</f>
        <v>-171516.90404896234</v>
      </c>
      <c r="H61" s="819">
        <f>'Adj - Total'!AQ63</f>
        <v>-250034.33575255581</v>
      </c>
      <c r="I61" s="1199">
        <f t="shared" si="14"/>
        <v>245947</v>
      </c>
      <c r="J61" s="994">
        <f t="shared" si="15"/>
        <v>248349</v>
      </c>
      <c r="K61" s="1250">
        <f t="shared" si="16"/>
        <v>2402</v>
      </c>
    </row>
    <row r="62" spans="1:11">
      <c r="A62" s="703">
        <f t="shared" si="0"/>
        <v>54</v>
      </c>
      <c r="B62" s="650" t="s">
        <v>269</v>
      </c>
      <c r="C62" s="1242">
        <v>8.3000000000000007</v>
      </c>
      <c r="D62" s="1000">
        <v>0</v>
      </c>
      <c r="E62" s="819">
        <v>-481414.22831967159</v>
      </c>
      <c r="F62" s="1199">
        <f t="shared" si="13"/>
        <v>-59613</v>
      </c>
      <c r="G62" s="1000">
        <f>'Adj - Total'!AR36</f>
        <v>0</v>
      </c>
      <c r="H62" s="819">
        <f>'Adj - Total'!AR63</f>
        <v>-481414.22831967159</v>
      </c>
      <c r="I62" s="1199">
        <f t="shared" si="14"/>
        <v>-59613</v>
      </c>
      <c r="J62" s="994">
        <f t="shared" si="15"/>
        <v>-54859</v>
      </c>
      <c r="K62" s="1250">
        <f t="shared" si="16"/>
        <v>4754</v>
      </c>
    </row>
    <row r="63" spans="1:11">
      <c r="A63" s="703">
        <f t="shared" si="0"/>
        <v>55</v>
      </c>
      <c r="B63" s="650" t="s">
        <v>418</v>
      </c>
      <c r="C63" s="1242">
        <v>8.4</v>
      </c>
      <c r="D63" s="1000">
        <v>-633488.72686467902</v>
      </c>
      <c r="E63" s="819">
        <v>37099265.654320329</v>
      </c>
      <c r="F63" s="1199">
        <f t="shared" si="13"/>
        <v>5616730</v>
      </c>
      <c r="G63" s="1000">
        <f>'Adj - Total'!AS36</f>
        <v>-633488.72686467902</v>
      </c>
      <c r="H63" s="819">
        <f>'Adj - Total'!AS63</f>
        <v>37099265.654320329</v>
      </c>
      <c r="I63" s="1199">
        <f t="shared" si="14"/>
        <v>5616730</v>
      </c>
      <c r="J63" s="994">
        <f t="shared" si="15"/>
        <v>5250096</v>
      </c>
      <c r="K63" s="1250">
        <f t="shared" si="16"/>
        <v>-366634</v>
      </c>
    </row>
    <row r="64" spans="1:11">
      <c r="A64" s="703">
        <f t="shared" si="0"/>
        <v>56</v>
      </c>
      <c r="B64" s="650" t="s">
        <v>119</v>
      </c>
      <c r="C64" s="1242">
        <v>8.5</v>
      </c>
      <c r="D64" s="1000">
        <v>0</v>
      </c>
      <c r="E64" s="819">
        <v>-23721363.983606651</v>
      </c>
      <c r="F64" s="1199">
        <f t="shared" si="13"/>
        <v>-2937405</v>
      </c>
      <c r="G64" s="1000">
        <f>'Adj - Total'!AT36</f>
        <v>0</v>
      </c>
      <c r="H64" s="819">
        <f>'Adj - Total'!AT63</f>
        <v>-23721363.983606651</v>
      </c>
      <c r="I64" s="1199">
        <f t="shared" si="14"/>
        <v>-2937405</v>
      </c>
      <c r="J64" s="994">
        <f t="shared" si="15"/>
        <v>-2703137</v>
      </c>
      <c r="K64" s="1250">
        <f t="shared" si="16"/>
        <v>234268</v>
      </c>
    </row>
    <row r="65" spans="1:11">
      <c r="A65" s="703">
        <f t="shared" si="0"/>
        <v>57</v>
      </c>
      <c r="B65" s="650" t="s">
        <v>120</v>
      </c>
      <c r="C65" s="1242" t="s">
        <v>621</v>
      </c>
      <c r="D65" s="1000">
        <v>-58360.818566997426</v>
      </c>
      <c r="E65" s="819">
        <v>97700.229568832146</v>
      </c>
      <c r="F65" s="1199">
        <f t="shared" si="13"/>
        <v>106320</v>
      </c>
      <c r="G65" s="1000">
        <f>'Adj - Total'!AU36</f>
        <v>-58360.818566997426</v>
      </c>
      <c r="H65" s="819">
        <f>'Adj - Total'!AU63</f>
        <v>97700.229568832146</v>
      </c>
      <c r="I65" s="1199">
        <f t="shared" si="14"/>
        <v>106320</v>
      </c>
      <c r="J65" s="994">
        <f t="shared" si="15"/>
        <v>105332</v>
      </c>
      <c r="K65" s="1250">
        <f t="shared" si="16"/>
        <v>-988</v>
      </c>
    </row>
    <row r="66" spans="1:11">
      <c r="A66" s="703">
        <f t="shared" si="0"/>
        <v>58</v>
      </c>
      <c r="B66" s="6" t="s">
        <v>1022</v>
      </c>
      <c r="C66" s="1242">
        <v>8.6999999999999993</v>
      </c>
      <c r="D66" s="1000">
        <v>17990.552800000001</v>
      </c>
      <c r="E66" s="819">
        <v>-360048.63899999904</v>
      </c>
      <c r="F66" s="1199">
        <f t="shared" si="13"/>
        <v>-73630</v>
      </c>
      <c r="G66" s="1000">
        <f>'Adj - Total'!AV36</f>
        <v>17990.552800000001</v>
      </c>
      <c r="H66" s="819">
        <f>'Adj - Total'!AV63</f>
        <v>-360048.63899999904</v>
      </c>
      <c r="I66" s="1199">
        <f t="shared" si="14"/>
        <v>-73630</v>
      </c>
      <c r="J66" s="994">
        <f t="shared" si="15"/>
        <v>-70067</v>
      </c>
      <c r="K66" s="1250">
        <f t="shared" si="16"/>
        <v>3563</v>
      </c>
    </row>
    <row r="67" spans="1:11">
      <c r="A67" s="703">
        <f t="shared" si="0"/>
        <v>59</v>
      </c>
      <c r="B67" s="650" t="s">
        <v>378</v>
      </c>
      <c r="C67" s="1242" t="s">
        <v>622</v>
      </c>
      <c r="D67" s="1000">
        <v>-99762</v>
      </c>
      <c r="E67" s="819">
        <v>-83642.64791666661</v>
      </c>
      <c r="F67" s="1199">
        <f t="shared" si="13"/>
        <v>150705</v>
      </c>
      <c r="G67" s="1000">
        <f>'Adj - Total'!AW36</f>
        <v>-99762</v>
      </c>
      <c r="H67" s="819">
        <f>'Adj - Total'!AW63</f>
        <v>-83642.64791666661</v>
      </c>
      <c r="I67" s="1199">
        <f t="shared" si="14"/>
        <v>150705</v>
      </c>
      <c r="J67" s="994">
        <f t="shared" si="15"/>
        <v>151492</v>
      </c>
      <c r="K67" s="1250">
        <f t="shared" si="16"/>
        <v>787</v>
      </c>
    </row>
    <row r="68" spans="1:11">
      <c r="A68" s="703">
        <f t="shared" si="0"/>
        <v>60</v>
      </c>
      <c r="B68" s="1003" t="s">
        <v>54</v>
      </c>
      <c r="C68" s="1244" t="s">
        <v>623</v>
      </c>
      <c r="D68" s="1200">
        <v>-2710.3672727272733</v>
      </c>
      <c r="E68" s="1209">
        <v>-3361133.729166666</v>
      </c>
      <c r="F68" s="1199">
        <f t="shared" si="13"/>
        <v>-411832</v>
      </c>
      <c r="G68" s="1000">
        <f>'Adj - Total'!AX36</f>
        <v>-2710.3672727272733</v>
      </c>
      <c r="H68" s="819">
        <f>'Adj - Total'!AX63</f>
        <v>-3361133.729166666</v>
      </c>
      <c r="I68" s="1199">
        <f t="shared" si="14"/>
        <v>-411832</v>
      </c>
      <c r="J68" s="994">
        <f t="shared" si="15"/>
        <v>-378639</v>
      </c>
      <c r="K68" s="1250">
        <f t="shared" si="16"/>
        <v>33193</v>
      </c>
    </row>
    <row r="69" spans="1:11">
      <c r="A69" s="703">
        <f t="shared" si="0"/>
        <v>61</v>
      </c>
      <c r="B69" s="6" t="s">
        <v>422</v>
      </c>
      <c r="C69" s="1242" t="s">
        <v>379</v>
      </c>
      <c r="D69" s="1000">
        <v>-1950000</v>
      </c>
      <c r="E69" s="819">
        <v>0</v>
      </c>
      <c r="F69" s="1199">
        <f t="shared" si="13"/>
        <v>3148208</v>
      </c>
      <c r="G69" s="1000">
        <f>'Adj - Total'!AY36</f>
        <v>-2944621</v>
      </c>
      <c r="H69" s="819">
        <f>'Adj - Total'!AY63</f>
        <v>0</v>
      </c>
      <c r="I69" s="1199">
        <f t="shared" si="14"/>
        <v>4753989</v>
      </c>
      <c r="J69" s="994">
        <f t="shared" si="15"/>
        <v>4752838</v>
      </c>
      <c r="K69" s="1250">
        <f t="shared" si="16"/>
        <v>1604630</v>
      </c>
    </row>
    <row r="70" spans="1:11">
      <c r="A70" s="703">
        <f t="shared" si="0"/>
        <v>62</v>
      </c>
      <c r="B70" s="650" t="s">
        <v>594</v>
      </c>
      <c r="C70" s="1242" t="s">
        <v>624</v>
      </c>
      <c r="D70" s="1004">
        <v>236962.79765522532</v>
      </c>
      <c r="E70" s="819">
        <v>0</v>
      </c>
      <c r="F70" s="1199">
        <f t="shared" si="13"/>
        <v>-382568</v>
      </c>
      <c r="G70" s="1000">
        <f>'Adj - Total'!AZ36</f>
        <v>236962.79765522532</v>
      </c>
      <c r="H70" s="819">
        <f>'Adj - Total'!AZ63</f>
        <v>0</v>
      </c>
      <c r="I70" s="1199">
        <f t="shared" si="14"/>
        <v>-382568</v>
      </c>
      <c r="J70" s="994">
        <f t="shared" si="15"/>
        <v>-382476</v>
      </c>
      <c r="K70" s="1250">
        <f t="shared" si="16"/>
        <v>92</v>
      </c>
    </row>
    <row r="71" spans="1:11">
      <c r="A71" s="703">
        <f t="shared" si="0"/>
        <v>63</v>
      </c>
      <c r="B71" s="650" t="s">
        <v>640</v>
      </c>
      <c r="C71" s="1242" t="s">
        <v>625</v>
      </c>
      <c r="D71" s="1002">
        <v>0</v>
      </c>
      <c r="E71" s="287">
        <v>22392710.951431125</v>
      </c>
      <c r="F71" s="1199">
        <f t="shared" si="13"/>
        <v>2772878</v>
      </c>
      <c r="G71" s="1000">
        <f>'Adj - Total'!BA36</f>
        <v>0</v>
      </c>
      <c r="H71" s="819">
        <f>'Adj - Total'!BA63</f>
        <v>22392710.951431125</v>
      </c>
      <c r="I71" s="1199">
        <f t="shared" si="14"/>
        <v>2772878</v>
      </c>
      <c r="J71" s="994">
        <f t="shared" si="15"/>
        <v>2551732</v>
      </c>
      <c r="K71" s="1250">
        <f t="shared" si="16"/>
        <v>-221146</v>
      </c>
    </row>
    <row r="72" spans="1:11">
      <c r="A72" s="703">
        <f t="shared" si="0"/>
        <v>64</v>
      </c>
      <c r="B72" s="650" t="s">
        <v>620</v>
      </c>
      <c r="C72" s="1242" t="s">
        <v>626</v>
      </c>
      <c r="D72" s="1004">
        <v>0</v>
      </c>
      <c r="E72" s="819">
        <v>31018483.084840588</v>
      </c>
      <c r="F72" s="1199">
        <f t="shared" si="13"/>
        <v>3841004</v>
      </c>
      <c r="G72" s="1000">
        <f>'Adj - Total'!BB36</f>
        <v>0</v>
      </c>
      <c r="H72" s="819">
        <f>'Adj - Total'!BB63</f>
        <v>31018483.084840588</v>
      </c>
      <c r="I72" s="1199">
        <f t="shared" si="14"/>
        <v>3841004</v>
      </c>
      <c r="J72" s="994">
        <f t="shared" si="15"/>
        <v>3534670</v>
      </c>
      <c r="K72" s="1250">
        <f t="shared" si="16"/>
        <v>-306334</v>
      </c>
    </row>
    <row r="73" spans="1:11">
      <c r="A73" s="703">
        <f t="shared" si="0"/>
        <v>65</v>
      </c>
      <c r="B73" s="650"/>
      <c r="C73" s="1242"/>
      <c r="D73" s="1004"/>
      <c r="E73" s="819"/>
      <c r="F73" s="1001"/>
      <c r="G73" s="984"/>
      <c r="H73" s="6"/>
      <c r="I73" s="1001"/>
      <c r="J73" s="1001"/>
      <c r="K73" s="1250"/>
    </row>
    <row r="74" spans="1:11">
      <c r="A74" s="703">
        <f t="shared" si="0"/>
        <v>66</v>
      </c>
      <c r="B74" s="6" t="s">
        <v>477</v>
      </c>
      <c r="C74" s="1242">
        <v>9.1</v>
      </c>
      <c r="D74" s="1210">
        <v>-650290.35568108479</v>
      </c>
      <c r="E74" s="1211">
        <v>286777.32350789511</v>
      </c>
      <c r="F74" s="1212">
        <f>ROUND((-D74+(E74*$F$89))/$F$81,0)</f>
        <v>1085383</v>
      </c>
      <c r="G74" s="1213">
        <f>'Adj - Total'!BC36</f>
        <v>-650290.35568108479</v>
      </c>
      <c r="H74" s="1211">
        <f>'Adj - Total'!BC63</f>
        <v>286777.32350789511</v>
      </c>
      <c r="I74" s="1212">
        <f>ROUND((-G74+(H74*$F$89))/$F$81,0)</f>
        <v>1085383</v>
      </c>
      <c r="J74" s="994">
        <f>ROUND((-G74+(H74*$K$89))/$I$81,0)</f>
        <v>1082297</v>
      </c>
      <c r="K74" s="1250">
        <f>J74-F74</f>
        <v>-3086</v>
      </c>
    </row>
    <row r="75" spans="1:11" ht="13.5" thickBot="1">
      <c r="A75" s="703">
        <f>+A74+1</f>
        <v>67</v>
      </c>
      <c r="B75" s="1228" t="s">
        <v>396</v>
      </c>
      <c r="C75" s="1245"/>
      <c r="D75" s="1005">
        <f>SUM(D9:D74)</f>
        <v>48317805.900690071</v>
      </c>
      <c r="E75" s="1177">
        <f t="shared" ref="E75:K75" si="17">SUM(E9:E74)</f>
        <v>849625444.90130985</v>
      </c>
      <c r="F75" s="1177">
        <f t="shared" si="17"/>
        <v>27201271</v>
      </c>
      <c r="G75" s="1005">
        <f t="shared" si="17"/>
        <v>55187785.38621705</v>
      </c>
      <c r="H75" s="1177">
        <f t="shared" si="17"/>
        <v>849625444.90130985</v>
      </c>
      <c r="I75" s="1177">
        <f t="shared" si="17"/>
        <v>16109925</v>
      </c>
      <c r="J75" s="1005">
        <f t="shared" si="17"/>
        <v>7740732</v>
      </c>
      <c r="K75" s="1178">
        <f t="shared" si="17"/>
        <v>-19460539</v>
      </c>
    </row>
    <row r="76" spans="1:11" ht="14.25" thickTop="1" thickBot="1">
      <c r="A76" s="703">
        <f>+A75+1</f>
        <v>68</v>
      </c>
      <c r="B76" s="6"/>
      <c r="C76" s="1246"/>
      <c r="D76" s="1006"/>
      <c r="E76" s="1006"/>
      <c r="F76" s="1006"/>
      <c r="G76" s="1006"/>
      <c r="H76" s="1006"/>
      <c r="I76" s="1006"/>
      <c r="J76" s="1006"/>
      <c r="K76" s="1006"/>
    </row>
    <row r="77" spans="1:11" s="6" customFormat="1">
      <c r="A77" s="703">
        <f>+A76+1</f>
        <v>69</v>
      </c>
      <c r="B77" s="1381" t="s">
        <v>663</v>
      </c>
      <c r="C77" s="1382"/>
      <c r="D77" s="1382"/>
      <c r="E77" s="1382"/>
      <c r="F77" s="1230">
        <f>ROUND((-D75+(E75*$F$89))/$F$81,0)</f>
        <v>27201269</v>
      </c>
      <c r="G77" s="1229"/>
      <c r="H77" s="1229"/>
      <c r="I77" s="1231">
        <f>ROUND((-G75+(H75*$F$89))/$F$81,0)</f>
        <v>16109923</v>
      </c>
      <c r="J77" s="1219"/>
      <c r="K77" s="1219"/>
    </row>
    <row r="78" spans="1:11">
      <c r="A78" s="703">
        <f>+A77+1</f>
        <v>70</v>
      </c>
      <c r="B78" s="1233" t="s">
        <v>661</v>
      </c>
      <c r="C78" s="1246"/>
      <c r="D78" s="1007"/>
      <c r="E78" s="1007"/>
      <c r="F78" s="994">
        <f>ROUND((-D75+(E75*$K$89))/$I$81,0)</f>
        <v>18829393</v>
      </c>
      <c r="G78" s="1219"/>
      <c r="H78" s="1008"/>
      <c r="I78" s="1234">
        <f>ROUND((-G75+(H75*$K$89))/$I$81,0)</f>
        <v>7740733</v>
      </c>
      <c r="J78" s="6"/>
      <c r="K78" s="1174"/>
    </row>
    <row r="79" spans="1:11" ht="13.5" thickBot="1">
      <c r="A79" s="703">
        <f>+A78+1</f>
        <v>71</v>
      </c>
      <c r="B79" s="1232" t="s">
        <v>109</v>
      </c>
      <c r="C79" s="1247"/>
      <c r="D79" s="1235"/>
      <c r="E79" s="1236"/>
      <c r="F79" s="1237">
        <f>F78/RevReqSummary!$H$9</f>
        <v>5.8548077330325063E-2</v>
      </c>
      <c r="G79" s="1236"/>
      <c r="H79" s="1235"/>
      <c r="I79" s="1238">
        <f>I78/RevReqSummary!$H$9</f>
        <v>2.4069019871081298E-2</v>
      </c>
      <c r="J79" s="6"/>
    </row>
    <row r="80" spans="1:11">
      <c r="A80" s="703">
        <f t="shared" ref="A80:A89" si="18">+A79+1</f>
        <v>72</v>
      </c>
      <c r="B80" s="650"/>
      <c r="C80" s="1246"/>
      <c r="D80" s="1007"/>
      <c r="E80" s="1007"/>
      <c r="F80" s="994"/>
      <c r="G80" s="1219"/>
      <c r="H80" s="1008"/>
      <c r="I80" s="1009"/>
      <c r="J80" s="6"/>
      <c r="K80" s="1174"/>
    </row>
    <row r="81" spans="1:11">
      <c r="A81" s="703">
        <f t="shared" si="18"/>
        <v>73</v>
      </c>
      <c r="B81" s="1252" t="s">
        <v>77</v>
      </c>
      <c r="C81" s="1253"/>
      <c r="D81" s="1254"/>
      <c r="E81" s="1255"/>
      <c r="F81" s="1255">
        <f>'Conversion factor'!C19</f>
        <v>0.61939999999999995</v>
      </c>
      <c r="G81" s="1255"/>
      <c r="H81" s="1254"/>
      <c r="I81" s="1256">
        <f>'Conversion factor'!D19</f>
        <v>0.61955000000000005</v>
      </c>
      <c r="J81" s="6"/>
      <c r="K81" s="1221"/>
    </row>
    <row r="82" spans="1:11">
      <c r="A82" s="703">
        <f t="shared" si="18"/>
        <v>74</v>
      </c>
      <c r="D82" s="4"/>
      <c r="E82" s="4"/>
      <c r="F82" s="4"/>
      <c r="J82" s="1011"/>
      <c r="K82" s="1220"/>
    </row>
    <row r="83" spans="1:11" s="1" customFormat="1">
      <c r="A83" s="703">
        <f t="shared" si="18"/>
        <v>75</v>
      </c>
      <c r="B83" s="1012" t="s">
        <v>108</v>
      </c>
      <c r="C83" s="1246"/>
      <c r="D83" s="1380" t="s">
        <v>99</v>
      </c>
      <c r="E83" s="1380"/>
      <c r="F83" s="1380"/>
      <c r="G83" s="6"/>
      <c r="H83" s="1380" t="s">
        <v>107</v>
      </c>
      <c r="I83" s="1380"/>
      <c r="J83" s="1380"/>
      <c r="K83" s="1380"/>
    </row>
    <row r="84" spans="1:11">
      <c r="A84" s="703">
        <f t="shared" si="18"/>
        <v>76</v>
      </c>
      <c r="B84" s="690"/>
      <c r="C84" s="1249"/>
      <c r="D84" s="980" t="s">
        <v>105</v>
      </c>
      <c r="E84" s="1206"/>
      <c r="F84" s="1207" t="s">
        <v>74</v>
      </c>
      <c r="G84" s="1176"/>
      <c r="H84" s="980" t="s">
        <v>105</v>
      </c>
      <c r="I84" s="1206"/>
      <c r="J84" s="1206"/>
      <c r="K84" s="1207" t="s">
        <v>74</v>
      </c>
    </row>
    <row r="85" spans="1:11" s="1" customFormat="1">
      <c r="A85" s="703">
        <f t="shared" si="18"/>
        <v>77</v>
      </c>
      <c r="B85" s="1383" t="s">
        <v>75</v>
      </c>
      <c r="C85" s="1384"/>
      <c r="D85" s="1222">
        <f>'Cost of Capital'!C8</f>
        <v>0.48250000000000004</v>
      </c>
      <c r="E85" s="1201">
        <f>'Cost of Capital'!D8</f>
        <v>5.1799999999999999E-2</v>
      </c>
      <c r="F85" s="1202">
        <f>'Cost of Capital'!E8</f>
        <v>2.4993500000000002E-2</v>
      </c>
      <c r="G85" s="1176"/>
      <c r="H85" s="1222">
        <f>'Cost of Capital'!C18</f>
        <v>0.50619999999999998</v>
      </c>
      <c r="I85" s="1201">
        <f>'Cost of Capital'!D18</f>
        <v>5.1799999999999999E-2</v>
      </c>
      <c r="J85" s="1201">
        <f>'Cost of Capital'!E18</f>
        <v>2.6221159999999997E-2</v>
      </c>
      <c r="K85" s="1202">
        <f>'Cost of Capital'!E18</f>
        <v>2.6221159999999997E-2</v>
      </c>
    </row>
    <row r="86" spans="1:11" s="1" customFormat="1">
      <c r="A86" s="703">
        <f t="shared" si="18"/>
        <v>78</v>
      </c>
      <c r="B86" s="1385" t="s">
        <v>76</v>
      </c>
      <c r="C86" s="1386"/>
      <c r="D86" s="1222">
        <f>'Cost of Capital'!C9</f>
        <v>0</v>
      </c>
      <c r="E86" s="1201">
        <f>'Cost of Capital'!D9</f>
        <v>0</v>
      </c>
      <c r="F86" s="1202">
        <f>'Cost of Capital'!E9</f>
        <v>0</v>
      </c>
      <c r="G86" s="1176"/>
      <c r="H86" s="1222">
        <f>'Cost of Capital'!C19</f>
        <v>0</v>
      </c>
      <c r="I86" s="1201">
        <f>'Cost of Capital'!D19</f>
        <v>0</v>
      </c>
      <c r="J86" s="1201">
        <f>'Cost of Capital'!E19</f>
        <v>0</v>
      </c>
      <c r="K86" s="1202">
        <f>'Cost of Capital'!E19</f>
        <v>0</v>
      </c>
    </row>
    <row r="87" spans="1:11" s="1" customFormat="1">
      <c r="A87" s="703">
        <f t="shared" si="18"/>
        <v>79</v>
      </c>
      <c r="B87" s="1383" t="s">
        <v>89</v>
      </c>
      <c r="C87" s="1384"/>
      <c r="D87" s="1222">
        <f>'Cost of Capital'!C10</f>
        <v>2.0000000000000001E-4</v>
      </c>
      <c r="E87" s="1201">
        <f>'Cost of Capital'!D10</f>
        <v>6.7500000000000004E-2</v>
      </c>
      <c r="F87" s="1202">
        <f>'Cost of Capital'!E10</f>
        <v>1.3500000000000001E-5</v>
      </c>
      <c r="G87" s="1176"/>
      <c r="H87" s="1222">
        <f>'Cost of Capital'!C20</f>
        <v>2.8E-3</v>
      </c>
      <c r="I87" s="1201">
        <f>'Cost of Capital'!D20</f>
        <v>5.4300000000000001E-2</v>
      </c>
      <c r="J87" s="1201">
        <f>'Cost of Capital'!E20</f>
        <v>1.5204000000000001E-4</v>
      </c>
      <c r="K87" s="1202">
        <f>'Cost of Capital'!E20</f>
        <v>1.5204000000000001E-4</v>
      </c>
    </row>
    <row r="88" spans="1:11" s="1" customFormat="1">
      <c r="A88" s="703">
        <f t="shared" si="18"/>
        <v>80</v>
      </c>
      <c r="B88" s="1387" t="s">
        <v>90</v>
      </c>
      <c r="C88" s="1388"/>
      <c r="D88" s="1223">
        <f>'Cost of Capital'!C11</f>
        <v>0.51729999999999998</v>
      </c>
      <c r="E88" s="1201">
        <f>'Cost of Capital'!D11</f>
        <v>0.1</v>
      </c>
      <c r="F88" s="1251">
        <f>'Cost of Capital'!E11</f>
        <v>5.1729999999999998E-2</v>
      </c>
      <c r="G88" s="1176"/>
      <c r="H88" s="1222">
        <f>'Cost of Capital'!C21</f>
        <v>0.49099999999999999</v>
      </c>
      <c r="I88" s="1203">
        <f>'Cost of Capital'!D21</f>
        <v>0.09</v>
      </c>
      <c r="J88" s="1203">
        <f>'Cost of Capital'!E21</f>
        <v>4.419E-2</v>
      </c>
      <c r="K88" s="1202">
        <f>'Cost of Capital'!E21</f>
        <v>4.419E-2</v>
      </c>
    </row>
    <row r="89" spans="1:11">
      <c r="A89" s="703">
        <f t="shared" si="18"/>
        <v>81</v>
      </c>
      <c r="B89" s="1387" t="s">
        <v>83</v>
      </c>
      <c r="C89" s="1388"/>
      <c r="D89" s="1223">
        <f>'Cost of Capital'!C12</f>
        <v>1</v>
      </c>
      <c r="E89" s="1204"/>
      <c r="F89" s="1251">
        <f>'Cost of Capital'!E12</f>
        <v>7.6700000000000004E-2</v>
      </c>
      <c r="G89" s="1176"/>
      <c r="H89" s="1224">
        <f>'Cost of Capital'!C22</f>
        <v>1</v>
      </c>
      <c r="I89" s="1204"/>
      <c r="J89" s="1204">
        <f>'Cost of Capital'!E22</f>
        <v>7.0599999999999996E-2</v>
      </c>
      <c r="K89" s="1205">
        <f>'Cost of Capital'!E22</f>
        <v>7.0599999999999996E-2</v>
      </c>
    </row>
  </sheetData>
  <mergeCells count="11">
    <mergeCell ref="B85:C85"/>
    <mergeCell ref="B86:C86"/>
    <mergeCell ref="B87:C87"/>
    <mergeCell ref="B88:C88"/>
    <mergeCell ref="B89:C89"/>
    <mergeCell ref="A1:K1"/>
    <mergeCell ref="A2:K2"/>
    <mergeCell ref="A3:K3"/>
    <mergeCell ref="D83:F83"/>
    <mergeCell ref="H83:K83"/>
    <mergeCell ref="B77:E77"/>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rowBreaks count="1" manualBreakCount="1">
    <brk id="56" max="16383" man="1"/>
  </rowBreaks>
  <ignoredErrors>
    <ignoredError sqref="C16:C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sheetPr>
  <dimension ref="A1:G74"/>
  <sheetViews>
    <sheetView workbookViewId="0">
      <selection activeCell="F16" sqref="F16"/>
    </sheetView>
  </sheetViews>
  <sheetFormatPr defaultRowHeight="12.75"/>
  <cols>
    <col min="1" max="1" width="26.42578125" style="938" customWidth="1"/>
    <col min="2" max="2" width="9.7109375" style="938" bestFit="1" customWidth="1"/>
    <col min="3" max="3" width="4.7109375" style="938" bestFit="1" customWidth="1"/>
    <col min="4" max="4" width="11.28515625" style="939" bestFit="1" customWidth="1"/>
    <col min="5" max="5" width="8" style="938" bestFit="1" customWidth="1"/>
    <col min="6" max="6" width="11.5703125" style="939" customWidth="1"/>
    <col min="7" max="7" width="12.140625" style="941" bestFit="1" customWidth="1"/>
    <col min="8" max="252" width="9.140625" style="938"/>
    <col min="253" max="253" width="18" style="938" customWidth="1"/>
    <col min="254" max="255" width="14.28515625" style="938" customWidth="1"/>
    <col min="256" max="256" width="2.7109375" style="938" customWidth="1"/>
    <col min="257" max="258" width="17.7109375" style="938" customWidth="1"/>
    <col min="259" max="259" width="2.7109375" style="938" customWidth="1"/>
    <col min="260" max="261" width="17.140625" style="938" customWidth="1"/>
    <col min="262" max="262" width="14.140625" style="938" customWidth="1"/>
    <col min="263" max="508" width="9.140625" style="938"/>
    <col min="509" max="509" width="18" style="938" customWidth="1"/>
    <col min="510" max="511" width="14.28515625" style="938" customWidth="1"/>
    <col min="512" max="512" width="2.7109375" style="938" customWidth="1"/>
    <col min="513" max="514" width="17.7109375" style="938" customWidth="1"/>
    <col min="515" max="515" width="2.7109375" style="938" customWidth="1"/>
    <col min="516" max="517" width="17.140625" style="938" customWidth="1"/>
    <col min="518" max="518" width="14.140625" style="938" customWidth="1"/>
    <col min="519" max="764" width="9.140625" style="938"/>
    <col min="765" max="765" width="18" style="938" customWidth="1"/>
    <col min="766" max="767" width="14.28515625" style="938" customWidth="1"/>
    <col min="768" max="768" width="2.7109375" style="938" customWidth="1"/>
    <col min="769" max="770" width="17.7109375" style="938" customWidth="1"/>
    <col min="771" max="771" width="2.7109375" style="938" customWidth="1"/>
    <col min="772" max="773" width="17.140625" style="938" customWidth="1"/>
    <col min="774" max="774" width="14.140625" style="938" customWidth="1"/>
    <col min="775" max="1020" width="9.140625" style="938"/>
    <col min="1021" max="1021" width="18" style="938" customWidth="1"/>
    <col min="1022" max="1023" width="14.28515625" style="938" customWidth="1"/>
    <col min="1024" max="1024" width="2.7109375" style="938" customWidth="1"/>
    <col min="1025" max="1026" width="17.7109375" style="938" customWidth="1"/>
    <col min="1027" max="1027" width="2.7109375" style="938" customWidth="1"/>
    <col min="1028" max="1029" width="17.140625" style="938" customWidth="1"/>
    <col min="1030" max="1030" width="14.140625" style="938" customWidth="1"/>
    <col min="1031" max="1276" width="9.140625" style="938"/>
    <col min="1277" max="1277" width="18" style="938" customWidth="1"/>
    <col min="1278" max="1279" width="14.28515625" style="938" customWidth="1"/>
    <col min="1280" max="1280" width="2.7109375" style="938" customWidth="1"/>
    <col min="1281" max="1282" width="17.7109375" style="938" customWidth="1"/>
    <col min="1283" max="1283" width="2.7109375" style="938" customWidth="1"/>
    <col min="1284" max="1285" width="17.140625" style="938" customWidth="1"/>
    <col min="1286" max="1286" width="14.140625" style="938" customWidth="1"/>
    <col min="1287" max="1532" width="9.140625" style="938"/>
    <col min="1533" max="1533" width="18" style="938" customWidth="1"/>
    <col min="1534" max="1535" width="14.28515625" style="938" customWidth="1"/>
    <col min="1536" max="1536" width="2.7109375" style="938" customWidth="1"/>
    <col min="1537" max="1538" width="17.7109375" style="938" customWidth="1"/>
    <col min="1539" max="1539" width="2.7109375" style="938" customWidth="1"/>
    <col min="1540" max="1541" width="17.140625" style="938" customWidth="1"/>
    <col min="1542" max="1542" width="14.140625" style="938" customWidth="1"/>
    <col min="1543" max="1788" width="9.140625" style="938"/>
    <col min="1789" max="1789" width="18" style="938" customWidth="1"/>
    <col min="1790" max="1791" width="14.28515625" style="938" customWidth="1"/>
    <col min="1792" max="1792" width="2.7109375" style="938" customWidth="1"/>
    <col min="1793" max="1794" width="17.7109375" style="938" customWidth="1"/>
    <col min="1795" max="1795" width="2.7109375" style="938" customWidth="1"/>
    <col min="1796" max="1797" width="17.140625" style="938" customWidth="1"/>
    <col min="1798" max="1798" width="14.140625" style="938" customWidth="1"/>
    <col min="1799" max="2044" width="9.140625" style="938"/>
    <col min="2045" max="2045" width="18" style="938" customWidth="1"/>
    <col min="2046" max="2047" width="14.28515625" style="938" customWidth="1"/>
    <col min="2048" max="2048" width="2.7109375" style="938" customWidth="1"/>
    <col min="2049" max="2050" width="17.7109375" style="938" customWidth="1"/>
    <col min="2051" max="2051" width="2.7109375" style="938" customWidth="1"/>
    <col min="2052" max="2053" width="17.140625" style="938" customWidth="1"/>
    <col min="2054" max="2054" width="14.140625" style="938" customWidth="1"/>
    <col min="2055" max="2300" width="9.140625" style="938"/>
    <col min="2301" max="2301" width="18" style="938" customWidth="1"/>
    <col min="2302" max="2303" width="14.28515625" style="938" customWidth="1"/>
    <col min="2304" max="2304" width="2.7109375" style="938" customWidth="1"/>
    <col min="2305" max="2306" width="17.7109375" style="938" customWidth="1"/>
    <col min="2307" max="2307" width="2.7109375" style="938" customWidth="1"/>
    <col min="2308" max="2309" width="17.140625" style="938" customWidth="1"/>
    <col min="2310" max="2310" width="14.140625" style="938" customWidth="1"/>
    <col min="2311" max="2556" width="9.140625" style="938"/>
    <col min="2557" max="2557" width="18" style="938" customWidth="1"/>
    <col min="2558" max="2559" width="14.28515625" style="938" customWidth="1"/>
    <col min="2560" max="2560" width="2.7109375" style="938" customWidth="1"/>
    <col min="2561" max="2562" width="17.7109375" style="938" customWidth="1"/>
    <col min="2563" max="2563" width="2.7109375" style="938" customWidth="1"/>
    <col min="2564" max="2565" width="17.140625" style="938" customWidth="1"/>
    <col min="2566" max="2566" width="14.140625" style="938" customWidth="1"/>
    <col min="2567" max="2812" width="9.140625" style="938"/>
    <col min="2813" max="2813" width="18" style="938" customWidth="1"/>
    <col min="2814" max="2815" width="14.28515625" style="938" customWidth="1"/>
    <col min="2816" max="2816" width="2.7109375" style="938" customWidth="1"/>
    <col min="2817" max="2818" width="17.7109375" style="938" customWidth="1"/>
    <col min="2819" max="2819" width="2.7109375" style="938" customWidth="1"/>
    <col min="2820" max="2821" width="17.140625" style="938" customWidth="1"/>
    <col min="2822" max="2822" width="14.140625" style="938" customWidth="1"/>
    <col min="2823" max="3068" width="9.140625" style="938"/>
    <col min="3069" max="3069" width="18" style="938" customWidth="1"/>
    <col min="3070" max="3071" width="14.28515625" style="938" customWidth="1"/>
    <col min="3072" max="3072" width="2.7109375" style="938" customWidth="1"/>
    <col min="3073" max="3074" width="17.7109375" style="938" customWidth="1"/>
    <col min="3075" max="3075" width="2.7109375" style="938" customWidth="1"/>
    <col min="3076" max="3077" width="17.140625" style="938" customWidth="1"/>
    <col min="3078" max="3078" width="14.140625" style="938" customWidth="1"/>
    <col min="3079" max="3324" width="9.140625" style="938"/>
    <col min="3325" max="3325" width="18" style="938" customWidth="1"/>
    <col min="3326" max="3327" width="14.28515625" style="938" customWidth="1"/>
    <col min="3328" max="3328" width="2.7109375" style="938" customWidth="1"/>
    <col min="3329" max="3330" width="17.7109375" style="938" customWidth="1"/>
    <col min="3331" max="3331" width="2.7109375" style="938" customWidth="1"/>
    <col min="3332" max="3333" width="17.140625" style="938" customWidth="1"/>
    <col min="3334" max="3334" width="14.140625" style="938" customWidth="1"/>
    <col min="3335" max="3580" width="9.140625" style="938"/>
    <col min="3581" max="3581" width="18" style="938" customWidth="1"/>
    <col min="3582" max="3583" width="14.28515625" style="938" customWidth="1"/>
    <col min="3584" max="3584" width="2.7109375" style="938" customWidth="1"/>
    <col min="3585" max="3586" width="17.7109375" style="938" customWidth="1"/>
    <col min="3587" max="3587" width="2.7109375" style="938" customWidth="1"/>
    <col min="3588" max="3589" width="17.140625" style="938" customWidth="1"/>
    <col min="3590" max="3590" width="14.140625" style="938" customWidth="1"/>
    <col min="3591" max="3836" width="9.140625" style="938"/>
    <col min="3837" max="3837" width="18" style="938" customWidth="1"/>
    <col min="3838" max="3839" width="14.28515625" style="938" customWidth="1"/>
    <col min="3840" max="3840" width="2.7109375" style="938" customWidth="1"/>
    <col min="3841" max="3842" width="17.7109375" style="938" customWidth="1"/>
    <col min="3843" max="3843" width="2.7109375" style="938" customWidth="1"/>
    <col min="3844" max="3845" width="17.140625" style="938" customWidth="1"/>
    <col min="3846" max="3846" width="14.140625" style="938" customWidth="1"/>
    <col min="3847" max="4092" width="9.140625" style="938"/>
    <col min="4093" max="4093" width="18" style="938" customWidth="1"/>
    <col min="4094" max="4095" width="14.28515625" style="938" customWidth="1"/>
    <col min="4096" max="4096" width="2.7109375" style="938" customWidth="1"/>
    <col min="4097" max="4098" width="17.7109375" style="938" customWidth="1"/>
    <col min="4099" max="4099" width="2.7109375" style="938" customWidth="1"/>
    <col min="4100" max="4101" width="17.140625" style="938" customWidth="1"/>
    <col min="4102" max="4102" width="14.140625" style="938" customWidth="1"/>
    <col min="4103" max="4348" width="9.140625" style="938"/>
    <col min="4349" max="4349" width="18" style="938" customWidth="1"/>
    <col min="4350" max="4351" width="14.28515625" style="938" customWidth="1"/>
    <col min="4352" max="4352" width="2.7109375" style="938" customWidth="1"/>
    <col min="4353" max="4354" width="17.7109375" style="938" customWidth="1"/>
    <col min="4355" max="4355" width="2.7109375" style="938" customWidth="1"/>
    <col min="4356" max="4357" width="17.140625" style="938" customWidth="1"/>
    <col min="4358" max="4358" width="14.140625" style="938" customWidth="1"/>
    <col min="4359" max="4604" width="9.140625" style="938"/>
    <col min="4605" max="4605" width="18" style="938" customWidth="1"/>
    <col min="4606" max="4607" width="14.28515625" style="938" customWidth="1"/>
    <col min="4608" max="4608" width="2.7109375" style="938" customWidth="1"/>
    <col min="4609" max="4610" width="17.7109375" style="938" customWidth="1"/>
    <col min="4611" max="4611" width="2.7109375" style="938" customWidth="1"/>
    <col min="4612" max="4613" width="17.140625" style="938" customWidth="1"/>
    <col min="4614" max="4614" width="14.140625" style="938" customWidth="1"/>
    <col min="4615" max="4860" width="9.140625" style="938"/>
    <col min="4861" max="4861" width="18" style="938" customWidth="1"/>
    <col min="4862" max="4863" width="14.28515625" style="938" customWidth="1"/>
    <col min="4864" max="4864" width="2.7109375" style="938" customWidth="1"/>
    <col min="4865" max="4866" width="17.7109375" style="938" customWidth="1"/>
    <col min="4867" max="4867" width="2.7109375" style="938" customWidth="1"/>
    <col min="4868" max="4869" width="17.140625" style="938" customWidth="1"/>
    <col min="4870" max="4870" width="14.140625" style="938" customWidth="1"/>
    <col min="4871" max="5116" width="9.140625" style="938"/>
    <col min="5117" max="5117" width="18" style="938" customWidth="1"/>
    <col min="5118" max="5119" width="14.28515625" style="938" customWidth="1"/>
    <col min="5120" max="5120" width="2.7109375" style="938" customWidth="1"/>
    <col min="5121" max="5122" width="17.7109375" style="938" customWidth="1"/>
    <col min="5123" max="5123" width="2.7109375" style="938" customWidth="1"/>
    <col min="5124" max="5125" width="17.140625" style="938" customWidth="1"/>
    <col min="5126" max="5126" width="14.140625" style="938" customWidth="1"/>
    <col min="5127" max="5372" width="9.140625" style="938"/>
    <col min="5373" max="5373" width="18" style="938" customWidth="1"/>
    <col min="5374" max="5375" width="14.28515625" style="938" customWidth="1"/>
    <col min="5376" max="5376" width="2.7109375" style="938" customWidth="1"/>
    <col min="5377" max="5378" width="17.7109375" style="938" customWidth="1"/>
    <col min="5379" max="5379" width="2.7109375" style="938" customWidth="1"/>
    <col min="5380" max="5381" width="17.140625" style="938" customWidth="1"/>
    <col min="5382" max="5382" width="14.140625" style="938" customWidth="1"/>
    <col min="5383" max="5628" width="9.140625" style="938"/>
    <col min="5629" max="5629" width="18" style="938" customWidth="1"/>
    <col min="5630" max="5631" width="14.28515625" style="938" customWidth="1"/>
    <col min="5632" max="5632" width="2.7109375" style="938" customWidth="1"/>
    <col min="5633" max="5634" width="17.7109375" style="938" customWidth="1"/>
    <col min="5635" max="5635" width="2.7109375" style="938" customWidth="1"/>
    <col min="5636" max="5637" width="17.140625" style="938" customWidth="1"/>
    <col min="5638" max="5638" width="14.140625" style="938" customWidth="1"/>
    <col min="5639" max="5884" width="9.140625" style="938"/>
    <col min="5885" max="5885" width="18" style="938" customWidth="1"/>
    <col min="5886" max="5887" width="14.28515625" style="938" customWidth="1"/>
    <col min="5888" max="5888" width="2.7109375" style="938" customWidth="1"/>
    <col min="5889" max="5890" width="17.7109375" style="938" customWidth="1"/>
    <col min="5891" max="5891" width="2.7109375" style="938" customWidth="1"/>
    <col min="5892" max="5893" width="17.140625" style="938" customWidth="1"/>
    <col min="5894" max="5894" width="14.140625" style="938" customWidth="1"/>
    <col min="5895" max="6140" width="9.140625" style="938"/>
    <col min="6141" max="6141" width="18" style="938" customWidth="1"/>
    <col min="6142" max="6143" width="14.28515625" style="938" customWidth="1"/>
    <col min="6144" max="6144" width="2.7109375" style="938" customWidth="1"/>
    <col min="6145" max="6146" width="17.7109375" style="938" customWidth="1"/>
    <col min="6147" max="6147" width="2.7109375" style="938" customWidth="1"/>
    <col min="6148" max="6149" width="17.140625" style="938" customWidth="1"/>
    <col min="6150" max="6150" width="14.140625" style="938" customWidth="1"/>
    <col min="6151" max="6396" width="9.140625" style="938"/>
    <col min="6397" max="6397" width="18" style="938" customWidth="1"/>
    <col min="6398" max="6399" width="14.28515625" style="938" customWidth="1"/>
    <col min="6400" max="6400" width="2.7109375" style="938" customWidth="1"/>
    <col min="6401" max="6402" width="17.7109375" style="938" customWidth="1"/>
    <col min="6403" max="6403" width="2.7109375" style="938" customWidth="1"/>
    <col min="6404" max="6405" width="17.140625" style="938" customWidth="1"/>
    <col min="6406" max="6406" width="14.140625" style="938" customWidth="1"/>
    <col min="6407" max="6652" width="9.140625" style="938"/>
    <col min="6653" max="6653" width="18" style="938" customWidth="1"/>
    <col min="6654" max="6655" width="14.28515625" style="938" customWidth="1"/>
    <col min="6656" max="6656" width="2.7109375" style="938" customWidth="1"/>
    <col min="6657" max="6658" width="17.7109375" style="938" customWidth="1"/>
    <col min="6659" max="6659" width="2.7109375" style="938" customWidth="1"/>
    <col min="6660" max="6661" width="17.140625" style="938" customWidth="1"/>
    <col min="6662" max="6662" width="14.140625" style="938" customWidth="1"/>
    <col min="6663" max="6908" width="9.140625" style="938"/>
    <col min="6909" max="6909" width="18" style="938" customWidth="1"/>
    <col min="6910" max="6911" width="14.28515625" style="938" customWidth="1"/>
    <col min="6912" max="6912" width="2.7109375" style="938" customWidth="1"/>
    <col min="6913" max="6914" width="17.7109375" style="938" customWidth="1"/>
    <col min="6915" max="6915" width="2.7109375" style="938" customWidth="1"/>
    <col min="6916" max="6917" width="17.140625" style="938" customWidth="1"/>
    <col min="6918" max="6918" width="14.140625" style="938" customWidth="1"/>
    <col min="6919" max="7164" width="9.140625" style="938"/>
    <col min="7165" max="7165" width="18" style="938" customWidth="1"/>
    <col min="7166" max="7167" width="14.28515625" style="938" customWidth="1"/>
    <col min="7168" max="7168" width="2.7109375" style="938" customWidth="1"/>
    <col min="7169" max="7170" width="17.7109375" style="938" customWidth="1"/>
    <col min="7171" max="7171" width="2.7109375" style="938" customWidth="1"/>
    <col min="7172" max="7173" width="17.140625" style="938" customWidth="1"/>
    <col min="7174" max="7174" width="14.140625" style="938" customWidth="1"/>
    <col min="7175" max="7420" width="9.140625" style="938"/>
    <col min="7421" max="7421" width="18" style="938" customWidth="1"/>
    <col min="7422" max="7423" width="14.28515625" style="938" customWidth="1"/>
    <col min="7424" max="7424" width="2.7109375" style="938" customWidth="1"/>
    <col min="7425" max="7426" width="17.7109375" style="938" customWidth="1"/>
    <col min="7427" max="7427" width="2.7109375" style="938" customWidth="1"/>
    <col min="7428" max="7429" width="17.140625" style="938" customWidth="1"/>
    <col min="7430" max="7430" width="14.140625" style="938" customWidth="1"/>
    <col min="7431" max="7676" width="9.140625" style="938"/>
    <col min="7677" max="7677" width="18" style="938" customWidth="1"/>
    <col min="7678" max="7679" width="14.28515625" style="938" customWidth="1"/>
    <col min="7680" max="7680" width="2.7109375" style="938" customWidth="1"/>
    <col min="7681" max="7682" width="17.7109375" style="938" customWidth="1"/>
    <col min="7683" max="7683" width="2.7109375" style="938" customWidth="1"/>
    <col min="7684" max="7685" width="17.140625" style="938" customWidth="1"/>
    <col min="7686" max="7686" width="14.140625" style="938" customWidth="1"/>
    <col min="7687" max="7932" width="9.140625" style="938"/>
    <col min="7933" max="7933" width="18" style="938" customWidth="1"/>
    <col min="7934" max="7935" width="14.28515625" style="938" customWidth="1"/>
    <col min="7936" max="7936" width="2.7109375" style="938" customWidth="1"/>
    <col min="7937" max="7938" width="17.7109375" style="938" customWidth="1"/>
    <col min="7939" max="7939" width="2.7109375" style="938" customWidth="1"/>
    <col min="7940" max="7941" width="17.140625" style="938" customWidth="1"/>
    <col min="7942" max="7942" width="14.140625" style="938" customWidth="1"/>
    <col min="7943" max="8188" width="9.140625" style="938"/>
    <col min="8189" max="8189" width="18" style="938" customWidth="1"/>
    <col min="8190" max="8191" width="14.28515625" style="938" customWidth="1"/>
    <col min="8192" max="8192" width="2.7109375" style="938" customWidth="1"/>
    <col min="8193" max="8194" width="17.7109375" style="938" customWidth="1"/>
    <col min="8195" max="8195" width="2.7109375" style="938" customWidth="1"/>
    <col min="8196" max="8197" width="17.140625" style="938" customWidth="1"/>
    <col min="8198" max="8198" width="14.140625" style="938" customWidth="1"/>
    <col min="8199" max="8444" width="9.140625" style="938"/>
    <col min="8445" max="8445" width="18" style="938" customWidth="1"/>
    <col min="8446" max="8447" width="14.28515625" style="938" customWidth="1"/>
    <col min="8448" max="8448" width="2.7109375" style="938" customWidth="1"/>
    <col min="8449" max="8450" width="17.7109375" style="938" customWidth="1"/>
    <col min="8451" max="8451" width="2.7109375" style="938" customWidth="1"/>
    <col min="8452" max="8453" width="17.140625" style="938" customWidth="1"/>
    <col min="8454" max="8454" width="14.140625" style="938" customWidth="1"/>
    <col min="8455" max="8700" width="9.140625" style="938"/>
    <col min="8701" max="8701" width="18" style="938" customWidth="1"/>
    <col min="8702" max="8703" width="14.28515625" style="938" customWidth="1"/>
    <col min="8704" max="8704" width="2.7109375" style="938" customWidth="1"/>
    <col min="8705" max="8706" width="17.7109375" style="938" customWidth="1"/>
    <col min="8707" max="8707" width="2.7109375" style="938" customWidth="1"/>
    <col min="8708" max="8709" width="17.140625" style="938" customWidth="1"/>
    <col min="8710" max="8710" width="14.140625" style="938" customWidth="1"/>
    <col min="8711" max="8956" width="9.140625" style="938"/>
    <col min="8957" max="8957" width="18" style="938" customWidth="1"/>
    <col min="8958" max="8959" width="14.28515625" style="938" customWidth="1"/>
    <col min="8960" max="8960" width="2.7109375" style="938" customWidth="1"/>
    <col min="8961" max="8962" width="17.7109375" style="938" customWidth="1"/>
    <col min="8963" max="8963" width="2.7109375" style="938" customWidth="1"/>
    <col min="8964" max="8965" width="17.140625" style="938" customWidth="1"/>
    <col min="8966" max="8966" width="14.140625" style="938" customWidth="1"/>
    <col min="8967" max="9212" width="9.140625" style="938"/>
    <col min="9213" max="9213" width="18" style="938" customWidth="1"/>
    <col min="9214" max="9215" width="14.28515625" style="938" customWidth="1"/>
    <col min="9216" max="9216" width="2.7109375" style="938" customWidth="1"/>
    <col min="9217" max="9218" width="17.7109375" style="938" customWidth="1"/>
    <col min="9219" max="9219" width="2.7109375" style="938" customWidth="1"/>
    <col min="9220" max="9221" width="17.140625" style="938" customWidth="1"/>
    <col min="9222" max="9222" width="14.140625" style="938" customWidth="1"/>
    <col min="9223" max="9468" width="9.140625" style="938"/>
    <col min="9469" max="9469" width="18" style="938" customWidth="1"/>
    <col min="9470" max="9471" width="14.28515625" style="938" customWidth="1"/>
    <col min="9472" max="9472" width="2.7109375" style="938" customWidth="1"/>
    <col min="9473" max="9474" width="17.7109375" style="938" customWidth="1"/>
    <col min="9475" max="9475" width="2.7109375" style="938" customWidth="1"/>
    <col min="9476" max="9477" width="17.140625" style="938" customWidth="1"/>
    <col min="9478" max="9478" width="14.140625" style="938" customWidth="1"/>
    <col min="9479" max="9724" width="9.140625" style="938"/>
    <col min="9725" max="9725" width="18" style="938" customWidth="1"/>
    <col min="9726" max="9727" width="14.28515625" style="938" customWidth="1"/>
    <col min="9728" max="9728" width="2.7109375" style="938" customWidth="1"/>
    <col min="9729" max="9730" width="17.7109375" style="938" customWidth="1"/>
    <col min="9731" max="9731" width="2.7109375" style="938" customWidth="1"/>
    <col min="9732" max="9733" width="17.140625" style="938" customWidth="1"/>
    <col min="9734" max="9734" width="14.140625" style="938" customWidth="1"/>
    <col min="9735" max="9980" width="9.140625" style="938"/>
    <col min="9981" max="9981" width="18" style="938" customWidth="1"/>
    <col min="9982" max="9983" width="14.28515625" style="938" customWidth="1"/>
    <col min="9984" max="9984" width="2.7109375" style="938" customWidth="1"/>
    <col min="9985" max="9986" width="17.7109375" style="938" customWidth="1"/>
    <col min="9987" max="9987" width="2.7109375" style="938" customWidth="1"/>
    <col min="9988" max="9989" width="17.140625" style="938" customWidth="1"/>
    <col min="9990" max="9990" width="14.140625" style="938" customWidth="1"/>
    <col min="9991" max="10236" width="9.140625" style="938"/>
    <col min="10237" max="10237" width="18" style="938" customWidth="1"/>
    <col min="10238" max="10239" width="14.28515625" style="938" customWidth="1"/>
    <col min="10240" max="10240" width="2.7109375" style="938" customWidth="1"/>
    <col min="10241" max="10242" width="17.7109375" style="938" customWidth="1"/>
    <col min="10243" max="10243" width="2.7109375" style="938" customWidth="1"/>
    <col min="10244" max="10245" width="17.140625" style="938" customWidth="1"/>
    <col min="10246" max="10246" width="14.140625" style="938" customWidth="1"/>
    <col min="10247" max="10492" width="9.140625" style="938"/>
    <col min="10493" max="10493" width="18" style="938" customWidth="1"/>
    <col min="10494" max="10495" width="14.28515625" style="938" customWidth="1"/>
    <col min="10496" max="10496" width="2.7109375" style="938" customWidth="1"/>
    <col min="10497" max="10498" width="17.7109375" style="938" customWidth="1"/>
    <col min="10499" max="10499" width="2.7109375" style="938" customWidth="1"/>
    <col min="10500" max="10501" width="17.140625" style="938" customWidth="1"/>
    <col min="10502" max="10502" width="14.140625" style="938" customWidth="1"/>
    <col min="10503" max="10748" width="9.140625" style="938"/>
    <col min="10749" max="10749" width="18" style="938" customWidth="1"/>
    <col min="10750" max="10751" width="14.28515625" style="938" customWidth="1"/>
    <col min="10752" max="10752" width="2.7109375" style="938" customWidth="1"/>
    <col min="10753" max="10754" width="17.7109375" style="938" customWidth="1"/>
    <col min="10755" max="10755" width="2.7109375" style="938" customWidth="1"/>
    <col min="10756" max="10757" width="17.140625" style="938" customWidth="1"/>
    <col min="10758" max="10758" width="14.140625" style="938" customWidth="1"/>
    <col min="10759" max="11004" width="9.140625" style="938"/>
    <col min="11005" max="11005" width="18" style="938" customWidth="1"/>
    <col min="11006" max="11007" width="14.28515625" style="938" customWidth="1"/>
    <col min="11008" max="11008" width="2.7109375" style="938" customWidth="1"/>
    <col min="11009" max="11010" width="17.7109375" style="938" customWidth="1"/>
    <col min="11011" max="11011" width="2.7109375" style="938" customWidth="1"/>
    <col min="11012" max="11013" width="17.140625" style="938" customWidth="1"/>
    <col min="11014" max="11014" width="14.140625" style="938" customWidth="1"/>
    <col min="11015" max="11260" width="9.140625" style="938"/>
    <col min="11261" max="11261" width="18" style="938" customWidth="1"/>
    <col min="11262" max="11263" width="14.28515625" style="938" customWidth="1"/>
    <col min="11264" max="11264" width="2.7109375" style="938" customWidth="1"/>
    <col min="11265" max="11266" width="17.7109375" style="938" customWidth="1"/>
    <col min="11267" max="11267" width="2.7109375" style="938" customWidth="1"/>
    <col min="11268" max="11269" width="17.140625" style="938" customWidth="1"/>
    <col min="11270" max="11270" width="14.140625" style="938" customWidth="1"/>
    <col min="11271" max="11516" width="9.140625" style="938"/>
    <col min="11517" max="11517" width="18" style="938" customWidth="1"/>
    <col min="11518" max="11519" width="14.28515625" style="938" customWidth="1"/>
    <col min="11520" max="11520" width="2.7109375" style="938" customWidth="1"/>
    <col min="11521" max="11522" width="17.7109375" style="938" customWidth="1"/>
    <col min="11523" max="11523" width="2.7109375" style="938" customWidth="1"/>
    <col min="11524" max="11525" width="17.140625" style="938" customWidth="1"/>
    <col min="11526" max="11526" width="14.140625" style="938" customWidth="1"/>
    <col min="11527" max="11772" width="9.140625" style="938"/>
    <col min="11773" max="11773" width="18" style="938" customWidth="1"/>
    <col min="11774" max="11775" width="14.28515625" style="938" customWidth="1"/>
    <col min="11776" max="11776" width="2.7109375" style="938" customWidth="1"/>
    <col min="11777" max="11778" width="17.7109375" style="938" customWidth="1"/>
    <col min="11779" max="11779" width="2.7109375" style="938" customWidth="1"/>
    <col min="11780" max="11781" width="17.140625" style="938" customWidth="1"/>
    <col min="11782" max="11782" width="14.140625" style="938" customWidth="1"/>
    <col min="11783" max="12028" width="9.140625" style="938"/>
    <col min="12029" max="12029" width="18" style="938" customWidth="1"/>
    <col min="12030" max="12031" width="14.28515625" style="938" customWidth="1"/>
    <col min="12032" max="12032" width="2.7109375" style="938" customWidth="1"/>
    <col min="12033" max="12034" width="17.7109375" style="938" customWidth="1"/>
    <col min="12035" max="12035" width="2.7109375" style="938" customWidth="1"/>
    <col min="12036" max="12037" width="17.140625" style="938" customWidth="1"/>
    <col min="12038" max="12038" width="14.140625" style="938" customWidth="1"/>
    <col min="12039" max="12284" width="9.140625" style="938"/>
    <col min="12285" max="12285" width="18" style="938" customWidth="1"/>
    <col min="12286" max="12287" width="14.28515625" style="938" customWidth="1"/>
    <col min="12288" max="12288" width="2.7109375" style="938" customWidth="1"/>
    <col min="12289" max="12290" width="17.7109375" style="938" customWidth="1"/>
    <col min="12291" max="12291" width="2.7109375" style="938" customWidth="1"/>
    <col min="12292" max="12293" width="17.140625" style="938" customWidth="1"/>
    <col min="12294" max="12294" width="14.140625" style="938" customWidth="1"/>
    <col min="12295" max="12540" width="9.140625" style="938"/>
    <col min="12541" max="12541" width="18" style="938" customWidth="1"/>
    <col min="12542" max="12543" width="14.28515625" style="938" customWidth="1"/>
    <col min="12544" max="12544" width="2.7109375" style="938" customWidth="1"/>
    <col min="12545" max="12546" width="17.7109375" style="938" customWidth="1"/>
    <col min="12547" max="12547" width="2.7109375" style="938" customWidth="1"/>
    <col min="12548" max="12549" width="17.140625" style="938" customWidth="1"/>
    <col min="12550" max="12550" width="14.140625" style="938" customWidth="1"/>
    <col min="12551" max="12796" width="9.140625" style="938"/>
    <col min="12797" max="12797" width="18" style="938" customWidth="1"/>
    <col min="12798" max="12799" width="14.28515625" style="938" customWidth="1"/>
    <col min="12800" max="12800" width="2.7109375" style="938" customWidth="1"/>
    <col min="12801" max="12802" width="17.7109375" style="938" customWidth="1"/>
    <col min="12803" max="12803" width="2.7109375" style="938" customWidth="1"/>
    <col min="12804" max="12805" width="17.140625" style="938" customWidth="1"/>
    <col min="12806" max="12806" width="14.140625" style="938" customWidth="1"/>
    <col min="12807" max="13052" width="9.140625" style="938"/>
    <col min="13053" max="13053" width="18" style="938" customWidth="1"/>
    <col min="13054" max="13055" width="14.28515625" style="938" customWidth="1"/>
    <col min="13056" max="13056" width="2.7109375" style="938" customWidth="1"/>
    <col min="13057" max="13058" width="17.7109375" style="938" customWidth="1"/>
    <col min="13059" max="13059" width="2.7109375" style="938" customWidth="1"/>
    <col min="13060" max="13061" width="17.140625" style="938" customWidth="1"/>
    <col min="13062" max="13062" width="14.140625" style="938" customWidth="1"/>
    <col min="13063" max="13308" width="9.140625" style="938"/>
    <col min="13309" max="13309" width="18" style="938" customWidth="1"/>
    <col min="13310" max="13311" width="14.28515625" style="938" customWidth="1"/>
    <col min="13312" max="13312" width="2.7109375" style="938" customWidth="1"/>
    <col min="13313" max="13314" width="17.7109375" style="938" customWidth="1"/>
    <col min="13315" max="13315" width="2.7109375" style="938" customWidth="1"/>
    <col min="13316" max="13317" width="17.140625" style="938" customWidth="1"/>
    <col min="13318" max="13318" width="14.140625" style="938" customWidth="1"/>
    <col min="13319" max="13564" width="9.140625" style="938"/>
    <col min="13565" max="13565" width="18" style="938" customWidth="1"/>
    <col min="13566" max="13567" width="14.28515625" style="938" customWidth="1"/>
    <col min="13568" max="13568" width="2.7109375" style="938" customWidth="1"/>
    <col min="13569" max="13570" width="17.7109375" style="938" customWidth="1"/>
    <col min="13571" max="13571" width="2.7109375" style="938" customWidth="1"/>
    <col min="13572" max="13573" width="17.140625" style="938" customWidth="1"/>
    <col min="13574" max="13574" width="14.140625" style="938" customWidth="1"/>
    <col min="13575" max="13820" width="9.140625" style="938"/>
    <col min="13821" max="13821" width="18" style="938" customWidth="1"/>
    <col min="13822" max="13823" width="14.28515625" style="938" customWidth="1"/>
    <col min="13824" max="13824" width="2.7109375" style="938" customWidth="1"/>
    <col min="13825" max="13826" width="17.7109375" style="938" customWidth="1"/>
    <col min="13827" max="13827" width="2.7109375" style="938" customWidth="1"/>
    <col min="13828" max="13829" width="17.140625" style="938" customWidth="1"/>
    <col min="13830" max="13830" width="14.140625" style="938" customWidth="1"/>
    <col min="13831" max="14076" width="9.140625" style="938"/>
    <col min="14077" max="14077" width="18" style="938" customWidth="1"/>
    <col min="14078" max="14079" width="14.28515625" style="938" customWidth="1"/>
    <col min="14080" max="14080" width="2.7109375" style="938" customWidth="1"/>
    <col min="14081" max="14082" width="17.7109375" style="938" customWidth="1"/>
    <col min="14083" max="14083" width="2.7109375" style="938" customWidth="1"/>
    <col min="14084" max="14085" width="17.140625" style="938" customWidth="1"/>
    <col min="14086" max="14086" width="14.140625" style="938" customWidth="1"/>
    <col min="14087" max="14332" width="9.140625" style="938"/>
    <col min="14333" max="14333" width="18" style="938" customWidth="1"/>
    <col min="14334" max="14335" width="14.28515625" style="938" customWidth="1"/>
    <col min="14336" max="14336" width="2.7109375" style="938" customWidth="1"/>
    <col min="14337" max="14338" width="17.7109375" style="938" customWidth="1"/>
    <col min="14339" max="14339" width="2.7109375" style="938" customWidth="1"/>
    <col min="14340" max="14341" width="17.140625" style="938" customWidth="1"/>
    <col min="14342" max="14342" width="14.140625" style="938" customWidth="1"/>
    <col min="14343" max="14588" width="9.140625" style="938"/>
    <col min="14589" max="14589" width="18" style="938" customWidth="1"/>
    <col min="14590" max="14591" width="14.28515625" style="938" customWidth="1"/>
    <col min="14592" max="14592" width="2.7109375" style="938" customWidth="1"/>
    <col min="14593" max="14594" width="17.7109375" style="938" customWidth="1"/>
    <col min="14595" max="14595" width="2.7109375" style="938" customWidth="1"/>
    <col min="14596" max="14597" width="17.140625" style="938" customWidth="1"/>
    <col min="14598" max="14598" width="14.140625" style="938" customWidth="1"/>
    <col min="14599" max="14844" width="9.140625" style="938"/>
    <col min="14845" max="14845" width="18" style="938" customWidth="1"/>
    <col min="14846" max="14847" width="14.28515625" style="938" customWidth="1"/>
    <col min="14848" max="14848" width="2.7109375" style="938" customWidth="1"/>
    <col min="14849" max="14850" width="17.7109375" style="938" customWidth="1"/>
    <col min="14851" max="14851" width="2.7109375" style="938" customWidth="1"/>
    <col min="14852" max="14853" width="17.140625" style="938" customWidth="1"/>
    <col min="14854" max="14854" width="14.140625" style="938" customWidth="1"/>
    <col min="14855" max="15100" width="9.140625" style="938"/>
    <col min="15101" max="15101" width="18" style="938" customWidth="1"/>
    <col min="15102" max="15103" width="14.28515625" style="938" customWidth="1"/>
    <col min="15104" max="15104" width="2.7109375" style="938" customWidth="1"/>
    <col min="15105" max="15106" width="17.7109375" style="938" customWidth="1"/>
    <col min="15107" max="15107" width="2.7109375" style="938" customWidth="1"/>
    <col min="15108" max="15109" width="17.140625" style="938" customWidth="1"/>
    <col min="15110" max="15110" width="14.140625" style="938" customWidth="1"/>
    <col min="15111" max="15356" width="9.140625" style="938"/>
    <col min="15357" max="15357" width="18" style="938" customWidth="1"/>
    <col min="15358" max="15359" width="14.28515625" style="938" customWidth="1"/>
    <col min="15360" max="15360" width="2.7109375" style="938" customWidth="1"/>
    <col min="15361" max="15362" width="17.7109375" style="938" customWidth="1"/>
    <col min="15363" max="15363" width="2.7109375" style="938" customWidth="1"/>
    <col min="15364" max="15365" width="17.140625" style="938" customWidth="1"/>
    <col min="15366" max="15366" width="14.140625" style="938" customWidth="1"/>
    <col min="15367" max="15612" width="9.140625" style="938"/>
    <col min="15613" max="15613" width="18" style="938" customWidth="1"/>
    <col min="15614" max="15615" width="14.28515625" style="938" customWidth="1"/>
    <col min="15616" max="15616" width="2.7109375" style="938" customWidth="1"/>
    <col min="15617" max="15618" width="17.7109375" style="938" customWidth="1"/>
    <col min="15619" max="15619" width="2.7109375" style="938" customWidth="1"/>
    <col min="15620" max="15621" width="17.140625" style="938" customWidth="1"/>
    <col min="15622" max="15622" width="14.140625" style="938" customWidth="1"/>
    <col min="15623" max="15868" width="9.140625" style="938"/>
    <col min="15869" max="15869" width="18" style="938" customWidth="1"/>
    <col min="15870" max="15871" width="14.28515625" style="938" customWidth="1"/>
    <col min="15872" max="15872" width="2.7109375" style="938" customWidth="1"/>
    <col min="15873" max="15874" width="17.7109375" style="938" customWidth="1"/>
    <col min="15875" max="15875" width="2.7109375" style="938" customWidth="1"/>
    <col min="15876" max="15877" width="17.140625" style="938" customWidth="1"/>
    <col min="15878" max="15878" width="14.140625" style="938" customWidth="1"/>
    <col min="15879" max="16124" width="9.140625" style="938"/>
    <col min="16125" max="16125" width="18" style="938" customWidth="1"/>
    <col min="16126" max="16127" width="14.28515625" style="938" customWidth="1"/>
    <col min="16128" max="16128" width="2.7109375" style="938" customWidth="1"/>
    <col min="16129" max="16130" width="17.7109375" style="938" customWidth="1"/>
    <col min="16131" max="16131" width="2.7109375" style="938" customWidth="1"/>
    <col min="16132" max="16133" width="17.140625" style="938" customWidth="1"/>
    <col min="16134" max="16134" width="14.140625" style="938" customWidth="1"/>
    <col min="16135" max="16378" width="9.140625" style="938"/>
    <col min="16379" max="16384" width="9.140625" style="938" customWidth="1"/>
  </cols>
  <sheetData>
    <row r="1" spans="1:7">
      <c r="A1" s="17" t="str">
        <f>RevReqSummary!A1</f>
        <v>PacifiCorp General Rate Case UE-140617</v>
      </c>
      <c r="C1" s="939"/>
      <c r="D1" s="940"/>
      <c r="E1" s="939"/>
      <c r="F1" s="941"/>
      <c r="G1" s="942"/>
    </row>
    <row r="2" spans="1:7">
      <c r="A2" s="17" t="str">
        <f>RevReqSummary!A2</f>
        <v>For The Twelve Months Ended December 2013 - Staff Revenue Requirement</v>
      </c>
      <c r="C2" s="939"/>
      <c r="D2" s="940"/>
      <c r="E2" s="939"/>
      <c r="F2" s="941"/>
      <c r="G2" s="942"/>
    </row>
    <row r="3" spans="1:7">
      <c r="A3" s="943" t="s">
        <v>337</v>
      </c>
      <c r="C3" s="939"/>
      <c r="D3" s="944"/>
      <c r="E3" s="939"/>
      <c r="F3" s="941"/>
      <c r="G3" s="944"/>
    </row>
    <row r="4" spans="1:7" ht="17.25" customHeight="1">
      <c r="A4" s="943" t="s">
        <v>491</v>
      </c>
      <c r="C4" s="939"/>
      <c r="D4" s="945" t="s">
        <v>131</v>
      </c>
      <c r="E4" s="939"/>
      <c r="F4" s="941"/>
      <c r="G4" s="946" t="s">
        <v>141</v>
      </c>
    </row>
    <row r="5" spans="1:7" ht="25.5">
      <c r="A5" s="1"/>
      <c r="B5" s="947" t="s">
        <v>132</v>
      </c>
      <c r="C5" s="948" t="s">
        <v>133</v>
      </c>
      <c r="D5" s="949" t="s">
        <v>134</v>
      </c>
      <c r="E5" s="950" t="s">
        <v>135</v>
      </c>
      <c r="F5" s="951" t="s">
        <v>136</v>
      </c>
      <c r="G5" s="149" t="s">
        <v>137</v>
      </c>
    </row>
    <row r="6" spans="1:7">
      <c r="A6" s="952" t="s">
        <v>199</v>
      </c>
      <c r="C6" s="546"/>
      <c r="D6" s="938"/>
      <c r="E6" s="939"/>
      <c r="F6" s="953"/>
      <c r="G6" s="942"/>
    </row>
    <row r="7" spans="1:7">
      <c r="A7" s="954" t="s">
        <v>324</v>
      </c>
      <c r="B7" s="955" t="s">
        <v>561</v>
      </c>
      <c r="C7" s="956" t="s">
        <v>398</v>
      </c>
      <c r="D7" s="957">
        <v>2820383.510351927</v>
      </c>
      <c r="E7" s="30" t="s">
        <v>214</v>
      </c>
      <c r="F7" s="33">
        <f>INDEX(WCAAllocations,IFERROR(MATCH(E7,WCAFactors,0),2),IFERROR(MATCH(#REF!,WCAStates,0),4))</f>
        <v>0</v>
      </c>
      <c r="G7" s="144">
        <f t="shared" ref="G7:G16" si="0">D7*F7</f>
        <v>0</v>
      </c>
    </row>
    <row r="8" spans="1:7">
      <c r="A8" s="954" t="s">
        <v>324</v>
      </c>
      <c r="B8" s="955" t="s">
        <v>561</v>
      </c>
      <c r="C8" s="956" t="s">
        <v>398</v>
      </c>
      <c r="D8" s="958">
        <v>143.37455398200109</v>
      </c>
      <c r="E8" s="30" t="s">
        <v>203</v>
      </c>
      <c r="F8" s="33">
        <f>INDEX(WCAAllocations,IFERROR(MATCH(E8,WCAFactors,0),2),IFERROR(MATCH(#REF!,WCAStates,0),4))</f>
        <v>0.23084885646883446</v>
      </c>
      <c r="G8" s="144">
        <f t="shared" si="0"/>
        <v>33.097851833474131</v>
      </c>
    </row>
    <row r="9" spans="1:7">
      <c r="A9" s="954" t="s">
        <v>324</v>
      </c>
      <c r="B9" s="955" t="s">
        <v>561</v>
      </c>
      <c r="C9" s="956" t="s">
        <v>398</v>
      </c>
      <c r="D9" s="958">
        <v>193857.2596277328</v>
      </c>
      <c r="E9" s="30" t="s">
        <v>231</v>
      </c>
      <c r="F9" s="33">
        <f>INDEX(WCAAllocations,IFERROR(MATCH(E9,WCAFactors,0),2),IFERROR(MATCH(#REF!,WCAStates,0),4))</f>
        <v>0.22953887558714423</v>
      </c>
      <c r="G9" s="144">
        <f t="shared" si="0"/>
        <v>44497.777399354876</v>
      </c>
    </row>
    <row r="10" spans="1:7">
      <c r="A10" s="954" t="s">
        <v>324</v>
      </c>
      <c r="B10" s="955" t="s">
        <v>561</v>
      </c>
      <c r="C10" s="956" t="s">
        <v>398</v>
      </c>
      <c r="D10" s="958">
        <v>1089.8680393423613</v>
      </c>
      <c r="E10" s="30" t="s">
        <v>146</v>
      </c>
      <c r="F10" s="33">
        <f>INDEX(WCAAllocations,IFERROR(MATCH(E10,WCAFactors,0),2),IFERROR(MATCH(#REF!,WCAStates,0),4))</f>
        <v>7.9057273540331513E-2</v>
      </c>
      <c r="G10" s="144">
        <f t="shared" si="0"/>
        <v>86.161995709153842</v>
      </c>
    </row>
    <row r="11" spans="1:7">
      <c r="A11" s="954" t="s">
        <v>325</v>
      </c>
      <c r="B11" s="955" t="s">
        <v>545</v>
      </c>
      <c r="C11" s="956" t="s">
        <v>398</v>
      </c>
      <c r="D11" s="958">
        <v>41031.574556759449</v>
      </c>
      <c r="E11" s="30" t="s">
        <v>261</v>
      </c>
      <c r="F11" s="33">
        <f>INDEX(WCAAllocations,IFERROR(MATCH(E11,WCAFactors,0),2),IFERROR(MATCH(#REF!,WCAStates,0),4))</f>
        <v>0</v>
      </c>
      <c r="G11" s="144">
        <f t="shared" si="0"/>
        <v>0</v>
      </c>
    </row>
    <row r="12" spans="1:7">
      <c r="A12" s="954" t="s">
        <v>325</v>
      </c>
      <c r="B12" s="955" t="s">
        <v>545</v>
      </c>
      <c r="C12" s="956" t="s">
        <v>398</v>
      </c>
      <c r="D12" s="958">
        <v>25452.560152245034</v>
      </c>
      <c r="E12" s="30" t="s">
        <v>232</v>
      </c>
      <c r="F12" s="33">
        <f>INDEX(WCAAllocations,IFERROR(MATCH(E12,WCAFactors,0),2),IFERROR(MATCH(#REF!,WCAStates,0),4))</f>
        <v>0.22612324164332259</v>
      </c>
      <c r="G12" s="144">
        <f t="shared" si="0"/>
        <v>5755.4154097473074</v>
      </c>
    </row>
    <row r="13" spans="1:7">
      <c r="A13" s="954" t="s">
        <v>325</v>
      </c>
      <c r="B13" s="955" t="s">
        <v>545</v>
      </c>
      <c r="C13" s="956" t="s">
        <v>398</v>
      </c>
      <c r="D13" s="958">
        <v>11595.592256635586</v>
      </c>
      <c r="E13" s="30" t="s">
        <v>148</v>
      </c>
      <c r="F13" s="33">
        <f>INDEX(WCAAllocations,IFERROR(MATCH(E13,WCAFactors,0),2),IFERROR(MATCH(#REF!,WCAStates,0),4))</f>
        <v>7.5697931989234163E-2</v>
      </c>
      <c r="G13" s="144">
        <f t="shared" si="0"/>
        <v>877.76235401769088</v>
      </c>
    </row>
    <row r="14" spans="1:7">
      <c r="A14" s="954" t="s">
        <v>326</v>
      </c>
      <c r="B14" s="955" t="s">
        <v>546</v>
      </c>
      <c r="C14" s="956" t="s">
        <v>398</v>
      </c>
      <c r="D14" s="958">
        <v>1158859.1228852649</v>
      </c>
      <c r="E14" s="30" t="s">
        <v>214</v>
      </c>
      <c r="F14" s="33">
        <f>INDEX(WCAAllocations,IFERROR(MATCH(E14,WCAFactors,0),2),IFERROR(MATCH(#REF!,WCAStates,0),4))</f>
        <v>0</v>
      </c>
      <c r="G14" s="144">
        <f t="shared" si="0"/>
        <v>0</v>
      </c>
    </row>
    <row r="15" spans="1:7">
      <c r="A15" s="954" t="s">
        <v>326</v>
      </c>
      <c r="B15" s="955" t="s">
        <v>546</v>
      </c>
      <c r="C15" s="956" t="s">
        <v>398</v>
      </c>
      <c r="D15" s="958">
        <v>-7251.769824551573</v>
      </c>
      <c r="E15" s="30" t="s">
        <v>203</v>
      </c>
      <c r="F15" s="33">
        <f>INDEX(WCAAllocations,IFERROR(MATCH(E15,WCAFactors,0),2),IFERROR(MATCH(#REF!,WCAStates,0),4))</f>
        <v>0.23084885646883446</v>
      </c>
      <c r="G15" s="144">
        <f t="shared" si="0"/>
        <v>-1674.0627713729309</v>
      </c>
    </row>
    <row r="16" spans="1:7">
      <c r="A16" s="954" t="s">
        <v>326</v>
      </c>
      <c r="B16" s="955" t="s">
        <v>546</v>
      </c>
      <c r="C16" s="956" t="s">
        <v>398</v>
      </c>
      <c r="D16" s="959">
        <v>768068.56972625689</v>
      </c>
      <c r="E16" s="30" t="s">
        <v>231</v>
      </c>
      <c r="F16" s="33">
        <f>INDEX(WCAAllocations,IFERROR(MATCH(E16,WCAFactors,0),2),IFERROR(MATCH(#REF!,WCAStates,0),4))</f>
        <v>0.22953887558714423</v>
      </c>
      <c r="G16" s="144">
        <f t="shared" si="0"/>
        <v>176301.59586879108</v>
      </c>
    </row>
    <row r="17" spans="1:7">
      <c r="A17" s="954"/>
      <c r="B17" s="955"/>
      <c r="C17" s="956"/>
      <c r="D17" s="207">
        <f>SUM(D7:D16)</f>
        <v>5013229.6623255946</v>
      </c>
      <c r="E17" s="200"/>
      <c r="F17" s="201"/>
      <c r="G17" s="208">
        <f>SUM(G7:G16)</f>
        <v>225877.74810808065</v>
      </c>
    </row>
    <row r="18" spans="1:7">
      <c r="A18" s="954"/>
      <c r="B18" s="955"/>
      <c r="C18" s="956"/>
      <c r="D18" s="960"/>
      <c r="E18" s="200"/>
      <c r="F18" s="201"/>
      <c r="G18" s="195"/>
    </row>
    <row r="19" spans="1:7">
      <c r="A19" s="954" t="s">
        <v>327</v>
      </c>
      <c r="B19" s="955" t="s">
        <v>547</v>
      </c>
      <c r="C19" s="956" t="s">
        <v>398</v>
      </c>
      <c r="D19" s="959">
        <v>242760.41976881211</v>
      </c>
      <c r="E19" s="30" t="s">
        <v>214</v>
      </c>
      <c r="F19" s="33">
        <f>INDEX(WCAAllocations,IFERROR(MATCH(E19,WCAFactors,0),2),IFERROR(MATCH(#REF!,WCAStates,0),4))</f>
        <v>0</v>
      </c>
      <c r="G19" s="144">
        <f>D19*F19</f>
        <v>0</v>
      </c>
    </row>
    <row r="20" spans="1:7">
      <c r="A20" s="954" t="s">
        <v>327</v>
      </c>
      <c r="B20" s="961" t="s">
        <v>547</v>
      </c>
      <c r="C20" s="956" t="s">
        <v>398</v>
      </c>
      <c r="D20" s="959">
        <v>320496.39607940661</v>
      </c>
      <c r="E20" s="30" t="s">
        <v>203</v>
      </c>
      <c r="F20" s="33">
        <f>INDEX(WCAAllocations,IFERROR(MATCH(E20,WCAFactors,0),2),IFERROR(MATCH(#REF!,WCAStates,0),4))</f>
        <v>0.23084885646883446</v>
      </c>
      <c r="G20" s="144">
        <f>D20*F20</f>
        <v>73986.226537313662</v>
      </c>
    </row>
    <row r="21" spans="1:7">
      <c r="A21" s="954" t="s">
        <v>328</v>
      </c>
      <c r="B21" s="961" t="s">
        <v>549</v>
      </c>
      <c r="C21" s="956" t="s">
        <v>398</v>
      </c>
      <c r="D21" s="959">
        <v>48026.115082147888</v>
      </c>
      <c r="E21" s="30" t="s">
        <v>214</v>
      </c>
      <c r="F21" s="33">
        <f>INDEX(WCAAllocations,IFERROR(MATCH(E21,WCAFactors,0),2),IFERROR(MATCH(#REF!,WCAStates,0),4))</f>
        <v>0</v>
      </c>
      <c r="G21" s="144">
        <f>D21*F21</f>
        <v>0</v>
      </c>
    </row>
    <row r="22" spans="1:7">
      <c r="A22" s="954" t="s">
        <v>328</v>
      </c>
      <c r="B22" s="961" t="s">
        <v>549</v>
      </c>
      <c r="C22" s="956" t="s">
        <v>398</v>
      </c>
      <c r="D22" s="959">
        <v>132048.67411801429</v>
      </c>
      <c r="E22" s="30" t="s">
        <v>203</v>
      </c>
      <c r="F22" s="33">
        <f>INDEX(WCAAllocations,IFERROR(MATCH(E22,WCAFactors,0),2),IFERROR(MATCH(#REF!,WCAStates,0),4))</f>
        <v>0.23084885646883446</v>
      </c>
      <c r="G22" s="144">
        <f>D22*F22</f>
        <v>30483.285418369374</v>
      </c>
    </row>
    <row r="23" spans="1:7">
      <c r="A23" s="954"/>
      <c r="B23" s="955"/>
      <c r="C23" s="956"/>
      <c r="D23" s="207">
        <f>SUM(D19:D22)</f>
        <v>743331.60504838091</v>
      </c>
      <c r="E23" s="200"/>
      <c r="F23" s="201"/>
      <c r="G23" s="208">
        <f>SUM(G19:G22)</f>
        <v>104469.51195568303</v>
      </c>
    </row>
    <row r="24" spans="1:7">
      <c r="A24" s="954"/>
      <c r="B24" s="955"/>
      <c r="C24" s="956"/>
      <c r="D24" s="960"/>
      <c r="E24" s="200"/>
      <c r="F24" s="201"/>
      <c r="G24" s="195"/>
    </row>
    <row r="25" spans="1:7">
      <c r="A25" s="954" t="s">
        <v>329</v>
      </c>
      <c r="B25" s="961" t="s">
        <v>562</v>
      </c>
      <c r="C25" s="956" t="s">
        <v>398</v>
      </c>
      <c r="D25" s="959">
        <v>163501.7311624866</v>
      </c>
      <c r="E25" s="30" t="s">
        <v>214</v>
      </c>
      <c r="F25" s="33">
        <f>INDEX(WCAAllocations,IFERROR(MATCH(E25,WCAFactors,0),2),IFERROR(MATCH(#REF!,WCAStates,0),4))</f>
        <v>0</v>
      </c>
      <c r="G25" s="144">
        <f t="shared" ref="G25:G34" si="1">D25*F25</f>
        <v>0</v>
      </c>
    </row>
    <row r="26" spans="1:7">
      <c r="A26" s="954" t="s">
        <v>329</v>
      </c>
      <c r="B26" s="961" t="s">
        <v>562</v>
      </c>
      <c r="C26" s="956" t="s">
        <v>398</v>
      </c>
      <c r="D26" s="959">
        <v>61134.3960192136</v>
      </c>
      <c r="E26" s="30" t="s">
        <v>203</v>
      </c>
      <c r="F26" s="33">
        <f>INDEX(WCAAllocations,IFERROR(MATCH(E26,WCAFactors,0),2),IFERROR(MATCH(#REF!,WCAStates,0),4))</f>
        <v>0.23084885646883446</v>
      </c>
      <c r="G26" s="144">
        <f t="shared" si="1"/>
        <v>14112.805411948326</v>
      </c>
    </row>
    <row r="27" spans="1:7">
      <c r="A27" s="954" t="s">
        <v>329</v>
      </c>
      <c r="B27" s="961" t="s">
        <v>562</v>
      </c>
      <c r="C27" s="956" t="s">
        <v>398</v>
      </c>
      <c r="D27" s="959">
        <v>75543.203708062254</v>
      </c>
      <c r="E27" s="30" t="s">
        <v>146</v>
      </c>
      <c r="F27" s="33">
        <f>INDEX(WCAAllocations,IFERROR(MATCH(E27,WCAFactors,0),2),IFERROR(MATCH(#REF!,WCAStates,0),4))</f>
        <v>7.9057273540331513E-2</v>
      </c>
      <c r="G27" s="144">
        <f t="shared" si="1"/>
        <v>5972.2397196612637</v>
      </c>
    </row>
    <row r="28" spans="1:7">
      <c r="A28" s="954" t="s">
        <v>329</v>
      </c>
      <c r="B28" s="961" t="s">
        <v>562</v>
      </c>
      <c r="C28" s="956" t="s">
        <v>398</v>
      </c>
      <c r="D28" s="959">
        <v>134.15162470167348</v>
      </c>
      <c r="E28" s="30" t="s">
        <v>171</v>
      </c>
      <c r="F28" s="33">
        <v>0</v>
      </c>
      <c r="G28" s="144">
        <f t="shared" si="1"/>
        <v>0</v>
      </c>
    </row>
    <row r="29" spans="1:7">
      <c r="A29" s="954" t="s">
        <v>330</v>
      </c>
      <c r="B29" s="961" t="s">
        <v>563</v>
      </c>
      <c r="C29" s="956" t="s">
        <v>398</v>
      </c>
      <c r="D29" s="962">
        <v>53884.148199354699</v>
      </c>
      <c r="E29" s="30" t="s">
        <v>214</v>
      </c>
      <c r="F29" s="33">
        <f>INDEX(WCAAllocations,IFERROR(MATCH(E29,WCAFactors,0),2),IFERROR(MATCH(#REF!,WCAStates,0),4))</f>
        <v>0</v>
      </c>
      <c r="G29" s="144">
        <f t="shared" si="1"/>
        <v>0</v>
      </c>
    </row>
    <row r="30" spans="1:7">
      <c r="A30" s="954" t="s">
        <v>330</v>
      </c>
      <c r="B30" s="961" t="s">
        <v>563</v>
      </c>
      <c r="C30" s="956" t="s">
        <v>398</v>
      </c>
      <c r="D30" s="959">
        <v>31281.080174844792</v>
      </c>
      <c r="E30" s="30" t="s">
        <v>203</v>
      </c>
      <c r="F30" s="33">
        <f>INDEX(WCAAllocations,IFERROR(MATCH(E30,WCAFactors,0),2),IFERROR(MATCH(#REF!,WCAStates,0),4))</f>
        <v>0.23084885646883446</v>
      </c>
      <c r="G30" s="144">
        <f t="shared" si="1"/>
        <v>7221.2015874728486</v>
      </c>
    </row>
    <row r="31" spans="1:7">
      <c r="A31" s="954" t="s">
        <v>687</v>
      </c>
      <c r="B31" s="961" t="s">
        <v>550</v>
      </c>
      <c r="C31" s="956" t="s">
        <v>398</v>
      </c>
      <c r="D31" s="959">
        <v>391430.22621161788</v>
      </c>
      <c r="E31" s="30" t="s">
        <v>214</v>
      </c>
      <c r="F31" s="33">
        <f>INDEX(WCAAllocations,IFERROR(MATCH(E31,WCAFactors,0),2),IFERROR(MATCH(#REF!,WCAStates,0),4))</f>
        <v>0</v>
      </c>
      <c r="G31" s="144">
        <f t="shared" si="1"/>
        <v>0</v>
      </c>
    </row>
    <row r="32" spans="1:7">
      <c r="A32" s="954" t="s">
        <v>687</v>
      </c>
      <c r="B32" s="961" t="s">
        <v>550</v>
      </c>
      <c r="C32" s="956" t="s">
        <v>398</v>
      </c>
      <c r="D32" s="959">
        <v>5481.7545793889585</v>
      </c>
      <c r="E32" s="30" t="s">
        <v>203</v>
      </c>
      <c r="F32" s="33">
        <f>INDEX(WCAAllocations,IFERROR(MATCH(E32,WCAFactors,0),2),IFERROR(MATCH(#REF!,WCAStates,0),4))</f>
        <v>0.23084885646883446</v>
      </c>
      <c r="G32" s="144">
        <f t="shared" si="1"/>
        <v>1265.4567760947377</v>
      </c>
    </row>
    <row r="33" spans="1:7">
      <c r="A33" s="954" t="s">
        <v>687</v>
      </c>
      <c r="B33" s="961" t="s">
        <v>550</v>
      </c>
      <c r="C33" s="956" t="s">
        <v>398</v>
      </c>
      <c r="D33" s="959">
        <v>65373.059570446851</v>
      </c>
      <c r="E33" s="30" t="s">
        <v>231</v>
      </c>
      <c r="F33" s="33">
        <f>INDEX(WCAAllocations,IFERROR(MATCH(E33,WCAFactors,0),2),IFERROR(MATCH(#REF!,WCAStates,0),4))</f>
        <v>0.22953887558714423</v>
      </c>
      <c r="G33" s="144">
        <f t="shared" si="1"/>
        <v>15005.658587491767</v>
      </c>
    </row>
    <row r="34" spans="1:7">
      <c r="A34" s="954" t="s">
        <v>687</v>
      </c>
      <c r="B34" s="961" t="s">
        <v>550</v>
      </c>
      <c r="C34" s="956" t="s">
        <v>398</v>
      </c>
      <c r="D34" s="959">
        <v>1043186.3712472292</v>
      </c>
      <c r="E34" s="30" t="s">
        <v>146</v>
      </c>
      <c r="F34" s="33">
        <f>INDEX(WCAAllocations,IFERROR(MATCH(E34,WCAFactors,0),2),IFERROR(MATCH(#REF!,WCAStates,0),4))</f>
        <v>7.9057273540331513E-2</v>
      </c>
      <c r="G34" s="144">
        <f t="shared" si="1"/>
        <v>82471.470305238021</v>
      </c>
    </row>
    <row r="35" spans="1:7">
      <c r="A35" s="954"/>
      <c r="B35" s="955"/>
      <c r="C35" s="956"/>
      <c r="D35" s="207">
        <f>SUM(D25:D34)</f>
        <v>1890950.1224973465</v>
      </c>
      <c r="E35" s="200"/>
      <c r="F35" s="367"/>
      <c r="G35" s="208">
        <f>SUM(G25:G34)</f>
        <v>126048.83238790696</v>
      </c>
    </row>
    <row r="36" spans="1:7">
      <c r="A36" s="954"/>
      <c r="B36" s="955"/>
      <c r="C36" s="956"/>
      <c r="D36" s="960"/>
      <c r="E36" s="200"/>
      <c r="F36" s="201"/>
      <c r="G36" s="195"/>
    </row>
    <row r="37" spans="1:7">
      <c r="A37" s="954" t="s">
        <v>331</v>
      </c>
      <c r="B37" s="961" t="s">
        <v>551</v>
      </c>
      <c r="C37" s="956" t="s">
        <v>398</v>
      </c>
      <c r="D37" s="959">
        <v>162615.77992158954</v>
      </c>
      <c r="E37" s="30" t="s">
        <v>214</v>
      </c>
      <c r="F37" s="33">
        <f>INDEX(WCAAllocations,IFERROR(MATCH(E37,WCAFactors,0),2),IFERROR(MATCH(#REF!,WCAStates,0),4))</f>
        <v>0</v>
      </c>
      <c r="G37" s="144">
        <f t="shared" ref="G37:G44" si="2">D37*F37</f>
        <v>0</v>
      </c>
    </row>
    <row r="38" spans="1:7">
      <c r="A38" s="954" t="s">
        <v>331</v>
      </c>
      <c r="B38" s="961" t="s">
        <v>551</v>
      </c>
      <c r="C38" s="956" t="s">
        <v>398</v>
      </c>
      <c r="D38" s="959">
        <v>29792.437310704336</v>
      </c>
      <c r="E38" s="30" t="s">
        <v>203</v>
      </c>
      <c r="F38" s="33">
        <f>INDEX(WCAAllocations,IFERROR(MATCH(E38,WCAFactors,0),2),IFERROR(MATCH(#REF!,WCAStates,0),4))</f>
        <v>0.23084885646883446</v>
      </c>
      <c r="G38" s="144">
        <f t="shared" si="2"/>
        <v>6877.5500845955339</v>
      </c>
    </row>
    <row r="39" spans="1:7">
      <c r="A39" s="954" t="s">
        <v>331</v>
      </c>
      <c r="B39" s="961" t="s">
        <v>551</v>
      </c>
      <c r="C39" s="956" t="s">
        <v>398</v>
      </c>
      <c r="D39" s="959">
        <v>1229.5396133322422</v>
      </c>
      <c r="E39" s="30" t="s">
        <v>231</v>
      </c>
      <c r="F39" s="33">
        <f>INDEX(WCAAllocations,IFERROR(MATCH(E39,WCAFactors,0),2),IFERROR(MATCH(#REF!,WCAStates,0),4))</f>
        <v>0.22953887558714423</v>
      </c>
      <c r="G39" s="144">
        <f t="shared" si="2"/>
        <v>282.22714033413496</v>
      </c>
    </row>
    <row r="40" spans="1:7">
      <c r="A40" s="954" t="s">
        <v>331</v>
      </c>
      <c r="B40" s="961" t="s">
        <v>551</v>
      </c>
      <c r="C40" s="956" t="s">
        <v>398</v>
      </c>
      <c r="D40" s="959">
        <v>608202.5905241383</v>
      </c>
      <c r="E40" s="30" t="s">
        <v>146</v>
      </c>
      <c r="F40" s="33">
        <f>INDEX(WCAAllocations,IFERROR(MATCH(E40,WCAFactors,0),2),IFERROR(MATCH(#REF!,WCAStates,0),4))</f>
        <v>7.9057273540331513E-2</v>
      </c>
      <c r="G40" s="144">
        <f t="shared" si="2"/>
        <v>48082.838567005041</v>
      </c>
    </row>
    <row r="41" spans="1:7">
      <c r="A41" s="954" t="s">
        <v>332</v>
      </c>
      <c r="B41" s="961" t="s">
        <v>553</v>
      </c>
      <c r="C41" s="956" t="s">
        <v>398</v>
      </c>
      <c r="D41" s="959">
        <v>-33835.25511843033</v>
      </c>
      <c r="E41" s="30" t="s">
        <v>214</v>
      </c>
      <c r="F41" s="33">
        <f>INDEX(WCAAllocations,IFERROR(MATCH(E41,WCAFactors,0),2),IFERROR(MATCH(#REF!,WCAStates,0),4))</f>
        <v>0</v>
      </c>
      <c r="G41" s="144">
        <f t="shared" si="2"/>
        <v>0</v>
      </c>
    </row>
    <row r="42" spans="1:7">
      <c r="A42" s="954" t="s">
        <v>332</v>
      </c>
      <c r="B42" s="961" t="s">
        <v>553</v>
      </c>
      <c r="C42" s="956" t="s">
        <v>398</v>
      </c>
      <c r="D42" s="963">
        <v>33472.901716277906</v>
      </c>
      <c r="E42" s="30" t="s">
        <v>203</v>
      </c>
      <c r="F42" s="33">
        <f>INDEX(WCAAllocations,IFERROR(MATCH(E42,WCAFactors,0),2),IFERROR(MATCH(#REF!,WCAStates,0),4))</f>
        <v>0.23084885646883446</v>
      </c>
      <c r="G42" s="144">
        <f t="shared" si="2"/>
        <v>7727.1810838964411</v>
      </c>
    </row>
    <row r="43" spans="1:7">
      <c r="A43" s="954" t="s">
        <v>332</v>
      </c>
      <c r="B43" s="961" t="s">
        <v>553</v>
      </c>
      <c r="C43" s="956" t="s">
        <v>398</v>
      </c>
      <c r="D43" s="959">
        <v>3400.7115865694223</v>
      </c>
      <c r="E43" s="30" t="s">
        <v>231</v>
      </c>
      <c r="F43" s="33">
        <f>INDEX(WCAAllocations,IFERROR(MATCH(E43,WCAFactors,0),2),IFERROR(MATCH(#REF!,WCAStates,0),4))</f>
        <v>0.22953887558714423</v>
      </c>
      <c r="G43" s="144">
        <f t="shared" si="2"/>
        <v>780.5955137773185</v>
      </c>
    </row>
    <row r="44" spans="1:7">
      <c r="A44" s="954" t="s">
        <v>332</v>
      </c>
      <c r="B44" s="961" t="s">
        <v>553</v>
      </c>
      <c r="C44" s="956" t="s">
        <v>398</v>
      </c>
      <c r="D44" s="959">
        <v>17278.644993968959</v>
      </c>
      <c r="E44" s="30" t="s">
        <v>146</v>
      </c>
      <c r="F44" s="33">
        <f>INDEX(WCAAllocations,IFERROR(MATCH(E44,WCAFactors,0),2),IFERROR(MATCH(#REF!,WCAStates,0),4))</f>
        <v>7.9057273540331513E-2</v>
      </c>
      <c r="G44" s="144">
        <f t="shared" si="2"/>
        <v>1366.0025636944838</v>
      </c>
    </row>
    <row r="45" spans="1:7">
      <c r="A45" s="954"/>
      <c r="B45" s="955"/>
      <c r="C45" s="956"/>
      <c r="D45" s="207">
        <f>SUM(D37:D44)</f>
        <v>822157.35054815048</v>
      </c>
      <c r="E45" s="200"/>
      <c r="F45" s="201"/>
      <c r="G45" s="208">
        <f>SUM(G37:G44)</f>
        <v>65116.394953302952</v>
      </c>
    </row>
    <row r="46" spans="1:7">
      <c r="A46" s="954"/>
      <c r="B46" s="955"/>
      <c r="C46" s="956"/>
      <c r="D46" s="960"/>
      <c r="E46" s="200"/>
      <c r="F46" s="201"/>
      <c r="G46" s="195"/>
    </row>
    <row r="47" spans="1:7">
      <c r="A47" s="954" t="s">
        <v>333</v>
      </c>
      <c r="B47" s="961" t="s">
        <v>554</v>
      </c>
      <c r="C47" s="956" t="s">
        <v>398</v>
      </c>
      <c r="D47" s="962">
        <v>965027.64870486909</v>
      </c>
      <c r="E47" s="30" t="s">
        <v>141</v>
      </c>
      <c r="F47" s="33">
        <v>0</v>
      </c>
      <c r="G47" s="144">
        <v>73867</v>
      </c>
    </row>
    <row r="48" spans="1:7">
      <c r="A48" s="954" t="s">
        <v>333</v>
      </c>
      <c r="B48" s="961" t="s">
        <v>554</v>
      </c>
      <c r="C48" s="956" t="s">
        <v>398</v>
      </c>
      <c r="D48" s="959">
        <v>1219734.9122205991</v>
      </c>
      <c r="E48" s="30" t="s">
        <v>151</v>
      </c>
      <c r="F48" s="33">
        <f>INDEX(WCAAllocations,IFERROR(MATCH(E48,WCAFactors,0),2),IFERROR(MATCH(#REF!,WCAStates,0),4))</f>
        <v>6.2803307592478125E-2</v>
      </c>
      <c r="G48" s="144">
        <f>D48*F48</f>
        <v>76603.386873474592</v>
      </c>
    </row>
    <row r="49" spans="1:7">
      <c r="A49" s="954" t="s">
        <v>200</v>
      </c>
      <c r="B49" s="961" t="s">
        <v>556</v>
      </c>
      <c r="C49" s="956" t="s">
        <v>398</v>
      </c>
      <c r="D49" s="959">
        <v>4.7472177225740589E-10</v>
      </c>
      <c r="E49" s="30" t="s">
        <v>164</v>
      </c>
      <c r="F49" s="33">
        <f>INDEX(WCAAllocations,IFERROR(MATCH(E49,WCAFactors,0),2),IFERROR(MATCH(#REF!,WCAStates,0),4))</f>
        <v>0</v>
      </c>
      <c r="G49" s="144">
        <f>D49*F49</f>
        <v>0</v>
      </c>
    </row>
    <row r="50" spans="1:7">
      <c r="A50" s="954" t="s">
        <v>200</v>
      </c>
      <c r="B50" s="961" t="s">
        <v>556</v>
      </c>
      <c r="C50" s="956" t="s">
        <v>398</v>
      </c>
      <c r="D50" s="959">
        <v>1582576.0708291577</v>
      </c>
      <c r="E50" s="30" t="s">
        <v>141</v>
      </c>
      <c r="F50" s="33">
        <v>0</v>
      </c>
      <c r="G50" s="144">
        <v>93578</v>
      </c>
    </row>
    <row r="51" spans="1:7">
      <c r="A51" s="954" t="s">
        <v>200</v>
      </c>
      <c r="B51" s="961" t="s">
        <v>556</v>
      </c>
      <c r="C51" s="956" t="s">
        <v>398</v>
      </c>
      <c r="D51" s="959">
        <v>238956.31959024569</v>
      </c>
      <c r="E51" s="30" t="s">
        <v>151</v>
      </c>
      <c r="F51" s="33">
        <f>INDEX(WCAAllocations,IFERROR(MATCH(E51,WCAFactors,0),2),IFERROR(MATCH(#REF!,WCAStates,0),4))</f>
        <v>6.2803307592478125E-2</v>
      </c>
      <c r="G51" s="144">
        <f>D51*F51</f>
        <v>15007.247240392706</v>
      </c>
    </row>
    <row r="52" spans="1:7">
      <c r="A52" s="954"/>
      <c r="B52" s="955"/>
      <c r="C52" s="956"/>
      <c r="D52" s="207">
        <f>SUM(D47:D51)</f>
        <v>4006294.9513448724</v>
      </c>
      <c r="E52" s="200"/>
      <c r="F52" s="201"/>
      <c r="G52" s="208">
        <f>SUM(G47:G51)</f>
        <v>259055.63411386727</v>
      </c>
    </row>
    <row r="53" spans="1:7">
      <c r="A53" s="954"/>
      <c r="B53" s="955"/>
      <c r="C53" s="956"/>
      <c r="D53" s="960"/>
      <c r="E53" s="200"/>
      <c r="F53" s="201"/>
      <c r="G53" s="195"/>
    </row>
    <row r="54" spans="1:7">
      <c r="A54" s="954" t="s">
        <v>334</v>
      </c>
      <c r="B54" s="961" t="s">
        <v>557</v>
      </c>
      <c r="C54" s="956" t="s">
        <v>398</v>
      </c>
      <c r="D54" s="959">
        <v>1364826.0899762341</v>
      </c>
      <c r="E54" s="30" t="s">
        <v>152</v>
      </c>
      <c r="F54" s="33">
        <f>INDEX(WCAAllocations,IFERROR(MATCH(E54,WCAFactors,0),2),IFERROR(MATCH(#REF!,WCAStates,0),4))</f>
        <v>6.9173575695716499E-2</v>
      </c>
      <c r="G54" s="144">
        <f>D54*F54</f>
        <v>94409.900846459816</v>
      </c>
    </row>
    <row r="55" spans="1:7">
      <c r="A55" s="954" t="s">
        <v>334</v>
      </c>
      <c r="B55" s="961" t="s">
        <v>557</v>
      </c>
      <c r="C55" s="956" t="s">
        <v>398</v>
      </c>
      <c r="D55" s="959">
        <v>788388.75835224323</v>
      </c>
      <c r="E55" s="30" t="s">
        <v>141</v>
      </c>
      <c r="F55" s="33">
        <f>INDEX(WCAAllocations,IFERROR(MATCH(E55,WCAFactors,0),2),IFERROR(MATCH(#REF!,WCAStates,0),4))</f>
        <v>1</v>
      </c>
      <c r="G55" s="144">
        <v>45836</v>
      </c>
    </row>
    <row r="56" spans="1:7">
      <c r="A56" s="954"/>
      <c r="B56" s="955"/>
      <c r="C56" s="956"/>
      <c r="D56" s="207">
        <f>SUM(D54:D55)</f>
        <v>2153214.8483284772</v>
      </c>
      <c r="E56" s="200"/>
      <c r="F56" s="201"/>
      <c r="G56" s="208">
        <f>SUM(G54:G55)</f>
        <v>140245.90084645982</v>
      </c>
    </row>
    <row r="57" spans="1:7">
      <c r="A57" s="954"/>
      <c r="B57" s="955"/>
      <c r="C57" s="956"/>
      <c r="D57" s="960"/>
      <c r="E57" s="200"/>
      <c r="F57" s="201"/>
      <c r="G57" s="195"/>
    </row>
    <row r="58" spans="1:7">
      <c r="A58" s="954" t="s">
        <v>335</v>
      </c>
      <c r="B58" s="717" t="s">
        <v>564</v>
      </c>
      <c r="C58" s="956" t="s">
        <v>398</v>
      </c>
      <c r="D58" s="964">
        <v>100056.26543366646</v>
      </c>
      <c r="E58" s="30" t="s">
        <v>152</v>
      </c>
      <c r="F58" s="33">
        <f>INDEX(WCAAllocations,IFERROR(MATCH(E58,WCAFactors,0),2),IFERROR(MATCH(#REF!,WCAStates,0),4))</f>
        <v>6.9173575695716499E-2</v>
      </c>
      <c r="G58" s="144">
        <f>D58*F58</f>
        <v>6921.2496508064287</v>
      </c>
    </row>
    <row r="59" spans="1:7">
      <c r="A59" s="954" t="s">
        <v>335</v>
      </c>
      <c r="B59" s="717" t="s">
        <v>564</v>
      </c>
      <c r="C59" s="956" t="s">
        <v>398</v>
      </c>
      <c r="D59" s="958">
        <v>2676.6000645564745</v>
      </c>
      <c r="E59" s="30" t="s">
        <v>164</v>
      </c>
      <c r="F59" s="33">
        <f>INDEX(WCAAllocations,IFERROR(MATCH(E59,WCAFactors,0),2),IFERROR(MATCH(#REF!,WCAStates,0),4))</f>
        <v>0</v>
      </c>
      <c r="G59" s="144">
        <f>D59*F59</f>
        <v>0</v>
      </c>
    </row>
    <row r="60" spans="1:7">
      <c r="A60" s="954" t="s">
        <v>335</v>
      </c>
      <c r="B60" s="717" t="s">
        <v>564</v>
      </c>
      <c r="C60" s="956" t="s">
        <v>398</v>
      </c>
      <c r="D60" s="1318">
        <v>247046.12778511801</v>
      </c>
      <c r="E60" s="30" t="s">
        <v>141</v>
      </c>
      <c r="F60" s="33">
        <f>INDEX(WCAAllocations,IFERROR(MATCH(E60,WCAFactors,0),2),IFERROR(MATCH(#REF!,WCAStates,0),4))</f>
        <v>1</v>
      </c>
      <c r="G60" s="144">
        <v>14599</v>
      </c>
    </row>
    <row r="61" spans="1:7">
      <c r="A61" s="954"/>
      <c r="B61" s="955"/>
      <c r="C61" s="956"/>
      <c r="D61" s="207">
        <f>SUM(D58:D60)</f>
        <v>349778.99328334094</v>
      </c>
      <c r="E61" s="200"/>
      <c r="F61" s="201"/>
      <c r="G61" s="208">
        <f>SUM(G58:G60)</f>
        <v>21520.249650806429</v>
      </c>
    </row>
    <row r="62" spans="1:7">
      <c r="A62" s="954"/>
      <c r="B62" s="955"/>
      <c r="C62" s="956"/>
      <c r="D62" s="960"/>
      <c r="E62" s="200"/>
      <c r="F62" s="201"/>
      <c r="G62" s="195"/>
    </row>
    <row r="63" spans="1:7">
      <c r="A63" s="954" t="s">
        <v>26</v>
      </c>
      <c r="B63" s="717" t="s">
        <v>565</v>
      </c>
      <c r="C63" s="956" t="s">
        <v>398</v>
      </c>
      <c r="D63" s="1318">
        <v>95238.332892807346</v>
      </c>
      <c r="E63" s="30" t="s">
        <v>141</v>
      </c>
      <c r="F63" s="33">
        <f>INDEX(WCAAllocations,IFERROR(MATCH(E63,WCAFactors,0),2),IFERROR(MATCH(#REF!,WCAStates,0),4))</f>
        <v>1</v>
      </c>
      <c r="G63" s="144">
        <v>22692</v>
      </c>
    </row>
    <row r="64" spans="1:7">
      <c r="A64" s="954" t="s">
        <v>26</v>
      </c>
      <c r="B64" s="939" t="s">
        <v>565</v>
      </c>
      <c r="C64" s="546" t="s">
        <v>398</v>
      </c>
      <c r="D64" s="965">
        <v>3818846.13026773</v>
      </c>
      <c r="E64" s="30" t="s">
        <v>130</v>
      </c>
      <c r="F64" s="33">
        <f>INDEX(WCAAllocations,IFERROR(MATCH(E64,WCAFactors,0),2),IFERROR(MATCH(#REF!,WCAStates,0),4))</f>
        <v>6.8539355270203509E-2</v>
      </c>
      <c r="G64" s="144">
        <f>D64*F64</f>
        <v>261741.25164466182</v>
      </c>
    </row>
    <row r="65" spans="1:7">
      <c r="A65" s="954" t="s">
        <v>26</v>
      </c>
      <c r="B65" s="939" t="s">
        <v>566</v>
      </c>
      <c r="C65" s="546" t="s">
        <v>398</v>
      </c>
      <c r="D65" s="965">
        <v>-1290.3326196851299</v>
      </c>
      <c r="E65" s="30" t="s">
        <v>141</v>
      </c>
      <c r="F65" s="33">
        <f>INDEX(WCAAllocations,IFERROR(MATCH(E65,WCAFactors,0),2),IFERROR(MATCH(#REF!,WCAStates,0),4))</f>
        <v>1</v>
      </c>
      <c r="G65" s="144">
        <v>-1</v>
      </c>
    </row>
    <row r="66" spans="1:7">
      <c r="A66" s="954" t="s">
        <v>26</v>
      </c>
      <c r="B66" s="939" t="s">
        <v>566</v>
      </c>
      <c r="C66" s="546" t="s">
        <v>398</v>
      </c>
      <c r="D66" s="965">
        <v>102802.43988851662</v>
      </c>
      <c r="E66" s="30" t="s">
        <v>130</v>
      </c>
      <c r="F66" s="33">
        <f>INDEX(WCAAllocations,IFERROR(MATCH(E66,WCAFactors,0),2),IFERROR(MATCH(#REF!,WCAStates,0),4))</f>
        <v>6.8539355270203509E-2</v>
      </c>
      <c r="G66" s="144">
        <f>D66*F66</f>
        <v>7046.0129501627807</v>
      </c>
    </row>
    <row r="67" spans="1:7">
      <c r="A67" s="954"/>
      <c r="B67" s="955"/>
      <c r="C67" s="956"/>
      <c r="D67" s="207">
        <f>SUM(D63:D66)</f>
        <v>4015596.5704293684</v>
      </c>
      <c r="E67" s="200"/>
      <c r="F67" s="201"/>
      <c r="G67" s="208">
        <f>SUM(G63:G66)</f>
        <v>291478.26459482458</v>
      </c>
    </row>
    <row r="68" spans="1:7">
      <c r="A68" s="954"/>
      <c r="B68" s="955"/>
      <c r="C68" s="956"/>
      <c r="D68" s="960"/>
      <c r="E68" s="200"/>
      <c r="F68" s="201"/>
      <c r="G68" s="195"/>
    </row>
    <row r="69" spans="1:7" ht="13.5" thickBot="1">
      <c r="A69" s="864"/>
      <c r="B69" s="939" t="s">
        <v>3</v>
      </c>
      <c r="C69" s="546"/>
      <c r="D69" s="836">
        <f>D17+D23+D35+D45+D52+D56+D61+D67</f>
        <v>18994554.103805531</v>
      </c>
      <c r="E69" s="23"/>
      <c r="F69" s="966"/>
      <c r="G69" s="836">
        <f>G17+G23+G35+G45+G52+G56+G61+G67</f>
        <v>1233812.5366109316</v>
      </c>
    </row>
    <row r="70" spans="1:7" s="1" customFormat="1" ht="12" customHeight="1" thickTop="1">
      <c r="A70" s="140"/>
      <c r="B70" s="29"/>
      <c r="C70" s="30"/>
      <c r="D70" s="30"/>
      <c r="E70" s="967"/>
      <c r="F70" s="30"/>
      <c r="G70" s="968"/>
    </row>
    <row r="71" spans="1:7" s="1" customFormat="1" ht="12" customHeight="1">
      <c r="A71" s="28" t="s">
        <v>145</v>
      </c>
      <c r="B71" s="37"/>
      <c r="C71" s="37"/>
      <c r="D71" s="37"/>
      <c r="E71" s="969"/>
      <c r="F71" s="37"/>
      <c r="G71" s="37"/>
    </row>
    <row r="72" spans="1:7" s="1" customFormat="1" ht="12" customHeight="1">
      <c r="A72" s="1395" t="s">
        <v>689</v>
      </c>
      <c r="B72" s="1395"/>
      <c r="C72" s="1395"/>
      <c r="D72" s="1395"/>
      <c r="E72" s="1395"/>
      <c r="F72" s="1395"/>
      <c r="G72" s="1395"/>
    </row>
    <row r="73" spans="1:7" s="1" customFormat="1" ht="12" customHeight="1">
      <c r="A73" s="1395"/>
      <c r="B73" s="1395"/>
      <c r="C73" s="1395"/>
      <c r="D73" s="1395"/>
      <c r="E73" s="1395"/>
      <c r="F73" s="1395"/>
      <c r="G73" s="1395"/>
    </row>
    <row r="74" spans="1:7" s="1" customFormat="1">
      <c r="A74" s="1395"/>
      <c r="B74" s="1395"/>
      <c r="C74" s="1395"/>
      <c r="D74" s="1395"/>
      <c r="E74" s="1395"/>
      <c r="F74" s="1395"/>
      <c r="G74" s="1395"/>
    </row>
  </sheetData>
  <mergeCells count="1">
    <mergeCell ref="A72:G74"/>
  </mergeCells>
  <dataValidations disablePrompts="1"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26"/>
  <sheetViews>
    <sheetView workbookViewId="0">
      <selection activeCell="F16" sqref="F16"/>
    </sheetView>
  </sheetViews>
  <sheetFormatPr defaultColWidth="8.85546875" defaultRowHeight="12.75"/>
  <cols>
    <col min="1" max="1" width="23" style="1" customWidth="1"/>
    <col min="2" max="2" width="9.7109375" style="1" bestFit="1" customWidth="1"/>
    <col min="3" max="3" width="5.28515625" style="1" customWidth="1"/>
    <col min="4" max="4" width="14.42578125" style="1" customWidth="1"/>
    <col min="5" max="5" width="10.7109375" style="1" customWidth="1"/>
    <col min="6" max="6" width="13.7109375" style="1" customWidth="1"/>
    <col min="7" max="7" width="16.28515625" style="1" customWidth="1"/>
    <col min="8" max="16384" width="8.85546875" style="1"/>
  </cols>
  <sheetData>
    <row r="1" spans="1:7">
      <c r="A1" s="17" t="str">
        <f>RevReqSummary!A1</f>
        <v>PacifiCorp General Rate Case UE-140617</v>
      </c>
      <c r="B1" s="232"/>
    </row>
    <row r="2" spans="1:7">
      <c r="A2" s="17" t="str">
        <f>RevReqSummary!A2</f>
        <v>For The Twelve Months Ended December 2013 - Staff Revenue Requirement</v>
      </c>
      <c r="B2" s="232"/>
    </row>
    <row r="3" spans="1:7">
      <c r="A3" s="235" t="s">
        <v>649</v>
      </c>
      <c r="B3" s="232"/>
    </row>
    <row r="4" spans="1:7">
      <c r="A4" s="25" t="s">
        <v>648</v>
      </c>
    </row>
    <row r="5" spans="1:7">
      <c r="A5" s="344"/>
      <c r="B5" s="65"/>
      <c r="C5" s="65"/>
      <c r="D5" s="147" t="s">
        <v>131</v>
      </c>
      <c r="E5" s="65"/>
      <c r="F5" s="65"/>
      <c r="G5" s="146" t="s">
        <v>236</v>
      </c>
    </row>
    <row r="6" spans="1:7">
      <c r="A6" s="344"/>
      <c r="B6" s="26" t="s">
        <v>132</v>
      </c>
      <c r="C6" s="26" t="s">
        <v>660</v>
      </c>
      <c r="D6" s="148" t="s">
        <v>134</v>
      </c>
      <c r="E6" s="26" t="s">
        <v>135</v>
      </c>
      <c r="F6" s="26" t="s">
        <v>136</v>
      </c>
      <c r="G6" s="149" t="s">
        <v>137</v>
      </c>
    </row>
    <row r="7" spans="1:7">
      <c r="A7" s="240" t="s">
        <v>199</v>
      </c>
      <c r="B7" s="241"/>
      <c r="C7" s="241"/>
      <c r="D7" s="163"/>
      <c r="E7" s="241"/>
      <c r="F7" s="241"/>
      <c r="G7" s="31"/>
    </row>
    <row r="8" spans="1:7">
      <c r="A8" s="244" t="s">
        <v>530</v>
      </c>
      <c r="B8" s="345">
        <v>557</v>
      </c>
      <c r="C8" s="232" t="s">
        <v>140</v>
      </c>
      <c r="D8" s="265">
        <v>-63386.280000000021</v>
      </c>
      <c r="E8" s="30" t="s">
        <v>146</v>
      </c>
      <c r="F8" s="33">
        <f>INDEX(WCAAllocations,IFERROR(MATCH(E8,WCAFactors,0),2),IFERROR(MATCH(E8,WCAStates,0),4))</f>
        <v>7.9057273540331513E-2</v>
      </c>
      <c r="G8" s="34">
        <f>F8*D8</f>
        <v>-5011.1464766640465</v>
      </c>
    </row>
    <row r="9" spans="1:7">
      <c r="A9" s="244" t="s">
        <v>530</v>
      </c>
      <c r="B9" s="345">
        <v>557</v>
      </c>
      <c r="C9" s="232" t="s">
        <v>140</v>
      </c>
      <c r="D9" s="265">
        <v>-5007706.2699999996</v>
      </c>
      <c r="E9" s="30" t="s">
        <v>214</v>
      </c>
      <c r="F9" s="33">
        <f>INDEX(WCAAllocations,IFERROR(MATCH(E9,WCAFactors,0),2),IFERROR(MATCH(E9,WCAStates,0),4))</f>
        <v>0</v>
      </c>
      <c r="G9" s="34">
        <f>F9*D9</f>
        <v>0</v>
      </c>
    </row>
    <row r="10" spans="1:7">
      <c r="A10" s="244" t="s">
        <v>530</v>
      </c>
      <c r="B10" s="345">
        <v>557</v>
      </c>
      <c r="C10" s="232" t="s">
        <v>140</v>
      </c>
      <c r="D10" s="265">
        <v>5071092.55</v>
      </c>
      <c r="E10" s="30" t="s">
        <v>173</v>
      </c>
      <c r="F10" s="33">
        <f>INDEX(WCAAllocations,IFERROR(MATCH(E10,WCAFactors,0),2),IFERROR(MATCH(E10,WCAStates,0),4))</f>
        <v>0</v>
      </c>
      <c r="G10" s="34">
        <f>F10*D10</f>
        <v>0</v>
      </c>
    </row>
    <row r="11" spans="1:7">
      <c r="A11" s="244" t="s">
        <v>531</v>
      </c>
      <c r="B11" s="345">
        <v>909</v>
      </c>
      <c r="C11" s="232" t="s">
        <v>140</v>
      </c>
      <c r="D11" s="265">
        <v>-4764.93</v>
      </c>
      <c r="E11" s="30" t="s">
        <v>152</v>
      </c>
      <c r="F11" s="33">
        <f>INDEX(WCAAllocations,IFERROR(MATCH(E11,WCAFactors,0),2),IFERROR(MATCH(E11,WCAStates,0),4))</f>
        <v>6.9173575695716499E-2</v>
      </c>
      <c r="G11" s="34">
        <f>F11*D11</f>
        <v>-329.60724603979043</v>
      </c>
    </row>
    <row r="12" spans="1:7">
      <c r="A12" s="244" t="s">
        <v>531</v>
      </c>
      <c r="B12" s="345">
        <v>909</v>
      </c>
      <c r="C12" s="232" t="s">
        <v>140</v>
      </c>
      <c r="D12" s="265">
        <v>4764.93</v>
      </c>
      <c r="E12" s="30" t="s">
        <v>173</v>
      </c>
      <c r="F12" s="33">
        <f>INDEX(WCAAllocations,IFERROR(MATCH(E12,WCAFactors,0),2),IFERROR(MATCH(E12,WCAStates,0),4))</f>
        <v>0</v>
      </c>
      <c r="G12" s="34">
        <f>F12*D12</f>
        <v>0</v>
      </c>
    </row>
    <row r="13" spans="1:7" ht="13.5" thickBot="1">
      <c r="A13" s="244"/>
      <c r="B13" s="345"/>
      <c r="C13" s="232"/>
      <c r="D13" s="346">
        <f>SUM(D8:D12)</f>
        <v>0</v>
      </c>
      <c r="E13" s="345"/>
      <c r="F13" s="347"/>
      <c r="G13" s="346">
        <f>SUM(G8:G12)</f>
        <v>-5340.7537227038374</v>
      </c>
    </row>
    <row r="14" spans="1:7" ht="13.5" thickTop="1"/>
    <row r="17" spans="1:7">
      <c r="A17" s="28" t="s">
        <v>145</v>
      </c>
    </row>
    <row r="18" spans="1:7">
      <c r="A18" s="1399" t="s">
        <v>1054</v>
      </c>
      <c r="B18" s="1399"/>
      <c r="C18" s="1399"/>
      <c r="D18" s="1399"/>
      <c r="E18" s="1399"/>
      <c r="F18" s="1399"/>
      <c r="G18" s="1399"/>
    </row>
    <row r="19" spans="1:7">
      <c r="A19" s="1399"/>
      <c r="B19" s="1399"/>
      <c r="C19" s="1399"/>
      <c r="D19" s="1399"/>
      <c r="E19" s="1399"/>
      <c r="F19" s="1399"/>
      <c r="G19" s="1399"/>
    </row>
    <row r="20" spans="1:7">
      <c r="A20" s="1399"/>
      <c r="B20" s="1399"/>
      <c r="C20" s="1399"/>
      <c r="D20" s="1399"/>
      <c r="E20" s="1399"/>
      <c r="F20" s="1399"/>
      <c r="G20" s="1399"/>
    </row>
    <row r="21" spans="1:7">
      <c r="A21" s="1399"/>
      <c r="B21" s="1399"/>
      <c r="C21" s="1399"/>
      <c r="D21" s="1399"/>
      <c r="E21" s="1399"/>
      <c r="F21" s="1399"/>
      <c r="G21" s="1399"/>
    </row>
    <row r="22" spans="1:7">
      <c r="A22" s="1399"/>
      <c r="B22" s="1399"/>
      <c r="C22" s="1399"/>
      <c r="D22" s="1399"/>
      <c r="E22" s="1399"/>
      <c r="F22" s="1399"/>
      <c r="G22" s="1399"/>
    </row>
    <row r="23" spans="1:7">
      <c r="A23" s="1399"/>
      <c r="B23" s="1399"/>
      <c r="C23" s="1399"/>
      <c r="D23" s="1399"/>
      <c r="E23" s="1399"/>
      <c r="F23" s="1399"/>
      <c r="G23" s="1399"/>
    </row>
    <row r="26" spans="1:7">
      <c r="F26" s="122"/>
    </row>
  </sheetData>
  <mergeCells count="1">
    <mergeCell ref="A18:G23"/>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85"/>
  <sheetViews>
    <sheetView workbookViewId="0">
      <selection activeCell="F16" sqref="F16"/>
    </sheetView>
  </sheetViews>
  <sheetFormatPr defaultColWidth="10" defaultRowHeight="12.75"/>
  <cols>
    <col min="1" max="1" width="29.28515625" style="234" customWidth="1"/>
    <col min="2" max="2" width="7" style="234" bestFit="1" customWidth="1"/>
    <col min="3" max="3" width="5.42578125" style="234" bestFit="1" customWidth="1"/>
    <col min="4" max="4" width="14" style="234" bestFit="1" customWidth="1"/>
    <col min="5" max="5" width="9.85546875" style="234" bestFit="1" customWidth="1"/>
    <col min="6" max="6" width="12.28515625" style="234" bestFit="1" customWidth="1"/>
    <col min="7" max="7" width="14.7109375" style="234" bestFit="1" customWidth="1"/>
    <col min="8" max="8" width="10.5703125" style="234" bestFit="1" customWidth="1"/>
    <col min="9" max="254" width="10" style="234"/>
    <col min="255" max="255" width="2.5703125" style="234" customWidth="1"/>
    <col min="256" max="256" width="7.140625" style="234" customWidth="1"/>
    <col min="257" max="257" width="23.5703125" style="234" customWidth="1"/>
    <col min="258" max="258" width="9.7109375" style="234" customWidth="1"/>
    <col min="259" max="259" width="4.7109375" style="234" customWidth="1"/>
    <col min="260" max="260" width="14.42578125" style="234" customWidth="1"/>
    <col min="261" max="261" width="11.140625" style="234" customWidth="1"/>
    <col min="262" max="262" width="10.28515625" style="234" customWidth="1"/>
    <col min="263" max="263" width="13" style="234" customWidth="1"/>
    <col min="264" max="264" width="8.28515625" style="234" customWidth="1"/>
    <col min="265" max="510" width="10" style="234"/>
    <col min="511" max="511" width="2.5703125" style="234" customWidth="1"/>
    <col min="512" max="512" width="7.140625" style="234" customWidth="1"/>
    <col min="513" max="513" width="23.5703125" style="234" customWidth="1"/>
    <col min="514" max="514" width="9.7109375" style="234" customWidth="1"/>
    <col min="515" max="515" width="4.7109375" style="234" customWidth="1"/>
    <col min="516" max="516" width="14.42578125" style="234" customWidth="1"/>
    <col min="517" max="517" width="11.140625" style="234" customWidth="1"/>
    <col min="518" max="518" width="10.28515625" style="234" customWidth="1"/>
    <col min="519" max="519" width="13" style="234" customWidth="1"/>
    <col min="520" max="520" width="8.28515625" style="234" customWidth="1"/>
    <col min="521" max="766" width="10" style="234"/>
    <col min="767" max="767" width="2.5703125" style="234" customWidth="1"/>
    <col min="768" max="768" width="7.140625" style="234" customWidth="1"/>
    <col min="769" max="769" width="23.5703125" style="234" customWidth="1"/>
    <col min="770" max="770" width="9.7109375" style="234" customWidth="1"/>
    <col min="771" max="771" width="4.7109375" style="234" customWidth="1"/>
    <col min="772" max="772" width="14.42578125" style="234" customWidth="1"/>
    <col min="773" max="773" width="11.140625" style="234" customWidth="1"/>
    <col min="774" max="774" width="10.28515625" style="234" customWidth="1"/>
    <col min="775" max="775" width="13" style="234" customWidth="1"/>
    <col min="776" max="776" width="8.28515625" style="234" customWidth="1"/>
    <col min="777" max="1022" width="10" style="234"/>
    <col min="1023" max="1023" width="2.5703125" style="234" customWidth="1"/>
    <col min="1024" max="1024" width="7.140625" style="234" customWidth="1"/>
    <col min="1025" max="1025" width="23.5703125" style="234" customWidth="1"/>
    <col min="1026" max="1026" width="9.7109375" style="234" customWidth="1"/>
    <col min="1027" max="1027" width="4.7109375" style="234" customWidth="1"/>
    <col min="1028" max="1028" width="14.42578125" style="234" customWidth="1"/>
    <col min="1029" max="1029" width="11.140625" style="234" customWidth="1"/>
    <col min="1030" max="1030" width="10.28515625" style="234" customWidth="1"/>
    <col min="1031" max="1031" width="13" style="234" customWidth="1"/>
    <col min="1032" max="1032" width="8.28515625" style="234" customWidth="1"/>
    <col min="1033" max="1278" width="10" style="234"/>
    <col min="1279" max="1279" width="2.5703125" style="234" customWidth="1"/>
    <col min="1280" max="1280" width="7.140625" style="234" customWidth="1"/>
    <col min="1281" max="1281" width="23.5703125" style="234" customWidth="1"/>
    <col min="1282" max="1282" width="9.7109375" style="234" customWidth="1"/>
    <col min="1283" max="1283" width="4.7109375" style="234" customWidth="1"/>
    <col min="1284" max="1284" width="14.42578125" style="234" customWidth="1"/>
    <col min="1285" max="1285" width="11.140625" style="234" customWidth="1"/>
    <col min="1286" max="1286" width="10.28515625" style="234" customWidth="1"/>
    <col min="1287" max="1287" width="13" style="234" customWidth="1"/>
    <col min="1288" max="1288" width="8.28515625" style="234" customWidth="1"/>
    <col min="1289" max="1534" width="10" style="234"/>
    <col min="1535" max="1535" width="2.5703125" style="234" customWidth="1"/>
    <col min="1536" max="1536" width="7.140625" style="234" customWidth="1"/>
    <col min="1537" max="1537" width="23.5703125" style="234" customWidth="1"/>
    <col min="1538" max="1538" width="9.7109375" style="234" customWidth="1"/>
    <col min="1539" max="1539" width="4.7109375" style="234" customWidth="1"/>
    <col min="1540" max="1540" width="14.42578125" style="234" customWidth="1"/>
    <col min="1541" max="1541" width="11.140625" style="234" customWidth="1"/>
    <col min="1542" max="1542" width="10.28515625" style="234" customWidth="1"/>
    <col min="1543" max="1543" width="13" style="234" customWidth="1"/>
    <col min="1544" max="1544" width="8.28515625" style="234" customWidth="1"/>
    <col min="1545" max="1790" width="10" style="234"/>
    <col min="1791" max="1791" width="2.5703125" style="234" customWidth="1"/>
    <col min="1792" max="1792" width="7.140625" style="234" customWidth="1"/>
    <col min="1793" max="1793" width="23.5703125" style="234" customWidth="1"/>
    <col min="1794" max="1794" width="9.7109375" style="234" customWidth="1"/>
    <col min="1795" max="1795" width="4.7109375" style="234" customWidth="1"/>
    <col min="1796" max="1796" width="14.42578125" style="234" customWidth="1"/>
    <col min="1797" max="1797" width="11.140625" style="234" customWidth="1"/>
    <col min="1798" max="1798" width="10.28515625" style="234" customWidth="1"/>
    <col min="1799" max="1799" width="13" style="234" customWidth="1"/>
    <col min="1800" max="1800" width="8.28515625" style="234" customWidth="1"/>
    <col min="1801" max="2046" width="10" style="234"/>
    <col min="2047" max="2047" width="2.5703125" style="234" customWidth="1"/>
    <col min="2048" max="2048" width="7.140625" style="234" customWidth="1"/>
    <col min="2049" max="2049" width="23.5703125" style="234" customWidth="1"/>
    <col min="2050" max="2050" width="9.7109375" style="234" customWidth="1"/>
    <col min="2051" max="2051" width="4.7109375" style="234" customWidth="1"/>
    <col min="2052" max="2052" width="14.42578125" style="234" customWidth="1"/>
    <col min="2053" max="2053" width="11.140625" style="234" customWidth="1"/>
    <col min="2054" max="2054" width="10.28515625" style="234" customWidth="1"/>
    <col min="2055" max="2055" width="13" style="234" customWidth="1"/>
    <col min="2056" max="2056" width="8.28515625" style="234" customWidth="1"/>
    <col min="2057" max="2302" width="10" style="234"/>
    <col min="2303" max="2303" width="2.5703125" style="234" customWidth="1"/>
    <col min="2304" max="2304" width="7.140625" style="234" customWidth="1"/>
    <col min="2305" max="2305" width="23.5703125" style="234" customWidth="1"/>
    <col min="2306" max="2306" width="9.7109375" style="234" customWidth="1"/>
    <col min="2307" max="2307" width="4.7109375" style="234" customWidth="1"/>
    <col min="2308" max="2308" width="14.42578125" style="234" customWidth="1"/>
    <col min="2309" max="2309" width="11.140625" style="234" customWidth="1"/>
    <col min="2310" max="2310" width="10.28515625" style="234" customWidth="1"/>
    <col min="2311" max="2311" width="13" style="234" customWidth="1"/>
    <col min="2312" max="2312" width="8.28515625" style="234" customWidth="1"/>
    <col min="2313" max="2558" width="10" style="234"/>
    <col min="2559" max="2559" width="2.5703125" style="234" customWidth="1"/>
    <col min="2560" max="2560" width="7.140625" style="234" customWidth="1"/>
    <col min="2561" max="2561" width="23.5703125" style="234" customWidth="1"/>
    <col min="2562" max="2562" width="9.7109375" style="234" customWidth="1"/>
    <col min="2563" max="2563" width="4.7109375" style="234" customWidth="1"/>
    <col min="2564" max="2564" width="14.42578125" style="234" customWidth="1"/>
    <col min="2565" max="2565" width="11.140625" style="234" customWidth="1"/>
    <col min="2566" max="2566" width="10.28515625" style="234" customWidth="1"/>
    <col min="2567" max="2567" width="13" style="234" customWidth="1"/>
    <col min="2568" max="2568" width="8.28515625" style="234" customWidth="1"/>
    <col min="2569" max="2814" width="10" style="234"/>
    <col min="2815" max="2815" width="2.5703125" style="234" customWidth="1"/>
    <col min="2816" max="2816" width="7.140625" style="234" customWidth="1"/>
    <col min="2817" max="2817" width="23.5703125" style="234" customWidth="1"/>
    <col min="2818" max="2818" width="9.7109375" style="234" customWidth="1"/>
    <col min="2819" max="2819" width="4.7109375" style="234" customWidth="1"/>
    <col min="2820" max="2820" width="14.42578125" style="234" customWidth="1"/>
    <col min="2821" max="2821" width="11.140625" style="234" customWidth="1"/>
    <col min="2822" max="2822" width="10.28515625" style="234" customWidth="1"/>
    <col min="2823" max="2823" width="13" style="234" customWidth="1"/>
    <col min="2824" max="2824" width="8.28515625" style="234" customWidth="1"/>
    <col min="2825" max="3070" width="10" style="234"/>
    <col min="3071" max="3071" width="2.5703125" style="234" customWidth="1"/>
    <col min="3072" max="3072" width="7.140625" style="234" customWidth="1"/>
    <col min="3073" max="3073" width="23.5703125" style="234" customWidth="1"/>
    <col min="3074" max="3074" width="9.7109375" style="234" customWidth="1"/>
    <col min="3075" max="3075" width="4.7109375" style="234" customWidth="1"/>
    <col min="3076" max="3076" width="14.42578125" style="234" customWidth="1"/>
    <col min="3077" max="3077" width="11.140625" style="234" customWidth="1"/>
    <col min="3078" max="3078" width="10.28515625" style="234" customWidth="1"/>
    <col min="3079" max="3079" width="13" style="234" customWidth="1"/>
    <col min="3080" max="3080" width="8.28515625" style="234" customWidth="1"/>
    <col min="3081" max="3326" width="10" style="234"/>
    <col min="3327" max="3327" width="2.5703125" style="234" customWidth="1"/>
    <col min="3328" max="3328" width="7.140625" style="234" customWidth="1"/>
    <col min="3329" max="3329" width="23.5703125" style="234" customWidth="1"/>
    <col min="3330" max="3330" width="9.7109375" style="234" customWidth="1"/>
    <col min="3331" max="3331" width="4.7109375" style="234" customWidth="1"/>
    <col min="3332" max="3332" width="14.42578125" style="234" customWidth="1"/>
    <col min="3333" max="3333" width="11.140625" style="234" customWidth="1"/>
    <col min="3334" max="3334" width="10.28515625" style="234" customWidth="1"/>
    <col min="3335" max="3335" width="13" style="234" customWidth="1"/>
    <col min="3336" max="3336" width="8.28515625" style="234" customWidth="1"/>
    <col min="3337" max="3582" width="10" style="234"/>
    <col min="3583" max="3583" width="2.5703125" style="234" customWidth="1"/>
    <col min="3584" max="3584" width="7.140625" style="234" customWidth="1"/>
    <col min="3585" max="3585" width="23.5703125" style="234" customWidth="1"/>
    <col min="3586" max="3586" width="9.7109375" style="234" customWidth="1"/>
    <col min="3587" max="3587" width="4.7109375" style="234" customWidth="1"/>
    <col min="3588" max="3588" width="14.42578125" style="234" customWidth="1"/>
    <col min="3589" max="3589" width="11.140625" style="234" customWidth="1"/>
    <col min="3590" max="3590" width="10.28515625" style="234" customWidth="1"/>
    <col min="3591" max="3591" width="13" style="234" customWidth="1"/>
    <col min="3592" max="3592" width="8.28515625" style="234" customWidth="1"/>
    <col min="3593" max="3838" width="10" style="234"/>
    <col min="3839" max="3839" width="2.5703125" style="234" customWidth="1"/>
    <col min="3840" max="3840" width="7.140625" style="234" customWidth="1"/>
    <col min="3841" max="3841" width="23.5703125" style="234" customWidth="1"/>
    <col min="3842" max="3842" width="9.7109375" style="234" customWidth="1"/>
    <col min="3843" max="3843" width="4.7109375" style="234" customWidth="1"/>
    <col min="3844" max="3844" width="14.42578125" style="234" customWidth="1"/>
    <col min="3845" max="3845" width="11.140625" style="234" customWidth="1"/>
    <col min="3846" max="3846" width="10.28515625" style="234" customWidth="1"/>
    <col min="3847" max="3847" width="13" style="234" customWidth="1"/>
    <col min="3848" max="3848" width="8.28515625" style="234" customWidth="1"/>
    <col min="3849" max="4094" width="10" style="234"/>
    <col min="4095" max="4095" width="2.5703125" style="234" customWidth="1"/>
    <col min="4096" max="4096" width="7.140625" style="234" customWidth="1"/>
    <col min="4097" max="4097" width="23.5703125" style="234" customWidth="1"/>
    <col min="4098" max="4098" width="9.7109375" style="234" customWidth="1"/>
    <col min="4099" max="4099" width="4.7109375" style="234" customWidth="1"/>
    <col min="4100" max="4100" width="14.42578125" style="234" customWidth="1"/>
    <col min="4101" max="4101" width="11.140625" style="234" customWidth="1"/>
    <col min="4102" max="4102" width="10.28515625" style="234" customWidth="1"/>
    <col min="4103" max="4103" width="13" style="234" customWidth="1"/>
    <col min="4104" max="4104" width="8.28515625" style="234" customWidth="1"/>
    <col min="4105" max="4350" width="10" style="234"/>
    <col min="4351" max="4351" width="2.5703125" style="234" customWidth="1"/>
    <col min="4352" max="4352" width="7.140625" style="234" customWidth="1"/>
    <col min="4353" max="4353" width="23.5703125" style="234" customWidth="1"/>
    <col min="4354" max="4354" width="9.7109375" style="234" customWidth="1"/>
    <col min="4355" max="4355" width="4.7109375" style="234" customWidth="1"/>
    <col min="4356" max="4356" width="14.42578125" style="234" customWidth="1"/>
    <col min="4357" max="4357" width="11.140625" style="234" customWidth="1"/>
    <col min="4358" max="4358" width="10.28515625" style="234" customWidth="1"/>
    <col min="4359" max="4359" width="13" style="234" customWidth="1"/>
    <col min="4360" max="4360" width="8.28515625" style="234" customWidth="1"/>
    <col min="4361" max="4606" width="10" style="234"/>
    <col min="4607" max="4607" width="2.5703125" style="234" customWidth="1"/>
    <col min="4608" max="4608" width="7.140625" style="234" customWidth="1"/>
    <col min="4609" max="4609" width="23.5703125" style="234" customWidth="1"/>
    <col min="4610" max="4610" width="9.7109375" style="234" customWidth="1"/>
    <col min="4611" max="4611" width="4.7109375" style="234" customWidth="1"/>
    <col min="4612" max="4612" width="14.42578125" style="234" customWidth="1"/>
    <col min="4613" max="4613" width="11.140625" style="234" customWidth="1"/>
    <col min="4614" max="4614" width="10.28515625" style="234" customWidth="1"/>
    <col min="4615" max="4615" width="13" style="234" customWidth="1"/>
    <col min="4616" max="4616" width="8.28515625" style="234" customWidth="1"/>
    <col min="4617" max="4862" width="10" style="234"/>
    <col min="4863" max="4863" width="2.5703125" style="234" customWidth="1"/>
    <col min="4864" max="4864" width="7.140625" style="234" customWidth="1"/>
    <col min="4865" max="4865" width="23.5703125" style="234" customWidth="1"/>
    <col min="4866" max="4866" width="9.7109375" style="234" customWidth="1"/>
    <col min="4867" max="4867" width="4.7109375" style="234" customWidth="1"/>
    <col min="4868" max="4868" width="14.42578125" style="234" customWidth="1"/>
    <col min="4869" max="4869" width="11.140625" style="234" customWidth="1"/>
    <col min="4870" max="4870" width="10.28515625" style="234" customWidth="1"/>
    <col min="4871" max="4871" width="13" style="234" customWidth="1"/>
    <col min="4872" max="4872" width="8.28515625" style="234" customWidth="1"/>
    <col min="4873" max="5118" width="10" style="234"/>
    <col min="5119" max="5119" width="2.5703125" style="234" customWidth="1"/>
    <col min="5120" max="5120" width="7.140625" style="234" customWidth="1"/>
    <col min="5121" max="5121" width="23.5703125" style="234" customWidth="1"/>
    <col min="5122" max="5122" width="9.7109375" style="234" customWidth="1"/>
    <col min="5123" max="5123" width="4.7109375" style="234" customWidth="1"/>
    <col min="5124" max="5124" width="14.42578125" style="234" customWidth="1"/>
    <col min="5125" max="5125" width="11.140625" style="234" customWidth="1"/>
    <col min="5126" max="5126" width="10.28515625" style="234" customWidth="1"/>
    <col min="5127" max="5127" width="13" style="234" customWidth="1"/>
    <col min="5128" max="5128" width="8.28515625" style="234" customWidth="1"/>
    <col min="5129" max="5374" width="10" style="234"/>
    <col min="5375" max="5375" width="2.5703125" style="234" customWidth="1"/>
    <col min="5376" max="5376" width="7.140625" style="234" customWidth="1"/>
    <col min="5377" max="5377" width="23.5703125" style="234" customWidth="1"/>
    <col min="5378" max="5378" width="9.7109375" style="234" customWidth="1"/>
    <col min="5379" max="5379" width="4.7109375" style="234" customWidth="1"/>
    <col min="5380" max="5380" width="14.42578125" style="234" customWidth="1"/>
    <col min="5381" max="5381" width="11.140625" style="234" customWidth="1"/>
    <col min="5382" max="5382" width="10.28515625" style="234" customWidth="1"/>
    <col min="5383" max="5383" width="13" style="234" customWidth="1"/>
    <col min="5384" max="5384" width="8.28515625" style="234" customWidth="1"/>
    <col min="5385" max="5630" width="10" style="234"/>
    <col min="5631" max="5631" width="2.5703125" style="234" customWidth="1"/>
    <col min="5632" max="5632" width="7.140625" style="234" customWidth="1"/>
    <col min="5633" max="5633" width="23.5703125" style="234" customWidth="1"/>
    <col min="5634" max="5634" width="9.7109375" style="234" customWidth="1"/>
    <col min="5635" max="5635" width="4.7109375" style="234" customWidth="1"/>
    <col min="5636" max="5636" width="14.42578125" style="234" customWidth="1"/>
    <col min="5637" max="5637" width="11.140625" style="234" customWidth="1"/>
    <col min="5638" max="5638" width="10.28515625" style="234" customWidth="1"/>
    <col min="5639" max="5639" width="13" style="234" customWidth="1"/>
    <col min="5640" max="5640" width="8.28515625" style="234" customWidth="1"/>
    <col min="5641" max="5886" width="10" style="234"/>
    <col min="5887" max="5887" width="2.5703125" style="234" customWidth="1"/>
    <col min="5888" max="5888" width="7.140625" style="234" customWidth="1"/>
    <col min="5889" max="5889" width="23.5703125" style="234" customWidth="1"/>
    <col min="5890" max="5890" width="9.7109375" style="234" customWidth="1"/>
    <col min="5891" max="5891" width="4.7109375" style="234" customWidth="1"/>
    <col min="5892" max="5892" width="14.42578125" style="234" customWidth="1"/>
    <col min="5893" max="5893" width="11.140625" style="234" customWidth="1"/>
    <col min="5894" max="5894" width="10.28515625" style="234" customWidth="1"/>
    <col min="5895" max="5895" width="13" style="234" customWidth="1"/>
    <col min="5896" max="5896" width="8.28515625" style="234" customWidth="1"/>
    <col min="5897" max="6142" width="10" style="234"/>
    <col min="6143" max="6143" width="2.5703125" style="234" customWidth="1"/>
    <col min="6144" max="6144" width="7.140625" style="234" customWidth="1"/>
    <col min="6145" max="6145" width="23.5703125" style="234" customWidth="1"/>
    <col min="6146" max="6146" width="9.7109375" style="234" customWidth="1"/>
    <col min="6147" max="6147" width="4.7109375" style="234" customWidth="1"/>
    <col min="6148" max="6148" width="14.42578125" style="234" customWidth="1"/>
    <col min="6149" max="6149" width="11.140625" style="234" customWidth="1"/>
    <col min="6150" max="6150" width="10.28515625" style="234" customWidth="1"/>
    <col min="6151" max="6151" width="13" style="234" customWidth="1"/>
    <col min="6152" max="6152" width="8.28515625" style="234" customWidth="1"/>
    <col min="6153" max="6398" width="10" style="234"/>
    <col min="6399" max="6399" width="2.5703125" style="234" customWidth="1"/>
    <col min="6400" max="6400" width="7.140625" style="234" customWidth="1"/>
    <col min="6401" max="6401" width="23.5703125" style="234" customWidth="1"/>
    <col min="6402" max="6402" width="9.7109375" style="234" customWidth="1"/>
    <col min="6403" max="6403" width="4.7109375" style="234" customWidth="1"/>
    <col min="6404" max="6404" width="14.42578125" style="234" customWidth="1"/>
    <col min="6405" max="6405" width="11.140625" style="234" customWidth="1"/>
    <col min="6406" max="6406" width="10.28515625" style="234" customWidth="1"/>
    <col min="6407" max="6407" width="13" style="234" customWidth="1"/>
    <col min="6408" max="6408" width="8.28515625" style="234" customWidth="1"/>
    <col min="6409" max="6654" width="10" style="234"/>
    <col min="6655" max="6655" width="2.5703125" style="234" customWidth="1"/>
    <col min="6656" max="6656" width="7.140625" style="234" customWidth="1"/>
    <col min="6657" max="6657" width="23.5703125" style="234" customWidth="1"/>
    <col min="6658" max="6658" width="9.7109375" style="234" customWidth="1"/>
    <col min="6659" max="6659" width="4.7109375" style="234" customWidth="1"/>
    <col min="6660" max="6660" width="14.42578125" style="234" customWidth="1"/>
    <col min="6661" max="6661" width="11.140625" style="234" customWidth="1"/>
    <col min="6662" max="6662" width="10.28515625" style="234" customWidth="1"/>
    <col min="6663" max="6663" width="13" style="234" customWidth="1"/>
    <col min="6664" max="6664" width="8.28515625" style="234" customWidth="1"/>
    <col min="6665" max="6910" width="10" style="234"/>
    <col min="6911" max="6911" width="2.5703125" style="234" customWidth="1"/>
    <col min="6912" max="6912" width="7.140625" style="234" customWidth="1"/>
    <col min="6913" max="6913" width="23.5703125" style="234" customWidth="1"/>
    <col min="6914" max="6914" width="9.7109375" style="234" customWidth="1"/>
    <col min="6915" max="6915" width="4.7109375" style="234" customWidth="1"/>
    <col min="6916" max="6916" width="14.42578125" style="234" customWidth="1"/>
    <col min="6917" max="6917" width="11.140625" style="234" customWidth="1"/>
    <col min="6918" max="6918" width="10.28515625" style="234" customWidth="1"/>
    <col min="6919" max="6919" width="13" style="234" customWidth="1"/>
    <col min="6920" max="6920" width="8.28515625" style="234" customWidth="1"/>
    <col min="6921" max="7166" width="10" style="234"/>
    <col min="7167" max="7167" width="2.5703125" style="234" customWidth="1"/>
    <col min="7168" max="7168" width="7.140625" style="234" customWidth="1"/>
    <col min="7169" max="7169" width="23.5703125" style="234" customWidth="1"/>
    <col min="7170" max="7170" width="9.7109375" style="234" customWidth="1"/>
    <col min="7171" max="7171" width="4.7109375" style="234" customWidth="1"/>
    <col min="7172" max="7172" width="14.42578125" style="234" customWidth="1"/>
    <col min="7173" max="7173" width="11.140625" style="234" customWidth="1"/>
    <col min="7174" max="7174" width="10.28515625" style="234" customWidth="1"/>
    <col min="7175" max="7175" width="13" style="234" customWidth="1"/>
    <col min="7176" max="7176" width="8.28515625" style="234" customWidth="1"/>
    <col min="7177" max="7422" width="10" style="234"/>
    <col min="7423" max="7423" width="2.5703125" style="234" customWidth="1"/>
    <col min="7424" max="7424" width="7.140625" style="234" customWidth="1"/>
    <col min="7425" max="7425" width="23.5703125" style="234" customWidth="1"/>
    <col min="7426" max="7426" width="9.7109375" style="234" customWidth="1"/>
    <col min="7427" max="7427" width="4.7109375" style="234" customWidth="1"/>
    <col min="7428" max="7428" width="14.42578125" style="234" customWidth="1"/>
    <col min="7429" max="7429" width="11.140625" style="234" customWidth="1"/>
    <col min="7430" max="7430" width="10.28515625" style="234" customWidth="1"/>
    <col min="7431" max="7431" width="13" style="234" customWidth="1"/>
    <col min="7432" max="7432" width="8.28515625" style="234" customWidth="1"/>
    <col min="7433" max="7678" width="10" style="234"/>
    <col min="7679" max="7679" width="2.5703125" style="234" customWidth="1"/>
    <col min="7680" max="7680" width="7.140625" style="234" customWidth="1"/>
    <col min="7681" max="7681" width="23.5703125" style="234" customWidth="1"/>
    <col min="7682" max="7682" width="9.7109375" style="234" customWidth="1"/>
    <col min="7683" max="7683" width="4.7109375" style="234" customWidth="1"/>
    <col min="7684" max="7684" width="14.42578125" style="234" customWidth="1"/>
    <col min="7685" max="7685" width="11.140625" style="234" customWidth="1"/>
    <col min="7686" max="7686" width="10.28515625" style="234" customWidth="1"/>
    <col min="7687" max="7687" width="13" style="234" customWidth="1"/>
    <col min="7688" max="7688" width="8.28515625" style="234" customWidth="1"/>
    <col min="7689" max="7934" width="10" style="234"/>
    <col min="7935" max="7935" width="2.5703125" style="234" customWidth="1"/>
    <col min="7936" max="7936" width="7.140625" style="234" customWidth="1"/>
    <col min="7937" max="7937" width="23.5703125" style="234" customWidth="1"/>
    <col min="7938" max="7938" width="9.7109375" style="234" customWidth="1"/>
    <col min="7939" max="7939" width="4.7109375" style="234" customWidth="1"/>
    <col min="7940" max="7940" width="14.42578125" style="234" customWidth="1"/>
    <col min="7941" max="7941" width="11.140625" style="234" customWidth="1"/>
    <col min="7942" max="7942" width="10.28515625" style="234" customWidth="1"/>
    <col min="7943" max="7943" width="13" style="234" customWidth="1"/>
    <col min="7944" max="7944" width="8.28515625" style="234" customWidth="1"/>
    <col min="7945" max="8190" width="10" style="234"/>
    <col min="8191" max="8191" width="2.5703125" style="234" customWidth="1"/>
    <col min="8192" max="8192" width="7.140625" style="234" customWidth="1"/>
    <col min="8193" max="8193" width="23.5703125" style="234" customWidth="1"/>
    <col min="8194" max="8194" width="9.7109375" style="234" customWidth="1"/>
    <col min="8195" max="8195" width="4.7109375" style="234" customWidth="1"/>
    <col min="8196" max="8196" width="14.42578125" style="234" customWidth="1"/>
    <col min="8197" max="8197" width="11.140625" style="234" customWidth="1"/>
    <col min="8198" max="8198" width="10.28515625" style="234" customWidth="1"/>
    <col min="8199" max="8199" width="13" style="234" customWidth="1"/>
    <col min="8200" max="8200" width="8.28515625" style="234" customWidth="1"/>
    <col min="8201" max="8446" width="10" style="234"/>
    <col min="8447" max="8447" width="2.5703125" style="234" customWidth="1"/>
    <col min="8448" max="8448" width="7.140625" style="234" customWidth="1"/>
    <col min="8449" max="8449" width="23.5703125" style="234" customWidth="1"/>
    <col min="8450" max="8450" width="9.7109375" style="234" customWidth="1"/>
    <col min="8451" max="8451" width="4.7109375" style="234" customWidth="1"/>
    <col min="8452" max="8452" width="14.42578125" style="234" customWidth="1"/>
    <col min="8453" max="8453" width="11.140625" style="234" customWidth="1"/>
    <col min="8454" max="8454" width="10.28515625" style="234" customWidth="1"/>
    <col min="8455" max="8455" width="13" style="234" customWidth="1"/>
    <col min="8456" max="8456" width="8.28515625" style="234" customWidth="1"/>
    <col min="8457" max="8702" width="10" style="234"/>
    <col min="8703" max="8703" width="2.5703125" style="234" customWidth="1"/>
    <col min="8704" max="8704" width="7.140625" style="234" customWidth="1"/>
    <col min="8705" max="8705" width="23.5703125" style="234" customWidth="1"/>
    <col min="8706" max="8706" width="9.7109375" style="234" customWidth="1"/>
    <col min="8707" max="8707" width="4.7109375" style="234" customWidth="1"/>
    <col min="8708" max="8708" width="14.42578125" style="234" customWidth="1"/>
    <col min="8709" max="8709" width="11.140625" style="234" customWidth="1"/>
    <col min="8710" max="8710" width="10.28515625" style="234" customWidth="1"/>
    <col min="8711" max="8711" width="13" style="234" customWidth="1"/>
    <col min="8712" max="8712" width="8.28515625" style="234" customWidth="1"/>
    <col min="8713" max="8958" width="10" style="234"/>
    <col min="8959" max="8959" width="2.5703125" style="234" customWidth="1"/>
    <col min="8960" max="8960" width="7.140625" style="234" customWidth="1"/>
    <col min="8961" max="8961" width="23.5703125" style="234" customWidth="1"/>
    <col min="8962" max="8962" width="9.7109375" style="234" customWidth="1"/>
    <col min="8963" max="8963" width="4.7109375" style="234" customWidth="1"/>
    <col min="8964" max="8964" width="14.42578125" style="234" customWidth="1"/>
    <col min="8965" max="8965" width="11.140625" style="234" customWidth="1"/>
    <col min="8966" max="8966" width="10.28515625" style="234" customWidth="1"/>
    <col min="8967" max="8967" width="13" style="234" customWidth="1"/>
    <col min="8968" max="8968" width="8.28515625" style="234" customWidth="1"/>
    <col min="8969" max="9214" width="10" style="234"/>
    <col min="9215" max="9215" width="2.5703125" style="234" customWidth="1"/>
    <col min="9216" max="9216" width="7.140625" style="234" customWidth="1"/>
    <col min="9217" max="9217" width="23.5703125" style="234" customWidth="1"/>
    <col min="9218" max="9218" width="9.7109375" style="234" customWidth="1"/>
    <col min="9219" max="9219" width="4.7109375" style="234" customWidth="1"/>
    <col min="9220" max="9220" width="14.42578125" style="234" customWidth="1"/>
    <col min="9221" max="9221" width="11.140625" style="234" customWidth="1"/>
    <col min="9222" max="9222" width="10.28515625" style="234" customWidth="1"/>
    <col min="9223" max="9223" width="13" style="234" customWidth="1"/>
    <col min="9224" max="9224" width="8.28515625" style="234" customWidth="1"/>
    <col min="9225" max="9470" width="10" style="234"/>
    <col min="9471" max="9471" width="2.5703125" style="234" customWidth="1"/>
    <col min="9472" max="9472" width="7.140625" style="234" customWidth="1"/>
    <col min="9473" max="9473" width="23.5703125" style="234" customWidth="1"/>
    <col min="9474" max="9474" width="9.7109375" style="234" customWidth="1"/>
    <col min="9475" max="9475" width="4.7109375" style="234" customWidth="1"/>
    <col min="9476" max="9476" width="14.42578125" style="234" customWidth="1"/>
    <col min="9477" max="9477" width="11.140625" style="234" customWidth="1"/>
    <col min="9478" max="9478" width="10.28515625" style="234" customWidth="1"/>
    <col min="9479" max="9479" width="13" style="234" customWidth="1"/>
    <col min="9480" max="9480" width="8.28515625" style="234" customWidth="1"/>
    <col min="9481" max="9726" width="10" style="234"/>
    <col min="9727" max="9727" width="2.5703125" style="234" customWidth="1"/>
    <col min="9728" max="9728" width="7.140625" style="234" customWidth="1"/>
    <col min="9729" max="9729" width="23.5703125" style="234" customWidth="1"/>
    <col min="9730" max="9730" width="9.7109375" style="234" customWidth="1"/>
    <col min="9731" max="9731" width="4.7109375" style="234" customWidth="1"/>
    <col min="9732" max="9732" width="14.42578125" style="234" customWidth="1"/>
    <col min="9733" max="9733" width="11.140625" style="234" customWidth="1"/>
    <col min="9734" max="9734" width="10.28515625" style="234" customWidth="1"/>
    <col min="9735" max="9735" width="13" style="234" customWidth="1"/>
    <col min="9736" max="9736" width="8.28515625" style="234" customWidth="1"/>
    <col min="9737" max="9982" width="10" style="234"/>
    <col min="9983" max="9983" width="2.5703125" style="234" customWidth="1"/>
    <col min="9984" max="9984" width="7.140625" style="234" customWidth="1"/>
    <col min="9985" max="9985" width="23.5703125" style="234" customWidth="1"/>
    <col min="9986" max="9986" width="9.7109375" style="234" customWidth="1"/>
    <col min="9987" max="9987" width="4.7109375" style="234" customWidth="1"/>
    <col min="9988" max="9988" width="14.42578125" style="234" customWidth="1"/>
    <col min="9989" max="9989" width="11.140625" style="234" customWidth="1"/>
    <col min="9990" max="9990" width="10.28515625" style="234" customWidth="1"/>
    <col min="9991" max="9991" width="13" style="234" customWidth="1"/>
    <col min="9992" max="9992" width="8.28515625" style="234" customWidth="1"/>
    <col min="9993" max="10238" width="10" style="234"/>
    <col min="10239" max="10239" width="2.5703125" style="234" customWidth="1"/>
    <col min="10240" max="10240" width="7.140625" style="234" customWidth="1"/>
    <col min="10241" max="10241" width="23.5703125" style="234" customWidth="1"/>
    <col min="10242" max="10242" width="9.7109375" style="234" customWidth="1"/>
    <col min="10243" max="10243" width="4.7109375" style="234" customWidth="1"/>
    <col min="10244" max="10244" width="14.42578125" style="234" customWidth="1"/>
    <col min="10245" max="10245" width="11.140625" style="234" customWidth="1"/>
    <col min="10246" max="10246" width="10.28515625" style="234" customWidth="1"/>
    <col min="10247" max="10247" width="13" style="234" customWidth="1"/>
    <col min="10248" max="10248" width="8.28515625" style="234" customWidth="1"/>
    <col min="10249" max="10494" width="10" style="234"/>
    <col min="10495" max="10495" width="2.5703125" style="234" customWidth="1"/>
    <col min="10496" max="10496" width="7.140625" style="234" customWidth="1"/>
    <col min="10497" max="10497" width="23.5703125" style="234" customWidth="1"/>
    <col min="10498" max="10498" width="9.7109375" style="234" customWidth="1"/>
    <col min="10499" max="10499" width="4.7109375" style="234" customWidth="1"/>
    <col min="10500" max="10500" width="14.42578125" style="234" customWidth="1"/>
    <col min="10501" max="10501" width="11.140625" style="234" customWidth="1"/>
    <col min="10502" max="10502" width="10.28515625" style="234" customWidth="1"/>
    <col min="10503" max="10503" width="13" style="234" customWidth="1"/>
    <col min="10504" max="10504" width="8.28515625" style="234" customWidth="1"/>
    <col min="10505" max="10750" width="10" style="234"/>
    <col min="10751" max="10751" width="2.5703125" style="234" customWidth="1"/>
    <col min="10752" max="10752" width="7.140625" style="234" customWidth="1"/>
    <col min="10753" max="10753" width="23.5703125" style="234" customWidth="1"/>
    <col min="10754" max="10754" width="9.7109375" style="234" customWidth="1"/>
    <col min="10755" max="10755" width="4.7109375" style="234" customWidth="1"/>
    <col min="10756" max="10756" width="14.42578125" style="234" customWidth="1"/>
    <col min="10757" max="10757" width="11.140625" style="234" customWidth="1"/>
    <col min="10758" max="10758" width="10.28515625" style="234" customWidth="1"/>
    <col min="10759" max="10759" width="13" style="234" customWidth="1"/>
    <col min="10760" max="10760" width="8.28515625" style="234" customWidth="1"/>
    <col min="10761" max="11006" width="10" style="234"/>
    <col min="11007" max="11007" width="2.5703125" style="234" customWidth="1"/>
    <col min="11008" max="11008" width="7.140625" style="234" customWidth="1"/>
    <col min="11009" max="11009" width="23.5703125" style="234" customWidth="1"/>
    <col min="11010" max="11010" width="9.7109375" style="234" customWidth="1"/>
    <col min="11011" max="11011" width="4.7109375" style="234" customWidth="1"/>
    <col min="11012" max="11012" width="14.42578125" style="234" customWidth="1"/>
    <col min="11013" max="11013" width="11.140625" style="234" customWidth="1"/>
    <col min="11014" max="11014" width="10.28515625" style="234" customWidth="1"/>
    <col min="11015" max="11015" width="13" style="234" customWidth="1"/>
    <col min="11016" max="11016" width="8.28515625" style="234" customWidth="1"/>
    <col min="11017" max="11262" width="10" style="234"/>
    <col min="11263" max="11263" width="2.5703125" style="234" customWidth="1"/>
    <col min="11264" max="11264" width="7.140625" style="234" customWidth="1"/>
    <col min="11265" max="11265" width="23.5703125" style="234" customWidth="1"/>
    <col min="11266" max="11266" width="9.7109375" style="234" customWidth="1"/>
    <col min="11267" max="11267" width="4.7109375" style="234" customWidth="1"/>
    <col min="11268" max="11268" width="14.42578125" style="234" customWidth="1"/>
    <col min="11269" max="11269" width="11.140625" style="234" customWidth="1"/>
    <col min="11270" max="11270" width="10.28515625" style="234" customWidth="1"/>
    <col min="11271" max="11271" width="13" style="234" customWidth="1"/>
    <col min="11272" max="11272" width="8.28515625" style="234" customWidth="1"/>
    <col min="11273" max="11518" width="10" style="234"/>
    <col min="11519" max="11519" width="2.5703125" style="234" customWidth="1"/>
    <col min="11520" max="11520" width="7.140625" style="234" customWidth="1"/>
    <col min="11521" max="11521" width="23.5703125" style="234" customWidth="1"/>
    <col min="11522" max="11522" width="9.7109375" style="234" customWidth="1"/>
    <col min="11523" max="11523" width="4.7109375" style="234" customWidth="1"/>
    <col min="11524" max="11524" width="14.42578125" style="234" customWidth="1"/>
    <col min="11525" max="11525" width="11.140625" style="234" customWidth="1"/>
    <col min="11526" max="11526" width="10.28515625" style="234" customWidth="1"/>
    <col min="11527" max="11527" width="13" style="234" customWidth="1"/>
    <col min="11528" max="11528" width="8.28515625" style="234" customWidth="1"/>
    <col min="11529" max="11774" width="10" style="234"/>
    <col min="11775" max="11775" width="2.5703125" style="234" customWidth="1"/>
    <col min="11776" max="11776" width="7.140625" style="234" customWidth="1"/>
    <col min="11777" max="11777" width="23.5703125" style="234" customWidth="1"/>
    <col min="11778" max="11778" width="9.7109375" style="234" customWidth="1"/>
    <col min="11779" max="11779" width="4.7109375" style="234" customWidth="1"/>
    <col min="11780" max="11780" width="14.42578125" style="234" customWidth="1"/>
    <col min="11781" max="11781" width="11.140625" style="234" customWidth="1"/>
    <col min="11782" max="11782" width="10.28515625" style="234" customWidth="1"/>
    <col min="11783" max="11783" width="13" style="234" customWidth="1"/>
    <col min="11784" max="11784" width="8.28515625" style="234" customWidth="1"/>
    <col min="11785" max="12030" width="10" style="234"/>
    <col min="12031" max="12031" width="2.5703125" style="234" customWidth="1"/>
    <col min="12032" max="12032" width="7.140625" style="234" customWidth="1"/>
    <col min="12033" max="12033" width="23.5703125" style="234" customWidth="1"/>
    <col min="12034" max="12034" width="9.7109375" style="234" customWidth="1"/>
    <col min="12035" max="12035" width="4.7109375" style="234" customWidth="1"/>
    <col min="12036" max="12036" width="14.42578125" style="234" customWidth="1"/>
    <col min="12037" max="12037" width="11.140625" style="234" customWidth="1"/>
    <col min="12038" max="12038" width="10.28515625" style="234" customWidth="1"/>
    <col min="12039" max="12039" width="13" style="234" customWidth="1"/>
    <col min="12040" max="12040" width="8.28515625" style="234" customWidth="1"/>
    <col min="12041" max="12286" width="10" style="234"/>
    <col min="12287" max="12287" width="2.5703125" style="234" customWidth="1"/>
    <col min="12288" max="12288" width="7.140625" style="234" customWidth="1"/>
    <col min="12289" max="12289" width="23.5703125" style="234" customWidth="1"/>
    <col min="12290" max="12290" width="9.7109375" style="234" customWidth="1"/>
    <col min="12291" max="12291" width="4.7109375" style="234" customWidth="1"/>
    <col min="12292" max="12292" width="14.42578125" style="234" customWidth="1"/>
    <col min="12293" max="12293" width="11.140625" style="234" customWidth="1"/>
    <col min="12294" max="12294" width="10.28515625" style="234" customWidth="1"/>
    <col min="12295" max="12295" width="13" style="234" customWidth="1"/>
    <col min="12296" max="12296" width="8.28515625" style="234" customWidth="1"/>
    <col min="12297" max="12542" width="10" style="234"/>
    <col min="12543" max="12543" width="2.5703125" style="234" customWidth="1"/>
    <col min="12544" max="12544" width="7.140625" style="234" customWidth="1"/>
    <col min="12545" max="12545" width="23.5703125" style="234" customWidth="1"/>
    <col min="12546" max="12546" width="9.7109375" style="234" customWidth="1"/>
    <col min="12547" max="12547" width="4.7109375" style="234" customWidth="1"/>
    <col min="12548" max="12548" width="14.42578125" style="234" customWidth="1"/>
    <col min="12549" max="12549" width="11.140625" style="234" customWidth="1"/>
    <col min="12550" max="12550" width="10.28515625" style="234" customWidth="1"/>
    <col min="12551" max="12551" width="13" style="234" customWidth="1"/>
    <col min="12552" max="12552" width="8.28515625" style="234" customWidth="1"/>
    <col min="12553" max="12798" width="10" style="234"/>
    <col min="12799" max="12799" width="2.5703125" style="234" customWidth="1"/>
    <col min="12800" max="12800" width="7.140625" style="234" customWidth="1"/>
    <col min="12801" max="12801" width="23.5703125" style="234" customWidth="1"/>
    <col min="12802" max="12802" width="9.7109375" style="234" customWidth="1"/>
    <col min="12803" max="12803" width="4.7109375" style="234" customWidth="1"/>
    <col min="12804" max="12804" width="14.42578125" style="234" customWidth="1"/>
    <col min="12805" max="12805" width="11.140625" style="234" customWidth="1"/>
    <col min="12806" max="12806" width="10.28515625" style="234" customWidth="1"/>
    <col min="12807" max="12807" width="13" style="234" customWidth="1"/>
    <col min="12808" max="12808" width="8.28515625" style="234" customWidth="1"/>
    <col min="12809" max="13054" width="10" style="234"/>
    <col min="13055" max="13055" width="2.5703125" style="234" customWidth="1"/>
    <col min="13056" max="13056" width="7.140625" style="234" customWidth="1"/>
    <col min="13057" max="13057" width="23.5703125" style="234" customWidth="1"/>
    <col min="13058" max="13058" width="9.7109375" style="234" customWidth="1"/>
    <col min="13059" max="13059" width="4.7109375" style="234" customWidth="1"/>
    <col min="13060" max="13060" width="14.42578125" style="234" customWidth="1"/>
    <col min="13061" max="13061" width="11.140625" style="234" customWidth="1"/>
    <col min="13062" max="13062" width="10.28515625" style="234" customWidth="1"/>
    <col min="13063" max="13063" width="13" style="234" customWidth="1"/>
    <col min="13064" max="13064" width="8.28515625" style="234" customWidth="1"/>
    <col min="13065" max="13310" width="10" style="234"/>
    <col min="13311" max="13311" width="2.5703125" style="234" customWidth="1"/>
    <col min="13312" max="13312" width="7.140625" style="234" customWidth="1"/>
    <col min="13313" max="13313" width="23.5703125" style="234" customWidth="1"/>
    <col min="13314" max="13314" width="9.7109375" style="234" customWidth="1"/>
    <col min="13315" max="13315" width="4.7109375" style="234" customWidth="1"/>
    <col min="13316" max="13316" width="14.42578125" style="234" customWidth="1"/>
    <col min="13317" max="13317" width="11.140625" style="234" customWidth="1"/>
    <col min="13318" max="13318" width="10.28515625" style="234" customWidth="1"/>
    <col min="13319" max="13319" width="13" style="234" customWidth="1"/>
    <col min="13320" max="13320" width="8.28515625" style="234" customWidth="1"/>
    <col min="13321" max="13566" width="10" style="234"/>
    <col min="13567" max="13567" width="2.5703125" style="234" customWidth="1"/>
    <col min="13568" max="13568" width="7.140625" style="234" customWidth="1"/>
    <col min="13569" max="13569" width="23.5703125" style="234" customWidth="1"/>
    <col min="13570" max="13570" width="9.7109375" style="234" customWidth="1"/>
    <col min="13571" max="13571" width="4.7109375" style="234" customWidth="1"/>
    <col min="13572" max="13572" width="14.42578125" style="234" customWidth="1"/>
    <col min="13573" max="13573" width="11.140625" style="234" customWidth="1"/>
    <col min="13574" max="13574" width="10.28515625" style="234" customWidth="1"/>
    <col min="13575" max="13575" width="13" style="234" customWidth="1"/>
    <col min="13576" max="13576" width="8.28515625" style="234" customWidth="1"/>
    <col min="13577" max="13822" width="10" style="234"/>
    <col min="13823" max="13823" width="2.5703125" style="234" customWidth="1"/>
    <col min="13824" max="13824" width="7.140625" style="234" customWidth="1"/>
    <col min="13825" max="13825" width="23.5703125" style="234" customWidth="1"/>
    <col min="13826" max="13826" width="9.7109375" style="234" customWidth="1"/>
    <col min="13827" max="13827" width="4.7109375" style="234" customWidth="1"/>
    <col min="13828" max="13828" width="14.42578125" style="234" customWidth="1"/>
    <col min="13829" max="13829" width="11.140625" style="234" customWidth="1"/>
    <col min="13830" max="13830" width="10.28515625" style="234" customWidth="1"/>
    <col min="13831" max="13831" width="13" style="234" customWidth="1"/>
    <col min="13832" max="13832" width="8.28515625" style="234" customWidth="1"/>
    <col min="13833" max="14078" width="10" style="234"/>
    <col min="14079" max="14079" width="2.5703125" style="234" customWidth="1"/>
    <col min="14080" max="14080" width="7.140625" style="234" customWidth="1"/>
    <col min="14081" max="14081" width="23.5703125" style="234" customWidth="1"/>
    <col min="14082" max="14082" width="9.7109375" style="234" customWidth="1"/>
    <col min="14083" max="14083" width="4.7109375" style="234" customWidth="1"/>
    <col min="14084" max="14084" width="14.42578125" style="234" customWidth="1"/>
    <col min="14085" max="14085" width="11.140625" style="234" customWidth="1"/>
    <col min="14086" max="14086" width="10.28515625" style="234" customWidth="1"/>
    <col min="14087" max="14087" width="13" style="234" customWidth="1"/>
    <col min="14088" max="14088" width="8.28515625" style="234" customWidth="1"/>
    <col min="14089" max="14334" width="10" style="234"/>
    <col min="14335" max="14335" width="2.5703125" style="234" customWidth="1"/>
    <col min="14336" max="14336" width="7.140625" style="234" customWidth="1"/>
    <col min="14337" max="14337" width="23.5703125" style="234" customWidth="1"/>
    <col min="14338" max="14338" width="9.7109375" style="234" customWidth="1"/>
    <col min="14339" max="14339" width="4.7109375" style="234" customWidth="1"/>
    <col min="14340" max="14340" width="14.42578125" style="234" customWidth="1"/>
    <col min="14341" max="14341" width="11.140625" style="234" customWidth="1"/>
    <col min="14342" max="14342" width="10.28515625" style="234" customWidth="1"/>
    <col min="14343" max="14343" width="13" style="234" customWidth="1"/>
    <col min="14344" max="14344" width="8.28515625" style="234" customWidth="1"/>
    <col min="14345" max="14590" width="10" style="234"/>
    <col min="14591" max="14591" width="2.5703125" style="234" customWidth="1"/>
    <col min="14592" max="14592" width="7.140625" style="234" customWidth="1"/>
    <col min="14593" max="14593" width="23.5703125" style="234" customWidth="1"/>
    <col min="14594" max="14594" width="9.7109375" style="234" customWidth="1"/>
    <col min="14595" max="14595" width="4.7109375" style="234" customWidth="1"/>
    <col min="14596" max="14596" width="14.42578125" style="234" customWidth="1"/>
    <col min="14597" max="14597" width="11.140625" style="234" customWidth="1"/>
    <col min="14598" max="14598" width="10.28515625" style="234" customWidth="1"/>
    <col min="14599" max="14599" width="13" style="234" customWidth="1"/>
    <col min="14600" max="14600" width="8.28515625" style="234" customWidth="1"/>
    <col min="14601" max="14846" width="10" style="234"/>
    <col min="14847" max="14847" width="2.5703125" style="234" customWidth="1"/>
    <col min="14848" max="14848" width="7.140625" style="234" customWidth="1"/>
    <col min="14849" max="14849" width="23.5703125" style="234" customWidth="1"/>
    <col min="14850" max="14850" width="9.7109375" style="234" customWidth="1"/>
    <col min="14851" max="14851" width="4.7109375" style="234" customWidth="1"/>
    <col min="14852" max="14852" width="14.42578125" style="234" customWidth="1"/>
    <col min="14853" max="14853" width="11.140625" style="234" customWidth="1"/>
    <col min="14854" max="14854" width="10.28515625" style="234" customWidth="1"/>
    <col min="14855" max="14855" width="13" style="234" customWidth="1"/>
    <col min="14856" max="14856" width="8.28515625" style="234" customWidth="1"/>
    <col min="14857" max="15102" width="10" style="234"/>
    <col min="15103" max="15103" width="2.5703125" style="234" customWidth="1"/>
    <col min="15104" max="15104" width="7.140625" style="234" customWidth="1"/>
    <col min="15105" max="15105" width="23.5703125" style="234" customWidth="1"/>
    <col min="15106" max="15106" width="9.7109375" style="234" customWidth="1"/>
    <col min="15107" max="15107" width="4.7109375" style="234" customWidth="1"/>
    <col min="15108" max="15108" width="14.42578125" style="234" customWidth="1"/>
    <col min="15109" max="15109" width="11.140625" style="234" customWidth="1"/>
    <col min="15110" max="15110" width="10.28515625" style="234" customWidth="1"/>
    <col min="15111" max="15111" width="13" style="234" customWidth="1"/>
    <col min="15112" max="15112" width="8.28515625" style="234" customWidth="1"/>
    <col min="15113" max="15358" width="10" style="234"/>
    <col min="15359" max="15359" width="2.5703125" style="234" customWidth="1"/>
    <col min="15360" max="15360" width="7.140625" style="234" customWidth="1"/>
    <col min="15361" max="15361" width="23.5703125" style="234" customWidth="1"/>
    <col min="15362" max="15362" width="9.7109375" style="234" customWidth="1"/>
    <col min="15363" max="15363" width="4.7109375" style="234" customWidth="1"/>
    <col min="15364" max="15364" width="14.42578125" style="234" customWidth="1"/>
    <col min="15365" max="15365" width="11.140625" style="234" customWidth="1"/>
    <col min="15366" max="15366" width="10.28515625" style="234" customWidth="1"/>
    <col min="15367" max="15367" width="13" style="234" customWidth="1"/>
    <col min="15368" max="15368" width="8.28515625" style="234" customWidth="1"/>
    <col min="15369" max="15614" width="10" style="234"/>
    <col min="15615" max="15615" width="2.5703125" style="234" customWidth="1"/>
    <col min="15616" max="15616" width="7.140625" style="234" customWidth="1"/>
    <col min="15617" max="15617" width="23.5703125" style="234" customWidth="1"/>
    <col min="15618" max="15618" width="9.7109375" style="234" customWidth="1"/>
    <col min="15619" max="15619" width="4.7109375" style="234" customWidth="1"/>
    <col min="15620" max="15620" width="14.42578125" style="234" customWidth="1"/>
    <col min="15621" max="15621" width="11.140625" style="234" customWidth="1"/>
    <col min="15622" max="15622" width="10.28515625" style="234" customWidth="1"/>
    <col min="15623" max="15623" width="13" style="234" customWidth="1"/>
    <col min="15624" max="15624" width="8.28515625" style="234" customWidth="1"/>
    <col min="15625" max="15870" width="10" style="234"/>
    <col min="15871" max="15871" width="2.5703125" style="234" customWidth="1"/>
    <col min="15872" max="15872" width="7.140625" style="234" customWidth="1"/>
    <col min="15873" max="15873" width="23.5703125" style="234" customWidth="1"/>
    <col min="15874" max="15874" width="9.7109375" style="234" customWidth="1"/>
    <col min="15875" max="15875" width="4.7109375" style="234" customWidth="1"/>
    <col min="15876" max="15876" width="14.42578125" style="234" customWidth="1"/>
    <col min="15877" max="15877" width="11.140625" style="234" customWidth="1"/>
    <col min="15878" max="15878" width="10.28515625" style="234" customWidth="1"/>
    <col min="15879" max="15879" width="13" style="234" customWidth="1"/>
    <col min="15880" max="15880" width="8.28515625" style="234" customWidth="1"/>
    <col min="15881" max="16126" width="10" style="234"/>
    <col min="16127" max="16127" width="2.5703125" style="234" customWidth="1"/>
    <col min="16128" max="16128" width="7.140625" style="234" customWidth="1"/>
    <col min="16129" max="16129" width="23.5703125" style="234" customWidth="1"/>
    <col min="16130" max="16130" width="9.7109375" style="234" customWidth="1"/>
    <col min="16131" max="16131" width="4.7109375" style="234" customWidth="1"/>
    <col min="16132" max="16132" width="14.42578125" style="234" customWidth="1"/>
    <col min="16133" max="16133" width="11.140625" style="234" customWidth="1"/>
    <col min="16134" max="16134" width="10.28515625" style="234" customWidth="1"/>
    <col min="16135" max="16135" width="13" style="234" customWidth="1"/>
    <col min="16136" max="16136" width="8.28515625" style="234" customWidth="1"/>
    <col min="16137" max="16384" width="10" style="234"/>
  </cols>
  <sheetData>
    <row r="1" spans="1:10">
      <c r="A1" s="17" t="str">
        <f>RevReqSummary!A1</f>
        <v>PacifiCorp General Rate Case UE-140617</v>
      </c>
      <c r="B1" s="232"/>
      <c r="C1" s="232"/>
      <c r="D1" s="896"/>
      <c r="E1" s="232"/>
      <c r="F1" s="232"/>
      <c r="G1" s="233"/>
      <c r="H1" s="484"/>
    </row>
    <row r="2" spans="1:10">
      <c r="A2" s="17" t="str">
        <f>RevReqSummary!A2</f>
        <v>For The Twelve Months Ended December 2013 - Staff Revenue Requirement</v>
      </c>
      <c r="B2" s="232"/>
      <c r="C2" s="232"/>
      <c r="D2" s="896"/>
      <c r="E2" s="232"/>
      <c r="F2" s="232"/>
      <c r="G2" s="233"/>
      <c r="H2" s="484"/>
    </row>
    <row r="3" spans="1:10">
      <c r="A3" s="235" t="s">
        <v>125</v>
      </c>
      <c r="B3" s="232"/>
      <c r="C3" s="232"/>
      <c r="D3" s="896"/>
      <c r="E3" s="232"/>
      <c r="F3" s="232"/>
      <c r="G3" s="233"/>
      <c r="H3" s="484"/>
    </row>
    <row r="4" spans="1:10">
      <c r="A4" s="235" t="s">
        <v>492</v>
      </c>
      <c r="B4" s="232"/>
      <c r="C4" s="232"/>
      <c r="D4" s="896"/>
      <c r="E4" s="232"/>
      <c r="F4" s="232"/>
      <c r="G4" s="233"/>
      <c r="H4" s="484"/>
    </row>
    <row r="5" spans="1:10">
      <c r="B5" s="232"/>
      <c r="C5" s="495"/>
      <c r="D5" s="896"/>
      <c r="E5" s="232"/>
      <c r="F5" s="232"/>
      <c r="G5" s="233"/>
      <c r="H5" s="484"/>
    </row>
    <row r="6" spans="1:10">
      <c r="B6" s="232"/>
      <c r="C6" s="232"/>
      <c r="D6" s="896" t="s">
        <v>131</v>
      </c>
      <c r="E6" s="232"/>
      <c r="F6" s="232"/>
      <c r="G6" s="146" t="s">
        <v>236</v>
      </c>
      <c r="H6" s="484"/>
    </row>
    <row r="7" spans="1:10">
      <c r="B7" s="236" t="s">
        <v>397</v>
      </c>
      <c r="C7" s="236" t="s">
        <v>660</v>
      </c>
      <c r="D7" s="897" t="s">
        <v>134</v>
      </c>
      <c r="E7" s="236" t="s">
        <v>135</v>
      </c>
      <c r="F7" s="236" t="s">
        <v>136</v>
      </c>
      <c r="G7" s="149" t="s">
        <v>137</v>
      </c>
      <c r="H7" s="484"/>
    </row>
    <row r="8" spans="1:10">
      <c r="A8" s="235" t="s">
        <v>199</v>
      </c>
      <c r="B8" s="236"/>
      <c r="C8" s="236"/>
      <c r="D8" s="897"/>
      <c r="E8" s="236"/>
      <c r="F8" s="236"/>
      <c r="G8" s="31"/>
      <c r="H8" s="486"/>
    </row>
    <row r="9" spans="1:10">
      <c r="A9" s="935" t="s">
        <v>690</v>
      </c>
      <c r="B9" s="936">
        <v>506</v>
      </c>
      <c r="C9" s="936" t="s">
        <v>140</v>
      </c>
      <c r="D9" s="265">
        <v>-11666.67</v>
      </c>
      <c r="E9" s="30" t="s">
        <v>231</v>
      </c>
      <c r="F9" s="33">
        <f>INDEX(WCAAllocations,IFERROR(MATCH(E9,WCAFactors,0),2),IFERROR(MATCH(E9,WCAStates,0),4))</f>
        <v>0.22953887558714423</v>
      </c>
      <c r="G9" s="31">
        <f>D9*F9</f>
        <v>-2677.954313646268</v>
      </c>
      <c r="H9" s="484"/>
    </row>
    <row r="10" spans="1:10">
      <c r="A10" s="935" t="s">
        <v>691</v>
      </c>
      <c r="B10" s="936">
        <v>456.23</v>
      </c>
      <c r="C10" s="936" t="s">
        <v>140</v>
      </c>
      <c r="D10" s="265">
        <v>-2000000</v>
      </c>
      <c r="E10" s="30" t="s">
        <v>146</v>
      </c>
      <c r="F10" s="33">
        <f>INDEX(WCAAllocations,IFERROR(MATCH(E10,WCAFactors,0),2),IFERROR(MATCH(E10,WCAStates,0),4))</f>
        <v>7.9057273540331513E-2</v>
      </c>
      <c r="G10" s="31">
        <f>D10*F10</f>
        <v>-158114.54708066303</v>
      </c>
      <c r="H10" s="484"/>
      <c r="I10" s="140"/>
      <c r="J10" s="1"/>
    </row>
    <row r="11" spans="1:10" s="244" customFormat="1" ht="13.5" thickBot="1">
      <c r="A11" s="248" t="s">
        <v>344</v>
      </c>
      <c r="B11" s="30"/>
      <c r="C11" s="241"/>
      <c r="D11" s="38">
        <f>SUM(D9:D10)</f>
        <v>-2011666.67</v>
      </c>
      <c r="E11" s="535"/>
      <c r="F11" s="155"/>
      <c r="G11" s="38">
        <f>SUM(G9:G10)</f>
        <v>-160792.50139430931</v>
      </c>
      <c r="I11" s="37"/>
      <c r="J11" s="251"/>
    </row>
    <row r="12" spans="1:10" s="244" customFormat="1" ht="13.5" thickTop="1">
      <c r="A12" s="248"/>
      <c r="B12" s="30"/>
      <c r="C12" s="241"/>
      <c r="D12" s="35"/>
      <c r="E12" s="535"/>
      <c r="F12" s="155"/>
      <c r="G12" s="35"/>
      <c r="I12" s="37"/>
      <c r="J12" s="251"/>
    </row>
    <row r="13" spans="1:10" s="244" customFormat="1">
      <c r="A13" s="248"/>
      <c r="B13" s="30"/>
      <c r="C13" s="241"/>
      <c r="D13" s="35"/>
      <c r="E13" s="535"/>
      <c r="F13" s="155"/>
      <c r="G13" s="35"/>
      <c r="I13" s="37"/>
      <c r="J13" s="251"/>
    </row>
    <row r="14" spans="1:10" s="244" customFormat="1">
      <c r="A14" s="544"/>
      <c r="B14" s="30"/>
      <c r="C14" s="241"/>
      <c r="D14" s="35"/>
      <c r="E14" s="535"/>
      <c r="F14" s="155"/>
      <c r="G14" s="31"/>
      <c r="H14" s="254"/>
      <c r="I14" s="37"/>
      <c r="J14" s="29"/>
    </row>
    <row r="15" spans="1:10" s="244" customFormat="1">
      <c r="A15" s="248" t="s">
        <v>212</v>
      </c>
      <c r="B15" s="241"/>
      <c r="C15" s="232"/>
      <c r="D15" s="351"/>
      <c r="E15" s="241"/>
      <c r="F15" s="241"/>
      <c r="H15" s="254"/>
    </row>
    <row r="16" spans="1:10" s="244" customFormat="1">
      <c r="A16" s="1399" t="s">
        <v>1055</v>
      </c>
      <c r="B16" s="1399"/>
      <c r="C16" s="1399"/>
      <c r="D16" s="1399"/>
      <c r="E16" s="1399"/>
      <c r="F16" s="1399"/>
      <c r="G16" s="1399"/>
      <c r="H16" s="254"/>
    </row>
    <row r="17" spans="1:9">
      <c r="A17" s="1399"/>
      <c r="B17" s="1399"/>
      <c r="C17" s="1399"/>
      <c r="D17" s="1399"/>
      <c r="E17" s="1399"/>
      <c r="F17" s="1399"/>
      <c r="G17" s="1399"/>
      <c r="I17" s="937"/>
    </row>
    <row r="18" spans="1:9">
      <c r="A18" s="1399"/>
      <c r="B18" s="1399"/>
      <c r="C18" s="1399"/>
      <c r="D18" s="1399"/>
      <c r="E18" s="1399"/>
      <c r="F18" s="1399"/>
      <c r="G18" s="1399"/>
    </row>
    <row r="19" spans="1:9">
      <c r="A19" s="1399"/>
      <c r="B19" s="1399"/>
      <c r="C19" s="1399"/>
      <c r="D19" s="1399"/>
      <c r="E19" s="1399"/>
      <c r="F19" s="1399"/>
      <c r="G19" s="1399"/>
    </row>
    <row r="20" spans="1:9">
      <c r="A20" s="1399"/>
      <c r="B20" s="1399"/>
      <c r="C20" s="1399"/>
      <c r="D20" s="1399"/>
      <c r="E20" s="1399"/>
      <c r="F20" s="1399"/>
      <c r="G20" s="1399"/>
    </row>
    <row r="21" spans="1:9">
      <c r="A21" s="1399"/>
      <c r="B21" s="1399"/>
      <c r="C21" s="1399"/>
      <c r="D21" s="1399"/>
      <c r="E21" s="1399"/>
      <c r="F21" s="1399"/>
      <c r="G21" s="1399"/>
    </row>
    <row r="22" spans="1:9">
      <c r="A22" s="244"/>
      <c r="B22" s="244"/>
      <c r="C22" s="241"/>
      <c r="D22" s="244"/>
      <c r="E22" s="244"/>
      <c r="F22" s="244"/>
      <c r="G22" s="244"/>
    </row>
    <row r="23" spans="1:9">
      <c r="C23" s="232"/>
    </row>
    <row r="24" spans="1:9">
      <c r="G24" s="251"/>
    </row>
    <row r="25" spans="1:9">
      <c r="G25" s="251"/>
    </row>
    <row r="26" spans="1:9">
      <c r="G26" s="251"/>
    </row>
    <row r="27" spans="1:9">
      <c r="G27" s="251"/>
    </row>
    <row r="28" spans="1:9">
      <c r="F28" s="366"/>
      <c r="G28" s="251"/>
    </row>
    <row r="29" spans="1:9">
      <c r="G29" s="241"/>
    </row>
    <row r="30" spans="1:9">
      <c r="G30" s="241"/>
    </row>
    <row r="31" spans="1:9">
      <c r="G31" s="241"/>
    </row>
    <row r="32" spans="1:9">
      <c r="G32" s="241"/>
    </row>
    <row r="33" spans="3:7">
      <c r="G33" s="241"/>
    </row>
    <row r="34" spans="3:7">
      <c r="G34" s="244"/>
    </row>
    <row r="35" spans="3:7">
      <c r="G35" s="244"/>
    </row>
    <row r="36" spans="3:7">
      <c r="C36" s="232"/>
    </row>
    <row r="37" spans="3:7">
      <c r="C37" s="232"/>
    </row>
    <row r="38" spans="3:7">
      <c r="C38" s="232"/>
    </row>
    <row r="39" spans="3:7">
      <c r="C39" s="232"/>
    </row>
    <row r="40" spans="3:7">
      <c r="C40" s="232"/>
    </row>
    <row r="41" spans="3:7">
      <c r="C41" s="232"/>
    </row>
    <row r="42" spans="3:7">
      <c r="C42" s="232"/>
    </row>
    <row r="43" spans="3:7">
      <c r="C43" s="232"/>
    </row>
    <row r="44" spans="3:7">
      <c r="C44" s="232"/>
    </row>
    <row r="45" spans="3:7">
      <c r="C45" s="232"/>
    </row>
    <row r="46" spans="3:7">
      <c r="C46" s="232"/>
    </row>
    <row r="47" spans="3:7">
      <c r="C47" s="232"/>
    </row>
    <row r="48" spans="3:7">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row r="470" spans="3:3">
      <c r="C470" s="232"/>
    </row>
    <row r="471" spans="3:3">
      <c r="C471" s="232"/>
    </row>
    <row r="472" spans="3:3">
      <c r="C472" s="232"/>
    </row>
    <row r="473" spans="3:3">
      <c r="C473" s="232"/>
    </row>
    <row r="474" spans="3:3">
      <c r="C474" s="232"/>
    </row>
    <row r="475" spans="3:3">
      <c r="C475" s="232"/>
    </row>
    <row r="476" spans="3:3">
      <c r="C476" s="232"/>
    </row>
    <row r="477" spans="3:3">
      <c r="C477" s="232"/>
    </row>
    <row r="478" spans="3:3">
      <c r="C478" s="232"/>
    </row>
    <row r="479" spans="3:3">
      <c r="C479" s="232"/>
    </row>
    <row r="480" spans="3:3">
      <c r="C480" s="232"/>
    </row>
    <row r="481" spans="3:3">
      <c r="C481" s="232"/>
    </row>
    <row r="482" spans="3:3">
      <c r="C482" s="232"/>
    </row>
    <row r="483" spans="3:3">
      <c r="C483" s="232"/>
    </row>
    <row r="484" spans="3:3">
      <c r="C484" s="232"/>
    </row>
    <row r="485" spans="3:3">
      <c r="C485" s="232"/>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O73"/>
  <sheetViews>
    <sheetView workbookViewId="0">
      <selection activeCell="F16" sqref="F16"/>
    </sheetView>
  </sheetViews>
  <sheetFormatPr defaultColWidth="46.7109375" defaultRowHeight="12.75"/>
  <cols>
    <col min="1" max="1" width="28.85546875" style="1" customWidth="1"/>
    <col min="2" max="2" width="9.7109375" style="23" bestFit="1" customWidth="1"/>
    <col min="3" max="3" width="5.28515625" style="1" customWidth="1"/>
    <col min="4" max="4" width="12.85546875" style="167" customWidth="1"/>
    <col min="5" max="5" width="10.28515625" style="23" customWidth="1"/>
    <col min="6" max="6" width="10" style="23" bestFit="1" customWidth="1"/>
    <col min="7" max="7" width="14.7109375" style="1" bestFit="1" customWidth="1"/>
    <col min="8" max="93" width="46.7109375" style="29"/>
    <col min="94" max="16384" width="46.7109375" style="1"/>
  </cols>
  <sheetData>
    <row r="1" spans="1:24">
      <c r="A1" s="17" t="str">
        <f>RevReqSummary!A1</f>
        <v>PacifiCorp General Rate Case UE-140617</v>
      </c>
      <c r="C1" s="23"/>
      <c r="D1" s="141"/>
      <c r="G1" s="142"/>
      <c r="I1" s="53"/>
      <c r="P1" s="143"/>
      <c r="R1" s="53"/>
      <c r="X1" s="143"/>
    </row>
    <row r="2" spans="1:24">
      <c r="A2" s="17" t="str">
        <f>RevReqSummary!A2</f>
        <v>For The Twelve Months Ended December 2013 - Staff Revenue Requirement</v>
      </c>
      <c r="C2" s="23"/>
      <c r="D2" s="141"/>
      <c r="G2" s="144"/>
      <c r="I2" s="28"/>
      <c r="R2" s="145"/>
    </row>
    <row r="3" spans="1:24">
      <c r="A3" s="25" t="s">
        <v>400</v>
      </c>
      <c r="C3" s="23"/>
      <c r="D3" s="141"/>
      <c r="G3" s="144"/>
      <c r="I3" s="145"/>
      <c r="L3" s="30"/>
      <c r="M3" s="30"/>
      <c r="N3" s="30"/>
      <c r="O3" s="30"/>
      <c r="P3" s="30"/>
    </row>
    <row r="4" spans="1:24">
      <c r="A4" s="25" t="s">
        <v>493</v>
      </c>
      <c r="C4" s="23"/>
      <c r="D4" s="141"/>
      <c r="G4" s="146"/>
      <c r="I4" s="145"/>
      <c r="L4" s="30"/>
      <c r="M4" s="30"/>
      <c r="N4" s="30"/>
      <c r="O4" s="30"/>
      <c r="P4" s="30"/>
    </row>
    <row r="5" spans="1:24">
      <c r="C5" s="23"/>
      <c r="D5" s="141"/>
      <c r="G5" s="144"/>
      <c r="I5" s="145"/>
      <c r="L5" s="30"/>
      <c r="M5" s="30"/>
      <c r="N5" s="30"/>
      <c r="O5" s="30"/>
      <c r="P5" s="30"/>
    </row>
    <row r="6" spans="1:24">
      <c r="C6" s="23"/>
      <c r="D6" s="147" t="s">
        <v>131</v>
      </c>
      <c r="G6" s="146" t="s">
        <v>236</v>
      </c>
      <c r="I6" s="145"/>
      <c r="L6" s="30"/>
      <c r="M6" s="30"/>
      <c r="N6" s="30"/>
      <c r="O6" s="30"/>
      <c r="P6" s="30"/>
    </row>
    <row r="7" spans="1:24">
      <c r="B7" s="26" t="s">
        <v>132</v>
      </c>
      <c r="C7" s="26" t="s">
        <v>660</v>
      </c>
      <c r="D7" s="148" t="s">
        <v>134</v>
      </c>
      <c r="E7" s="26" t="s">
        <v>135</v>
      </c>
      <c r="F7" s="26" t="s">
        <v>136</v>
      </c>
      <c r="G7" s="149" t="s">
        <v>137</v>
      </c>
      <c r="L7" s="150"/>
      <c r="M7" s="150"/>
      <c r="N7" s="151"/>
      <c r="O7" s="151"/>
      <c r="P7" s="151"/>
      <c r="U7" s="152"/>
      <c r="V7" s="151"/>
      <c r="W7" s="30"/>
    </row>
    <row r="8" spans="1:24">
      <c r="A8" s="53" t="s">
        <v>199</v>
      </c>
      <c r="B8" s="23">
        <v>908</v>
      </c>
      <c r="C8" s="160" t="s">
        <v>140</v>
      </c>
      <c r="D8" s="161">
        <v>-911468.18</v>
      </c>
      <c r="E8" s="30" t="s">
        <v>170</v>
      </c>
      <c r="F8" s="33">
        <f t="shared" ref="F8:F13" si="0">INDEX(WCAAllocations,IFERROR(MATCH(E8,WCAFactors,0),2),IFERROR(MATCH(E8,WCAStates,0),4))</f>
        <v>0</v>
      </c>
      <c r="G8" s="146">
        <f>0</f>
        <v>0</v>
      </c>
      <c r="J8" s="136"/>
      <c r="L8" s="157"/>
      <c r="M8" s="158"/>
      <c r="U8" s="159"/>
    </row>
    <row r="9" spans="1:24">
      <c r="A9" s="29" t="s">
        <v>401</v>
      </c>
      <c r="B9" s="30">
        <v>908</v>
      </c>
      <c r="C9" s="30" t="s">
        <v>140</v>
      </c>
      <c r="D9" s="161">
        <v>-3769944.78</v>
      </c>
      <c r="E9" s="30" t="s">
        <v>173</v>
      </c>
      <c r="F9" s="33">
        <f t="shared" si="0"/>
        <v>0</v>
      </c>
      <c r="G9" s="156">
        <v>0</v>
      </c>
      <c r="J9" s="136"/>
      <c r="L9" s="157"/>
      <c r="M9" s="158"/>
      <c r="U9" s="159"/>
    </row>
    <row r="10" spans="1:24">
      <c r="A10" s="29"/>
      <c r="B10" s="23">
        <v>908</v>
      </c>
      <c r="C10" s="163" t="s">
        <v>140</v>
      </c>
      <c r="D10" s="161">
        <v>-26446999.699999999</v>
      </c>
      <c r="E10" s="30" t="s">
        <v>171</v>
      </c>
      <c r="F10" s="33">
        <f t="shared" si="0"/>
        <v>0</v>
      </c>
      <c r="G10" s="164">
        <v>0</v>
      </c>
      <c r="J10" s="136"/>
      <c r="L10" s="157"/>
      <c r="M10" s="158"/>
      <c r="U10" s="159"/>
    </row>
    <row r="11" spans="1:24">
      <c r="A11" s="29"/>
      <c r="B11" s="30">
        <v>908</v>
      </c>
      <c r="C11" s="30" t="s">
        <v>140</v>
      </c>
      <c r="D11" s="161">
        <v>-47956612.079999998</v>
      </c>
      <c r="E11" s="30" t="s">
        <v>172</v>
      </c>
      <c r="F11" s="33">
        <f t="shared" si="0"/>
        <v>0</v>
      </c>
      <c r="G11" s="154">
        <v>0</v>
      </c>
      <c r="J11" s="136"/>
      <c r="L11" s="157"/>
      <c r="M11" s="158"/>
      <c r="U11" s="159"/>
    </row>
    <row r="12" spans="1:24">
      <c r="A12" s="29"/>
      <c r="B12" s="23">
        <v>908</v>
      </c>
      <c r="C12" s="23" t="s">
        <v>140</v>
      </c>
      <c r="D12" s="161">
        <v>-10677588.59</v>
      </c>
      <c r="E12" s="30" t="s">
        <v>141</v>
      </c>
      <c r="F12" s="33">
        <f t="shared" si="0"/>
        <v>1</v>
      </c>
      <c r="G12" s="156">
        <f>D12</f>
        <v>-10677588.59</v>
      </c>
      <c r="J12" s="136"/>
      <c r="L12" s="157"/>
      <c r="M12" s="158"/>
      <c r="U12" s="159"/>
    </row>
    <row r="13" spans="1:24">
      <c r="A13" s="29"/>
      <c r="B13" s="30">
        <v>908</v>
      </c>
      <c r="C13" s="30" t="s">
        <v>140</v>
      </c>
      <c r="D13" s="161">
        <v>-5269749.78</v>
      </c>
      <c r="E13" s="30" t="s">
        <v>271</v>
      </c>
      <c r="F13" s="33">
        <f t="shared" si="0"/>
        <v>1</v>
      </c>
      <c r="G13" s="164">
        <v>0</v>
      </c>
      <c r="J13" s="136"/>
      <c r="L13" s="157"/>
      <c r="M13" s="158"/>
      <c r="U13" s="159"/>
    </row>
    <row r="14" spans="1:24" ht="13.5" thickBot="1">
      <c r="A14" s="29"/>
      <c r="B14" s="30"/>
      <c r="C14" s="30"/>
      <c r="D14" s="165">
        <f>SUM(D8:D13)</f>
        <v>-95032363.109999999</v>
      </c>
      <c r="E14" s="30"/>
      <c r="F14" s="155"/>
      <c r="G14" s="166">
        <f>SUM(G8:G13)</f>
        <v>-10677588.59</v>
      </c>
    </row>
    <row r="15" spans="1:24" ht="13.5" thickTop="1"/>
    <row r="16" spans="1:24">
      <c r="A16" s="25" t="s">
        <v>402</v>
      </c>
    </row>
    <row r="17" spans="1:25">
      <c r="A17" s="1" t="s">
        <v>235</v>
      </c>
      <c r="B17" s="23" t="s">
        <v>191</v>
      </c>
      <c r="C17" s="23" t="s">
        <v>140</v>
      </c>
      <c r="D17" s="168">
        <v>697970</v>
      </c>
      <c r="E17" s="30" t="s">
        <v>130</v>
      </c>
      <c r="F17" s="33">
        <f>INDEX(WCAAllocations,IFERROR(MATCH(E17,WCAFactors,0),2),IFERROR(MATCH(E17,WCAStates,0),4))</f>
        <v>6.8539355270203509E-2</v>
      </c>
      <c r="G17" s="169">
        <f>D17*F17</f>
        <v>47838.41379794394</v>
      </c>
    </row>
    <row r="18" spans="1:25">
      <c r="A18" s="1" t="s">
        <v>235</v>
      </c>
      <c r="B18" s="23" t="s">
        <v>193</v>
      </c>
      <c r="C18" s="23" t="s">
        <v>140</v>
      </c>
      <c r="D18" s="168">
        <v>743447</v>
      </c>
      <c r="E18" s="30" t="s">
        <v>171</v>
      </c>
      <c r="F18" s="33">
        <f>INDEX(WCAAllocations,IFERROR(MATCH(E18,WCAFactors,0),2),IFERROR(MATCH(E18,WCAStates,0),4))</f>
        <v>0</v>
      </c>
      <c r="G18" s="144">
        <v>0</v>
      </c>
    </row>
    <row r="22" spans="1:25">
      <c r="A22" s="53" t="s">
        <v>212</v>
      </c>
      <c r="B22" s="30"/>
      <c r="C22" s="30"/>
      <c r="D22" s="170"/>
      <c r="E22" s="30"/>
      <c r="F22" s="171"/>
      <c r="G22" s="156"/>
    </row>
    <row r="23" spans="1:25" ht="14.45" customHeight="1">
      <c r="A23" s="1404" t="s">
        <v>1056</v>
      </c>
      <c r="B23" s="1404"/>
      <c r="C23" s="1404"/>
      <c r="D23" s="1404"/>
      <c r="E23" s="1404"/>
      <c r="F23" s="1404"/>
      <c r="G23" s="1404"/>
    </row>
    <row r="24" spans="1:25">
      <c r="A24" s="1404"/>
      <c r="B24" s="1404"/>
      <c r="C24" s="1404"/>
      <c r="D24" s="1404"/>
      <c r="E24" s="1404"/>
      <c r="F24" s="1404"/>
      <c r="G24" s="1404"/>
    </row>
    <row r="25" spans="1:25">
      <c r="A25" s="1404"/>
      <c r="B25" s="1404"/>
      <c r="C25" s="1404"/>
      <c r="D25" s="1404"/>
      <c r="E25" s="1404"/>
      <c r="F25" s="1404"/>
      <c r="G25" s="1404"/>
    </row>
    <row r="26" spans="1:25">
      <c r="A26" s="1404"/>
      <c r="B26" s="1404"/>
      <c r="C26" s="1404"/>
      <c r="D26" s="1404"/>
      <c r="E26" s="1404"/>
      <c r="F26" s="1404"/>
      <c r="G26" s="1404"/>
    </row>
    <row r="27" spans="1:25">
      <c r="A27" s="1404"/>
      <c r="B27" s="1404"/>
      <c r="C27" s="1404"/>
      <c r="D27" s="1404"/>
      <c r="E27" s="1404"/>
      <c r="F27" s="1404"/>
      <c r="G27" s="1404"/>
    </row>
    <row r="28" spans="1:25">
      <c r="A28" s="29"/>
      <c r="B28" s="30"/>
      <c r="C28" s="29"/>
      <c r="D28" s="173"/>
      <c r="E28" s="30"/>
      <c r="F28" s="30"/>
      <c r="G28" s="156"/>
      <c r="Q28" s="143"/>
      <c r="Y28" s="143"/>
    </row>
    <row r="29" spans="1:25">
      <c r="A29" s="174"/>
      <c r="C29" s="23"/>
      <c r="D29" s="141"/>
      <c r="G29" s="144"/>
      <c r="T29" s="56"/>
    </row>
    <row r="30" spans="1:25">
      <c r="C30" s="23"/>
      <c r="D30" s="141"/>
      <c r="G30" s="144"/>
    </row>
    <row r="31" spans="1:25">
      <c r="C31" s="23"/>
      <c r="M31" s="150"/>
      <c r="N31" s="150"/>
      <c r="O31" s="30"/>
      <c r="P31" s="30"/>
      <c r="Q31" s="30"/>
      <c r="W31" s="150"/>
      <c r="X31" s="30"/>
      <c r="Y31" s="30"/>
    </row>
    <row r="32" spans="1:25">
      <c r="C32" s="23"/>
      <c r="D32" s="175"/>
      <c r="G32" s="23"/>
      <c r="M32" s="30"/>
      <c r="N32" s="30"/>
      <c r="O32" s="30"/>
      <c r="P32" s="30"/>
      <c r="Q32" s="30"/>
      <c r="W32" s="30"/>
      <c r="X32" s="30"/>
      <c r="Y32" s="30"/>
    </row>
    <row r="33" spans="1:25">
      <c r="B33" s="26"/>
      <c r="C33" s="176"/>
      <c r="D33" s="177"/>
      <c r="E33" s="26"/>
      <c r="F33" s="176"/>
      <c r="G33" s="26"/>
    </row>
    <row r="34" spans="1:25">
      <c r="A34" s="53"/>
      <c r="B34" s="30"/>
      <c r="C34" s="30"/>
      <c r="D34" s="178"/>
      <c r="E34" s="30"/>
      <c r="F34" s="30"/>
      <c r="G34" s="29"/>
      <c r="M34" s="136"/>
      <c r="N34" s="179"/>
      <c r="O34" s="136"/>
      <c r="P34" s="180"/>
      <c r="Q34" s="136"/>
      <c r="W34" s="179"/>
      <c r="X34" s="180"/>
      <c r="Y34" s="136"/>
    </row>
    <row r="35" spans="1:25">
      <c r="A35" s="29"/>
      <c r="B35" s="30"/>
      <c r="C35" s="30"/>
      <c r="D35" s="178"/>
      <c r="E35" s="30"/>
      <c r="F35" s="30"/>
      <c r="G35" s="29"/>
      <c r="M35" s="179"/>
      <c r="N35" s="179"/>
      <c r="O35" s="136"/>
      <c r="P35" s="180"/>
      <c r="Q35" s="136"/>
      <c r="W35" s="179"/>
      <c r="X35" s="180"/>
      <c r="Y35" s="136"/>
    </row>
    <row r="36" spans="1:25">
      <c r="A36" s="29"/>
      <c r="B36" s="30"/>
      <c r="C36" s="23"/>
      <c r="D36" s="181"/>
      <c r="E36" s="31"/>
      <c r="F36" s="182"/>
      <c r="G36" s="31"/>
      <c r="M36" s="179"/>
      <c r="N36" s="179"/>
      <c r="O36" s="136"/>
      <c r="P36" s="180"/>
      <c r="Q36" s="136"/>
      <c r="W36" s="179"/>
      <c r="X36" s="180"/>
      <c r="Y36" s="136"/>
    </row>
    <row r="37" spans="1:25">
      <c r="A37" s="29"/>
      <c r="B37" s="30"/>
      <c r="C37" s="30"/>
      <c r="D37" s="183"/>
      <c r="E37" s="184"/>
      <c r="F37" s="184"/>
      <c r="G37" s="184"/>
      <c r="M37" s="179"/>
      <c r="N37" s="179"/>
      <c r="O37" s="136"/>
      <c r="P37" s="180"/>
      <c r="Q37" s="136"/>
      <c r="W37" s="179"/>
      <c r="X37" s="180"/>
      <c r="Y37" s="136"/>
    </row>
    <row r="38" spans="1:25">
      <c r="A38" s="29"/>
      <c r="B38" s="30"/>
      <c r="C38" s="30"/>
      <c r="D38" s="183"/>
      <c r="E38" s="30"/>
      <c r="F38" s="30"/>
      <c r="G38" s="30"/>
      <c r="M38" s="179"/>
      <c r="N38" s="179"/>
      <c r="O38" s="136"/>
      <c r="P38" s="180"/>
      <c r="Q38" s="136"/>
      <c r="W38" s="136"/>
      <c r="X38" s="180"/>
      <c r="Y38" s="136"/>
    </row>
    <row r="39" spans="1:25">
      <c r="A39" s="29"/>
      <c r="B39" s="30"/>
      <c r="C39" s="30"/>
      <c r="D39" s="183"/>
      <c r="E39" s="30"/>
      <c r="F39" s="30"/>
      <c r="G39" s="30"/>
      <c r="M39" s="179"/>
      <c r="N39" s="179"/>
      <c r="O39" s="136"/>
      <c r="P39" s="180"/>
      <c r="Q39" s="136"/>
      <c r="W39" s="179"/>
      <c r="X39" s="180"/>
      <c r="Y39" s="136"/>
    </row>
    <row r="40" spans="1:25">
      <c r="A40" s="29"/>
      <c r="B40" s="30"/>
      <c r="C40" s="30"/>
      <c r="D40" s="183"/>
      <c r="E40" s="30"/>
      <c r="F40" s="30"/>
      <c r="G40" s="30"/>
      <c r="M40" s="179"/>
      <c r="N40" s="179"/>
      <c r="O40" s="136"/>
      <c r="P40" s="180"/>
      <c r="Q40" s="136"/>
      <c r="W40" s="179"/>
      <c r="X40" s="180"/>
      <c r="Y40" s="136"/>
    </row>
    <row r="41" spans="1:25">
      <c r="A41" s="29"/>
      <c r="B41" s="30"/>
      <c r="C41" s="30"/>
      <c r="D41" s="183"/>
      <c r="E41" s="30"/>
      <c r="F41" s="30"/>
      <c r="G41" s="30"/>
      <c r="M41" s="179"/>
      <c r="N41" s="179"/>
      <c r="O41" s="136"/>
      <c r="P41" s="180"/>
      <c r="Q41" s="136"/>
      <c r="W41" s="179"/>
      <c r="X41" s="180"/>
      <c r="Y41" s="136"/>
    </row>
    <row r="42" spans="1:25">
      <c r="A42" s="29"/>
      <c r="B42" s="30"/>
      <c r="C42" s="30"/>
      <c r="D42" s="183"/>
      <c r="E42" s="30"/>
      <c r="F42" s="30"/>
      <c r="G42" s="30"/>
      <c r="M42" s="179"/>
      <c r="N42" s="179"/>
      <c r="O42" s="136"/>
      <c r="P42" s="180"/>
      <c r="Q42" s="136"/>
      <c r="W42" s="179"/>
      <c r="X42" s="180"/>
      <c r="Y42" s="136"/>
    </row>
    <row r="43" spans="1:25">
      <c r="A43" s="29"/>
      <c r="B43" s="30"/>
      <c r="C43" s="30"/>
      <c r="D43" s="183"/>
      <c r="E43" s="184"/>
      <c r="F43" s="184"/>
      <c r="G43" s="184"/>
      <c r="M43" s="179"/>
      <c r="N43" s="179"/>
      <c r="O43" s="136"/>
      <c r="P43" s="180"/>
      <c r="Q43" s="136"/>
      <c r="W43" s="179"/>
      <c r="X43" s="180"/>
      <c r="Y43" s="136"/>
    </row>
    <row r="44" spans="1:25">
      <c r="A44" s="29"/>
      <c r="B44" s="30"/>
      <c r="C44" s="30"/>
      <c r="D44" s="183"/>
      <c r="E44" s="30"/>
      <c r="F44" s="30"/>
      <c r="G44" s="30"/>
      <c r="M44" s="179"/>
      <c r="N44" s="179"/>
      <c r="O44" s="136"/>
      <c r="P44" s="180"/>
      <c r="Q44" s="136"/>
      <c r="W44" s="179"/>
      <c r="X44" s="180"/>
      <c r="Y44" s="136"/>
    </row>
    <row r="45" spans="1:25">
      <c r="A45" s="29"/>
      <c r="B45" s="30"/>
      <c r="C45" s="30"/>
      <c r="D45" s="183"/>
      <c r="E45" s="30"/>
      <c r="F45" s="30"/>
      <c r="G45" s="30"/>
      <c r="M45" s="179"/>
      <c r="N45" s="179"/>
      <c r="O45" s="136"/>
      <c r="P45" s="180"/>
      <c r="Q45" s="136"/>
      <c r="W45" s="179"/>
      <c r="X45" s="180"/>
      <c r="Y45" s="136"/>
    </row>
    <row r="46" spans="1:25">
      <c r="A46" s="53"/>
      <c r="B46" s="30"/>
      <c r="C46" s="30"/>
      <c r="D46" s="178"/>
      <c r="E46" s="30"/>
      <c r="F46" s="30"/>
      <c r="G46" s="29"/>
      <c r="M46" s="179"/>
      <c r="N46" s="179"/>
      <c r="O46" s="136"/>
      <c r="P46" s="180"/>
      <c r="Q46" s="136"/>
      <c r="W46" s="179"/>
      <c r="X46" s="180"/>
      <c r="Y46" s="136"/>
    </row>
    <row r="47" spans="1:25">
      <c r="A47" s="29"/>
      <c r="B47" s="30"/>
      <c r="C47" s="30"/>
      <c r="D47" s="178"/>
      <c r="E47" s="30"/>
      <c r="F47" s="30"/>
      <c r="G47" s="29"/>
      <c r="M47" s="179"/>
      <c r="N47" s="179"/>
      <c r="O47" s="136"/>
      <c r="P47" s="180"/>
      <c r="Q47" s="136"/>
      <c r="W47" s="179"/>
      <c r="X47" s="180"/>
      <c r="Y47" s="136"/>
    </row>
    <row r="48" spans="1:25">
      <c r="A48" s="29"/>
      <c r="B48" s="30"/>
      <c r="C48" s="30"/>
      <c r="D48" s="183"/>
      <c r="E48" s="162"/>
      <c r="F48" s="162"/>
      <c r="G48" s="162"/>
      <c r="M48" s="179"/>
      <c r="N48" s="179"/>
      <c r="O48" s="136"/>
      <c r="P48" s="180"/>
      <c r="Q48" s="136"/>
      <c r="W48" s="179"/>
      <c r="X48" s="180"/>
      <c r="Y48" s="136"/>
    </row>
    <row r="49" spans="1:25">
      <c r="A49" s="29"/>
      <c r="B49" s="30"/>
      <c r="C49" s="30"/>
      <c r="D49" s="183"/>
      <c r="E49" s="162"/>
      <c r="F49" s="162"/>
      <c r="G49" s="162"/>
      <c r="M49" s="179"/>
      <c r="N49" s="179"/>
      <c r="O49" s="136"/>
      <c r="P49" s="180"/>
      <c r="Q49" s="136"/>
      <c r="W49" s="179"/>
      <c r="X49" s="180"/>
      <c r="Y49" s="136"/>
    </row>
    <row r="50" spans="1:25">
      <c r="A50" s="29"/>
      <c r="B50" s="30"/>
      <c r="C50" s="30"/>
      <c r="D50" s="183"/>
      <c r="E50" s="162"/>
      <c r="F50" s="162"/>
      <c r="G50" s="162"/>
      <c r="M50" s="179"/>
      <c r="N50" s="179"/>
      <c r="O50" s="136"/>
      <c r="P50" s="180"/>
      <c r="Q50" s="136"/>
      <c r="W50" s="179"/>
      <c r="X50" s="180"/>
      <c r="Y50" s="136"/>
    </row>
    <row r="51" spans="1:25">
      <c r="A51" s="29"/>
      <c r="B51" s="30"/>
      <c r="C51" s="30"/>
      <c r="D51" s="183"/>
      <c r="E51" s="30"/>
      <c r="F51" s="30"/>
      <c r="G51" s="29"/>
      <c r="M51" s="179"/>
      <c r="N51" s="179"/>
      <c r="O51" s="136"/>
      <c r="P51" s="180"/>
      <c r="Q51" s="136"/>
      <c r="W51" s="179"/>
      <c r="X51" s="180"/>
      <c r="Y51" s="136"/>
    </row>
    <row r="52" spans="1:25">
      <c r="A52" s="29"/>
      <c r="B52" s="30"/>
      <c r="C52" s="30"/>
      <c r="D52" s="183"/>
      <c r="E52" s="30"/>
      <c r="F52" s="30"/>
      <c r="G52" s="29"/>
      <c r="M52" s="179"/>
      <c r="N52" s="179"/>
      <c r="O52" s="136"/>
      <c r="P52" s="180"/>
      <c r="Q52" s="136"/>
      <c r="W52" s="179"/>
      <c r="X52" s="180"/>
      <c r="Y52" s="136"/>
    </row>
    <row r="53" spans="1:25">
      <c r="A53" s="29"/>
      <c r="B53" s="30"/>
      <c r="C53" s="30"/>
      <c r="D53" s="183"/>
      <c r="E53" s="162"/>
      <c r="F53" s="162"/>
      <c r="G53" s="162"/>
      <c r="M53" s="136"/>
      <c r="N53" s="136"/>
      <c r="O53" s="136"/>
      <c r="P53" s="136"/>
      <c r="Q53" s="136"/>
      <c r="W53" s="136"/>
      <c r="X53" s="136"/>
      <c r="Y53" s="136"/>
    </row>
    <row r="54" spans="1:25">
      <c r="A54" s="29"/>
      <c r="B54" s="30"/>
      <c r="C54" s="30"/>
      <c r="D54" s="183"/>
      <c r="E54" s="162"/>
      <c r="F54" s="162"/>
      <c r="G54" s="162"/>
      <c r="M54" s="136"/>
      <c r="N54" s="136"/>
      <c r="O54" s="136"/>
      <c r="P54" s="136"/>
      <c r="Q54" s="136"/>
      <c r="W54" s="136"/>
      <c r="X54" s="136"/>
      <c r="Y54" s="136"/>
    </row>
    <row r="55" spans="1:25">
      <c r="A55" s="29"/>
      <c r="B55" s="30"/>
      <c r="C55" s="30"/>
      <c r="D55" s="183"/>
      <c r="E55" s="162"/>
      <c r="F55" s="162"/>
      <c r="G55" s="162"/>
    </row>
    <row r="56" spans="1:25">
      <c r="A56" s="29"/>
      <c r="B56" s="30"/>
      <c r="C56" s="30"/>
      <c r="D56" s="183"/>
      <c r="E56" s="30"/>
      <c r="F56" s="30"/>
      <c r="G56" s="29"/>
    </row>
    <row r="57" spans="1:25">
      <c r="A57" s="29"/>
      <c r="B57" s="30"/>
      <c r="C57" s="30"/>
      <c r="D57" s="183"/>
      <c r="E57" s="30"/>
      <c r="F57" s="30"/>
      <c r="G57" s="29"/>
    </row>
    <row r="58" spans="1:25">
      <c r="A58" s="29"/>
      <c r="B58" s="30"/>
      <c r="C58" s="30"/>
      <c r="D58" s="183"/>
      <c r="E58" s="162"/>
      <c r="F58" s="162"/>
      <c r="G58" s="162"/>
    </row>
    <row r="59" spans="1:25">
      <c r="A59" s="29"/>
      <c r="B59" s="30"/>
      <c r="C59" s="30"/>
      <c r="D59" s="183"/>
      <c r="E59" s="162"/>
      <c r="F59" s="162"/>
      <c r="G59" s="162"/>
    </row>
    <row r="60" spans="1:25">
      <c r="A60" s="56"/>
      <c r="B60" s="30"/>
      <c r="C60" s="30"/>
      <c r="D60" s="183"/>
      <c r="E60" s="162"/>
      <c r="F60" s="162"/>
      <c r="G60" s="162"/>
    </row>
    <row r="61" spans="1:25">
      <c r="A61" s="56"/>
      <c r="B61" s="30"/>
      <c r="C61" s="30"/>
      <c r="D61" s="183"/>
      <c r="E61" s="30"/>
      <c r="F61" s="30"/>
      <c r="G61" s="29"/>
    </row>
    <row r="62" spans="1:25">
      <c r="A62" s="53"/>
      <c r="B62" s="30"/>
      <c r="C62" s="30"/>
      <c r="D62" s="178"/>
      <c r="E62" s="30"/>
      <c r="F62" s="30"/>
      <c r="G62" s="30"/>
    </row>
    <row r="63" spans="1:25">
      <c r="A63" s="29"/>
      <c r="B63" s="30"/>
      <c r="C63" s="30"/>
      <c r="D63" s="178"/>
      <c r="E63" s="30"/>
      <c r="F63" s="30"/>
      <c r="G63" s="30"/>
    </row>
    <row r="64" spans="1:25">
      <c r="A64" s="29"/>
      <c r="B64" s="30"/>
      <c r="C64" s="30"/>
      <c r="D64" s="178"/>
      <c r="E64" s="30"/>
      <c r="F64" s="30"/>
      <c r="G64" s="30"/>
    </row>
    <row r="65" spans="1:7">
      <c r="A65" s="29"/>
      <c r="B65" s="30"/>
      <c r="C65" s="30"/>
      <c r="D65" s="178"/>
      <c r="E65" s="30"/>
      <c r="F65" s="30"/>
      <c r="G65" s="30"/>
    </row>
    <row r="66" spans="1:7">
      <c r="A66" s="29"/>
      <c r="B66" s="30"/>
      <c r="C66" s="30"/>
      <c r="D66" s="178"/>
      <c r="E66" s="30"/>
      <c r="F66" s="30"/>
      <c r="G66" s="30"/>
    </row>
    <row r="67" spans="1:7">
      <c r="A67" s="29"/>
      <c r="B67" s="30"/>
      <c r="C67" s="30"/>
      <c r="D67" s="178"/>
      <c r="E67" s="30"/>
      <c r="F67" s="30"/>
      <c r="G67" s="29"/>
    </row>
    <row r="68" spans="1:7">
      <c r="A68" s="29"/>
      <c r="B68" s="30"/>
      <c r="C68" s="30"/>
      <c r="D68" s="178"/>
      <c r="E68" s="30"/>
      <c r="F68" s="30"/>
      <c r="G68" s="29"/>
    </row>
    <row r="69" spans="1:7">
      <c r="A69" s="29"/>
      <c r="B69" s="30"/>
      <c r="C69" s="30"/>
      <c r="D69" s="178"/>
      <c r="E69" s="30"/>
      <c r="F69" s="30"/>
      <c r="G69" s="29"/>
    </row>
    <row r="70" spans="1:7">
      <c r="A70" s="29"/>
      <c r="B70" s="30"/>
      <c r="C70" s="30"/>
      <c r="D70" s="178"/>
      <c r="E70" s="30"/>
      <c r="F70" s="30"/>
      <c r="G70" s="29"/>
    </row>
    <row r="71" spans="1:7">
      <c r="A71" s="29"/>
      <c r="B71" s="30"/>
      <c r="C71" s="30"/>
      <c r="D71" s="178"/>
      <c r="E71" s="30"/>
      <c r="F71" s="30"/>
      <c r="G71" s="29"/>
    </row>
    <row r="72" spans="1:7">
      <c r="A72" s="29"/>
      <c r="B72" s="30"/>
      <c r="C72" s="30"/>
      <c r="D72" s="178"/>
      <c r="E72" s="30"/>
      <c r="F72" s="30"/>
      <c r="G72" s="29"/>
    </row>
    <row r="73" spans="1:7">
      <c r="C73" s="23"/>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I41"/>
  <sheetViews>
    <sheetView workbookViewId="0">
      <selection activeCell="F16" sqref="F16"/>
    </sheetView>
  </sheetViews>
  <sheetFormatPr defaultColWidth="9.140625" defaultRowHeight="12.75"/>
  <cols>
    <col min="1" max="1" width="43.85546875" style="1" customWidth="1"/>
    <col min="2" max="2" width="9.7109375" style="23" bestFit="1" customWidth="1"/>
    <col min="3" max="3" width="4.7109375" style="23" bestFit="1" customWidth="1"/>
    <col min="4" max="4" width="11.85546875" style="1" bestFit="1" customWidth="1"/>
    <col min="5" max="5" width="8" style="23" bestFit="1" customWidth="1"/>
    <col min="6" max="6" width="10.42578125" style="402" customWidth="1"/>
    <col min="7" max="7" width="14.42578125" style="1" customWidth="1"/>
    <col min="8" max="8" width="9.85546875" style="1" bestFit="1" customWidth="1"/>
    <col min="9" max="16384" width="9.140625" style="1"/>
  </cols>
  <sheetData>
    <row r="1" spans="1:7">
      <c r="A1" s="17" t="str">
        <f>RevReqSummary!A1</f>
        <v>PacifiCorp General Rate Case UE-140617</v>
      </c>
      <c r="B1" s="373"/>
      <c r="C1" s="373"/>
      <c r="D1" s="374"/>
      <c r="E1" s="373"/>
      <c r="F1" s="375"/>
      <c r="G1" s="376"/>
    </row>
    <row r="2" spans="1:7">
      <c r="A2" s="17" t="str">
        <f>RevReqSummary!A2</f>
        <v>For The Twelve Months Ended December 2013 - Staff Revenue Requirement</v>
      </c>
      <c r="B2" s="373"/>
      <c r="C2" s="373"/>
      <c r="D2" s="374"/>
      <c r="E2" s="373"/>
      <c r="F2" s="375"/>
      <c r="G2" s="376"/>
    </row>
    <row r="3" spans="1:7">
      <c r="A3" s="378" t="s">
        <v>403</v>
      </c>
      <c r="B3" s="373"/>
      <c r="C3" s="373"/>
      <c r="D3" s="374"/>
      <c r="E3" s="373"/>
      <c r="F3" s="375"/>
      <c r="G3" s="376"/>
    </row>
    <row r="4" spans="1:7">
      <c r="A4" s="379" t="s">
        <v>494</v>
      </c>
      <c r="B4" s="373"/>
      <c r="C4" s="373"/>
      <c r="D4" s="374"/>
      <c r="E4" s="373"/>
      <c r="F4" s="375"/>
      <c r="G4" s="376"/>
    </row>
    <row r="5" spans="1:7">
      <c r="A5" s="372"/>
      <c r="B5" s="373"/>
      <c r="C5" s="373"/>
      <c r="D5" s="374"/>
      <c r="E5" s="373"/>
      <c r="F5" s="375"/>
      <c r="G5" s="376"/>
    </row>
    <row r="6" spans="1:7">
      <c r="A6" s="372"/>
      <c r="B6" s="373"/>
      <c r="C6" s="373"/>
      <c r="D6" s="374" t="s">
        <v>131</v>
      </c>
      <c r="E6" s="373"/>
      <c r="F6" s="375"/>
      <c r="G6" s="376" t="s">
        <v>236</v>
      </c>
    </row>
    <row r="7" spans="1:7">
      <c r="A7" s="372"/>
      <c r="B7" s="380" t="s">
        <v>132</v>
      </c>
      <c r="C7" s="380" t="s">
        <v>660</v>
      </c>
      <c r="D7" s="381" t="s">
        <v>134</v>
      </c>
      <c r="E7" s="380" t="s">
        <v>135</v>
      </c>
      <c r="F7" s="382" t="s">
        <v>136</v>
      </c>
      <c r="G7" s="383" t="s">
        <v>137</v>
      </c>
    </row>
    <row r="8" spans="1:7">
      <c r="A8" s="384" t="s">
        <v>199</v>
      </c>
      <c r="B8" s="386"/>
      <c r="C8" s="386"/>
      <c r="D8" s="386"/>
      <c r="E8" s="386"/>
      <c r="F8" s="387"/>
      <c r="G8" s="31"/>
    </row>
    <row r="9" spans="1:7">
      <c r="A9" s="388" t="s">
        <v>692</v>
      </c>
      <c r="B9" s="386">
        <v>925</v>
      </c>
      <c r="C9" s="386" t="s">
        <v>140</v>
      </c>
      <c r="D9" s="389">
        <v>-22732661</v>
      </c>
      <c r="E9" s="30" t="s">
        <v>130</v>
      </c>
      <c r="F9" s="33">
        <f>INDEX(WCAAllocations,IFERROR(MATCH(E9,WCAFactors,0),2),IFERROR(MATCH(E9,WCAStates,0),4))</f>
        <v>6.8539355270203509E-2</v>
      </c>
      <c r="G9" s="31">
        <v>-1795364.6966860599</v>
      </c>
    </row>
    <row r="10" spans="1:7">
      <c r="A10" s="385"/>
      <c r="B10" s="386"/>
      <c r="C10" s="386"/>
      <c r="D10" s="390"/>
      <c r="E10" s="391"/>
      <c r="F10" s="387"/>
      <c r="G10" s="392"/>
    </row>
    <row r="11" spans="1:7">
      <c r="A11" s="388" t="s">
        <v>694</v>
      </c>
      <c r="B11" s="386">
        <v>925</v>
      </c>
      <c r="C11" s="386" t="s">
        <v>398</v>
      </c>
      <c r="D11" s="389">
        <v>463011.10999999987</v>
      </c>
      <c r="E11" s="30" t="s">
        <v>130</v>
      </c>
      <c r="F11" s="33">
        <f>INDEX(WCAAllocations,IFERROR(MATCH(E11,WCAFactors,0),2),IFERROR(MATCH(E11,WCAStates,0),4))</f>
        <v>6.8539355270203509E-2</v>
      </c>
      <c r="G11" s="392">
        <v>31734.482962341266</v>
      </c>
    </row>
    <row r="12" spans="1:7">
      <c r="A12" s="388" t="s">
        <v>695</v>
      </c>
      <c r="B12" s="386">
        <v>924</v>
      </c>
      <c r="C12" s="386" t="s">
        <v>398</v>
      </c>
      <c r="D12" s="389">
        <v>-145885.04999999888</v>
      </c>
      <c r="E12" s="30" t="s">
        <v>130</v>
      </c>
      <c r="F12" s="33">
        <f>INDEX(WCAAllocations,IFERROR(MATCH(E12,WCAFactors,0),2),IFERROR(MATCH(E12,WCAStates,0),4))</f>
        <v>6.8539355270203509E-2</v>
      </c>
      <c r="G12" s="392">
        <v>-9998.8672705613262</v>
      </c>
    </row>
    <row r="13" spans="1:7" ht="13.5" thickBot="1">
      <c r="A13" s="388"/>
      <c r="B13" s="386"/>
      <c r="C13" s="386"/>
      <c r="D13" s="165">
        <f>SUM(D9:D12)</f>
        <v>-22415534.939999998</v>
      </c>
      <c r="E13" s="30"/>
      <c r="F13" s="155"/>
      <c r="G13" s="166">
        <v>-1773629.0809942801</v>
      </c>
    </row>
    <row r="14" spans="1:7" ht="13.5" thickTop="1">
      <c r="A14" s="388"/>
      <c r="B14" s="386"/>
      <c r="C14" s="386"/>
      <c r="D14" s="390"/>
      <c r="E14" s="386"/>
      <c r="F14" s="387"/>
      <c r="G14" s="392"/>
    </row>
    <row r="15" spans="1:7">
      <c r="A15" s="393" t="s">
        <v>532</v>
      </c>
      <c r="B15" s="386"/>
      <c r="C15" s="386"/>
      <c r="D15" s="390"/>
      <c r="E15" s="386"/>
      <c r="F15" s="387"/>
      <c r="G15" s="392">
        <v>9402352</v>
      </c>
    </row>
    <row r="16" spans="1:7">
      <c r="A16" s="388" t="s">
        <v>533</v>
      </c>
      <c r="B16" s="386">
        <v>571</v>
      </c>
      <c r="C16" s="386" t="s">
        <v>140</v>
      </c>
      <c r="D16" s="394">
        <v>512826.63333333336</v>
      </c>
      <c r="E16" s="30" t="s">
        <v>203</v>
      </c>
      <c r="F16" s="33">
        <f>INDEX(WCAAllocations,IFERROR(MATCH(E16,WCAFactors,0),2),IFERROR(MATCH(E16,WCAStates,0),4))</f>
        <v>0.23084885646883446</v>
      </c>
      <c r="G16" s="392">
        <f>D16*F16</f>
        <v>118385.44187176228</v>
      </c>
    </row>
    <row r="17" spans="1:9">
      <c r="A17" s="388" t="s">
        <v>693</v>
      </c>
      <c r="B17" s="386">
        <v>593</v>
      </c>
      <c r="C17" s="386" t="s">
        <v>140</v>
      </c>
      <c r="D17" s="394">
        <v>-313797.34437002521</v>
      </c>
      <c r="E17" s="30" t="s">
        <v>141</v>
      </c>
      <c r="F17" s="33">
        <f>INDEX(WCAAllocations,IFERROR(MATCH(E17,WCAFactors,0),2),IFERROR(MATCH(E17,WCAStates,0),4))</f>
        <v>1</v>
      </c>
      <c r="G17" s="392">
        <f>D17*F17</f>
        <v>-313797.34437002521</v>
      </c>
    </row>
    <row r="18" spans="1:9">
      <c r="A18" s="388" t="s">
        <v>534</v>
      </c>
      <c r="B18" s="386">
        <v>553</v>
      </c>
      <c r="C18" s="386" t="s">
        <v>140</v>
      </c>
      <c r="D18" s="394">
        <v>-170325.63500000001</v>
      </c>
      <c r="E18" s="30" t="s">
        <v>203</v>
      </c>
      <c r="F18" s="33">
        <f>INDEX(WCAAllocations,IFERROR(MATCH(E18,WCAFactors,0),2),IFERROR(MATCH(E18,WCAStates,0),4))</f>
        <v>0.23084885646883446</v>
      </c>
      <c r="G18" s="392">
        <f>D18*F18</f>
        <v>-39319.478067078089</v>
      </c>
    </row>
    <row r="19" spans="1:9" ht="13.5" thickBot="1">
      <c r="A19" s="388"/>
      <c r="B19" s="386"/>
      <c r="C19" s="386"/>
      <c r="D19" s="165">
        <f>SUM(D16:D18)</f>
        <v>28703.653963308141</v>
      </c>
      <c r="E19" s="30"/>
      <c r="F19" s="155"/>
      <c r="G19" s="166">
        <f>SUM(G16:G18)</f>
        <v>-234731.38056534104</v>
      </c>
    </row>
    <row r="20" spans="1:9" ht="13.5" thickTop="1">
      <c r="A20" s="61"/>
      <c r="B20" s="61"/>
      <c r="C20" s="386"/>
      <c r="D20" s="392"/>
      <c r="E20" s="392"/>
      <c r="F20" s="387"/>
      <c r="G20" s="395"/>
    </row>
    <row r="21" spans="1:9">
      <c r="A21" s="396" t="s">
        <v>234</v>
      </c>
      <c r="B21" s="386"/>
      <c r="C21" s="386"/>
      <c r="D21" s="397"/>
      <c r="E21" s="61"/>
      <c r="F21" s="387"/>
      <c r="G21" s="398"/>
    </row>
    <row r="22" spans="1:9">
      <c r="A22" s="399" t="s">
        <v>235</v>
      </c>
      <c r="B22" s="61" t="s">
        <v>192</v>
      </c>
      <c r="C22" s="386" t="s">
        <v>140</v>
      </c>
      <c r="D22" s="400">
        <v>129380</v>
      </c>
      <c r="E22" s="61" t="s">
        <v>130</v>
      </c>
      <c r="F22" s="33">
        <f>INDEX(WCAAllocations,IFERROR(MATCH(E22,WCAFactors,0),2),IFERROR(MATCH(E22,WCAStates,0),4))</f>
        <v>6.8539355270203509E-2</v>
      </c>
      <c r="G22" s="398">
        <f>D22*F22</f>
        <v>8867.6217848589295</v>
      </c>
    </row>
    <row r="23" spans="1:9">
      <c r="A23" s="399" t="s">
        <v>696</v>
      </c>
      <c r="B23" s="61" t="s">
        <v>193</v>
      </c>
      <c r="C23" s="386" t="s">
        <v>140</v>
      </c>
      <c r="D23" s="400">
        <v>18188871</v>
      </c>
      <c r="E23" s="61" t="s">
        <v>130</v>
      </c>
      <c r="F23" s="33">
        <f>INDEX(WCAAllocations,IFERROR(MATCH(E23,WCAFactors,0),2),IFERROR(MATCH(E23,WCAStates,0),4))</f>
        <v>6.8539355270203509E-2</v>
      </c>
      <c r="G23" s="398">
        <f>D23*F23</f>
        <v>1246653.4914329017</v>
      </c>
    </row>
    <row r="24" spans="1:9" ht="13.5" thickBot="1">
      <c r="A24" s="399"/>
      <c r="B24" s="61"/>
      <c r="C24" s="61"/>
      <c r="D24" s="165">
        <f>SUM(D22:D23)</f>
        <v>18318251</v>
      </c>
      <c r="E24" s="30"/>
      <c r="F24" s="155"/>
      <c r="G24" s="166">
        <f>SUM(G22:G23)</f>
        <v>1255521.1132177606</v>
      </c>
    </row>
    <row r="25" spans="1:9" ht="13.5" thickTop="1">
      <c r="A25" s="29"/>
      <c r="B25" s="30"/>
      <c r="C25" s="30"/>
      <c r="D25" s="401"/>
      <c r="E25" s="30"/>
      <c r="F25" s="227"/>
      <c r="G25" s="401"/>
      <c r="H25" s="29"/>
      <c r="I25" s="29"/>
    </row>
    <row r="26" spans="1:9">
      <c r="A26" s="53" t="s">
        <v>212</v>
      </c>
      <c r="B26" s="30"/>
      <c r="C26" s="30"/>
      <c r="D26" s="401"/>
      <c r="E26" s="30"/>
      <c r="F26" s="227"/>
      <c r="G26" s="401"/>
      <c r="H26" s="29"/>
      <c r="I26" s="29"/>
    </row>
    <row r="27" spans="1:9">
      <c r="A27" s="1401" t="s">
        <v>1058</v>
      </c>
      <c r="B27" s="1401"/>
      <c r="C27" s="1401"/>
      <c r="D27" s="1401"/>
      <c r="E27" s="1401"/>
      <c r="F27" s="1401"/>
      <c r="G27" s="1401"/>
      <c r="H27" s="29"/>
      <c r="I27" s="29"/>
    </row>
    <row r="28" spans="1:9">
      <c r="A28" s="1401"/>
      <c r="B28" s="1401"/>
      <c r="C28" s="1401"/>
      <c r="D28" s="1401"/>
      <c r="E28" s="1401"/>
      <c r="F28" s="1401"/>
      <c r="G28" s="1401"/>
      <c r="H28" s="29"/>
      <c r="I28" s="29"/>
    </row>
    <row r="29" spans="1:9">
      <c r="B29" s="1"/>
      <c r="C29" s="1"/>
      <c r="E29" s="1"/>
      <c r="F29" s="1"/>
    </row>
    <row r="30" spans="1:9">
      <c r="A30" s="1405" t="s">
        <v>1057</v>
      </c>
      <c r="B30" s="1405"/>
      <c r="C30" s="1405"/>
      <c r="D30" s="1405"/>
      <c r="E30" s="1405"/>
      <c r="F30" s="1405"/>
      <c r="G30" s="1405"/>
    </row>
    <row r="31" spans="1:9">
      <c r="A31" s="1405"/>
      <c r="B31" s="1405"/>
      <c r="C31" s="1405"/>
      <c r="D31" s="1405"/>
      <c r="E31" s="1405"/>
      <c r="F31" s="1405"/>
      <c r="G31" s="1405"/>
    </row>
    <row r="32" spans="1:9">
      <c r="A32" s="1405"/>
      <c r="B32" s="1405"/>
      <c r="C32" s="1405"/>
      <c r="D32" s="1405"/>
      <c r="E32" s="1405"/>
      <c r="F32" s="1405"/>
      <c r="G32" s="1405"/>
    </row>
    <row r="33" spans="2:6">
      <c r="B33" s="1"/>
      <c r="C33" s="1"/>
      <c r="E33" s="1"/>
      <c r="F33" s="1"/>
    </row>
    <row r="34" spans="2:6">
      <c r="B34" s="1"/>
      <c r="C34" s="1"/>
      <c r="E34" s="1"/>
      <c r="F34" s="1"/>
    </row>
    <row r="35" spans="2:6">
      <c r="B35" s="1"/>
      <c r="C35" s="1"/>
      <c r="E35" s="1"/>
      <c r="F35" s="1"/>
    </row>
    <row r="36" spans="2:6">
      <c r="D36" s="169"/>
    </row>
    <row r="37" spans="2:6">
      <c r="D37" s="169"/>
    </row>
    <row r="38" spans="2:6">
      <c r="D38" s="169"/>
    </row>
    <row r="39" spans="2:6">
      <c r="D39" s="169"/>
    </row>
    <row r="40" spans="2:6">
      <c r="D40" s="169"/>
    </row>
    <row r="41" spans="2:6">
      <c r="D41" s="169"/>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65"/>
  <sheetViews>
    <sheetView workbookViewId="0">
      <selection activeCell="F16" sqref="F16"/>
    </sheetView>
  </sheetViews>
  <sheetFormatPr defaultColWidth="8.85546875" defaultRowHeight="12.75"/>
  <cols>
    <col min="1" max="1" width="29.28515625" style="1" customWidth="1"/>
    <col min="2" max="2" width="9.85546875" style="1" bestFit="1" customWidth="1"/>
    <col min="3" max="3" width="8.85546875" style="1"/>
    <col min="4" max="4" width="10.85546875" style="1" bestFit="1" customWidth="1"/>
    <col min="5" max="5" width="8.85546875" style="1"/>
    <col min="6" max="6" width="10.7109375" style="1" bestFit="1" customWidth="1"/>
    <col min="7" max="7" width="13.28515625" style="1" customWidth="1"/>
    <col min="8" max="8" width="10.28515625" style="1" bestFit="1" customWidth="1"/>
    <col min="9" max="16384" width="8.85546875" style="1"/>
  </cols>
  <sheetData>
    <row r="1" spans="1:9">
      <c r="A1" s="17" t="str">
        <f>RevReqSummary!A1</f>
        <v>PacifiCorp General Rate Case UE-140617</v>
      </c>
      <c r="B1" s="1073"/>
      <c r="C1" s="1073"/>
      <c r="D1" s="1073"/>
      <c r="E1" s="1073"/>
      <c r="F1" s="1073"/>
      <c r="G1" s="898"/>
      <c r="H1" s="899"/>
      <c r="I1" s="900"/>
    </row>
    <row r="2" spans="1:9">
      <c r="A2" s="17" t="str">
        <f>RevReqSummary!A2</f>
        <v>For The Twelve Months Ended December 2013 - Staff Revenue Requirement</v>
      </c>
      <c r="B2" s="1073"/>
      <c r="C2" s="1073"/>
      <c r="D2" s="1073"/>
      <c r="E2" s="1073"/>
      <c r="F2" s="1073"/>
      <c r="G2" s="1073"/>
      <c r="H2" s="1073"/>
      <c r="I2" s="900"/>
    </row>
    <row r="3" spans="1:9">
      <c r="A3" s="901" t="s">
        <v>445</v>
      </c>
      <c r="B3" s="1073"/>
      <c r="C3" s="1073"/>
      <c r="D3" s="1073"/>
      <c r="E3" s="1073"/>
      <c r="F3" s="1073"/>
      <c r="G3" s="1073"/>
      <c r="H3" s="1073"/>
      <c r="I3" s="900"/>
    </row>
    <row r="4" spans="1:9">
      <c r="A4" s="902" t="s">
        <v>643</v>
      </c>
      <c r="B4" s="900"/>
      <c r="C4" s="900"/>
      <c r="D4" s="900"/>
      <c r="E4" s="900"/>
      <c r="F4" s="900"/>
      <c r="G4" s="900"/>
      <c r="H4" s="900"/>
      <c r="I4" s="900"/>
    </row>
    <row r="5" spans="1:9">
      <c r="A5" s="902"/>
      <c r="B5" s="900"/>
      <c r="C5" s="900"/>
      <c r="D5" s="900"/>
      <c r="E5" s="900"/>
      <c r="F5" s="900"/>
      <c r="G5" s="900"/>
      <c r="H5" s="900"/>
      <c r="I5" s="900"/>
    </row>
    <row r="6" spans="1:9">
      <c r="A6" s="1073"/>
      <c r="B6" s="903"/>
      <c r="C6" s="903"/>
      <c r="D6" s="903" t="s">
        <v>131</v>
      </c>
      <c r="E6" s="903"/>
      <c r="F6" s="903"/>
      <c r="G6" s="903" t="s">
        <v>236</v>
      </c>
      <c r="H6" s="904"/>
      <c r="I6" s="905"/>
    </row>
    <row r="7" spans="1:9">
      <c r="A7" s="1073"/>
      <c r="B7" s="906" t="s">
        <v>132</v>
      </c>
      <c r="C7" s="906" t="s">
        <v>660</v>
      </c>
      <c r="D7" s="906" t="s">
        <v>134</v>
      </c>
      <c r="E7" s="906" t="s">
        <v>135</v>
      </c>
      <c r="F7" s="906" t="s">
        <v>136</v>
      </c>
      <c r="G7" s="906" t="s">
        <v>137</v>
      </c>
      <c r="H7" s="907"/>
      <c r="I7" s="908"/>
    </row>
    <row r="8" spans="1:9">
      <c r="A8" s="901" t="s">
        <v>199</v>
      </c>
      <c r="B8" s="1073"/>
      <c r="C8" s="1073"/>
      <c r="D8" s="1073"/>
      <c r="E8" s="1073"/>
      <c r="F8" s="1073"/>
      <c r="G8" s="1073"/>
      <c r="H8" s="1073"/>
      <c r="I8" s="908"/>
    </row>
    <row r="9" spans="1:9">
      <c r="A9" s="901"/>
      <c r="B9" s="1073"/>
      <c r="C9" s="1073"/>
      <c r="D9" s="1073"/>
      <c r="E9" s="1073"/>
      <c r="F9" s="1073"/>
      <c r="G9" s="1073"/>
      <c r="H9" s="1073"/>
      <c r="I9" s="908"/>
    </row>
    <row r="10" spans="1:9">
      <c r="A10" s="899" t="s">
        <v>535</v>
      </c>
      <c r="B10" s="898">
        <v>909</v>
      </c>
      <c r="C10" s="898" t="s">
        <v>140</v>
      </c>
      <c r="D10" s="909">
        <v>-19400.649999999998</v>
      </c>
      <c r="E10" s="30" t="s">
        <v>152</v>
      </c>
      <c r="F10" s="33">
        <f t="shared" ref="F10:F18" si="0">INDEX(WCAAllocations,IFERROR(MATCH(E10,WCAFactors,0),2),IFERROR(MATCH(E10,WCAStates,0),4))</f>
        <v>6.9173575695716499E-2</v>
      </c>
      <c r="G10" s="910">
        <f>D10*F10</f>
        <v>-1342.0123313211022</v>
      </c>
      <c r="H10" s="898"/>
      <c r="I10" s="900"/>
    </row>
    <row r="11" spans="1:9">
      <c r="A11" s="899" t="s">
        <v>535</v>
      </c>
      <c r="B11" s="898">
        <v>930</v>
      </c>
      <c r="C11" s="898" t="s">
        <v>140</v>
      </c>
      <c r="D11" s="909">
        <v>-1410</v>
      </c>
      <c r="E11" s="30" t="s">
        <v>130</v>
      </c>
      <c r="F11" s="33">
        <f t="shared" si="0"/>
        <v>6.8539355270203509E-2</v>
      </c>
      <c r="G11" s="910">
        <f t="shared" ref="G11:G18" si="1">D11*F11</f>
        <v>-96.640490930986942</v>
      </c>
      <c r="H11" s="898"/>
      <c r="I11" s="29"/>
    </row>
    <row r="12" spans="1:9">
      <c r="A12" s="899" t="s">
        <v>536</v>
      </c>
      <c r="B12" s="898">
        <v>909</v>
      </c>
      <c r="C12" s="898" t="s">
        <v>140</v>
      </c>
      <c r="D12" s="909">
        <v>-41147.270000000004</v>
      </c>
      <c r="E12" s="30" t="s">
        <v>152</v>
      </c>
      <c r="F12" s="33">
        <f t="shared" si="0"/>
        <v>6.9173575695716499E-2</v>
      </c>
      <c r="G12" s="910">
        <f t="shared" si="1"/>
        <v>-2846.303796017085</v>
      </c>
      <c r="H12" s="898"/>
      <c r="I12" s="900"/>
    </row>
    <row r="13" spans="1:9">
      <c r="A13" s="899" t="s">
        <v>537</v>
      </c>
      <c r="B13" s="898">
        <v>909</v>
      </c>
      <c r="C13" s="898" t="s">
        <v>140</v>
      </c>
      <c r="D13" s="909">
        <v>3883.01</v>
      </c>
      <c r="E13" s="30" t="s">
        <v>141</v>
      </c>
      <c r="F13" s="33">
        <f t="shared" si="0"/>
        <v>1</v>
      </c>
      <c r="G13" s="910">
        <f t="shared" si="1"/>
        <v>3883.01</v>
      </c>
      <c r="H13" s="898"/>
      <c r="I13" s="900"/>
    </row>
    <row r="14" spans="1:9">
      <c r="A14" s="899" t="s">
        <v>538</v>
      </c>
      <c r="B14" s="898">
        <v>909</v>
      </c>
      <c r="C14" s="898" t="s">
        <v>140</v>
      </c>
      <c r="D14" s="909">
        <v>1320.31</v>
      </c>
      <c r="E14" s="30" t="s">
        <v>171</v>
      </c>
      <c r="F14" s="33">
        <f t="shared" si="0"/>
        <v>0</v>
      </c>
      <c r="G14" s="910">
        <f t="shared" si="1"/>
        <v>0</v>
      </c>
      <c r="H14" s="1073"/>
      <c r="I14" s="900"/>
    </row>
    <row r="15" spans="1:9">
      <c r="A15" s="899" t="s">
        <v>539</v>
      </c>
      <c r="B15" s="898">
        <v>909</v>
      </c>
      <c r="C15" s="898" t="s">
        <v>140</v>
      </c>
      <c r="D15" s="909">
        <v>82.5</v>
      </c>
      <c r="E15" s="30" t="s">
        <v>170</v>
      </c>
      <c r="F15" s="33">
        <f t="shared" si="0"/>
        <v>0</v>
      </c>
      <c r="G15" s="910">
        <f t="shared" si="1"/>
        <v>0</v>
      </c>
      <c r="H15" s="1073"/>
      <c r="I15" s="900"/>
    </row>
    <row r="16" spans="1:9">
      <c r="A16" s="899" t="s">
        <v>540</v>
      </c>
      <c r="B16" s="898">
        <v>909</v>
      </c>
      <c r="C16" s="898" t="s">
        <v>140</v>
      </c>
      <c r="D16" s="909">
        <v>7897.43</v>
      </c>
      <c r="E16" s="30" t="s">
        <v>173</v>
      </c>
      <c r="F16" s="33">
        <f t="shared" si="0"/>
        <v>0</v>
      </c>
      <c r="G16" s="910">
        <f t="shared" si="1"/>
        <v>0</v>
      </c>
      <c r="H16" s="1073"/>
      <c r="I16" s="900"/>
    </row>
    <row r="17" spans="1:12">
      <c r="A17" s="899" t="s">
        <v>541</v>
      </c>
      <c r="B17" s="898">
        <v>909</v>
      </c>
      <c r="C17" s="898" t="s">
        <v>140</v>
      </c>
      <c r="D17" s="909">
        <v>8921.3700000000008</v>
      </c>
      <c r="E17" s="30" t="s">
        <v>450</v>
      </c>
      <c r="F17" s="33">
        <v>0</v>
      </c>
      <c r="G17" s="910">
        <f t="shared" si="1"/>
        <v>0</v>
      </c>
      <c r="H17" s="1073"/>
      <c r="I17" s="900"/>
    </row>
    <row r="18" spans="1:12">
      <c r="A18" s="899" t="s">
        <v>542</v>
      </c>
      <c r="B18" s="898">
        <v>909</v>
      </c>
      <c r="C18" s="898" t="s">
        <v>140</v>
      </c>
      <c r="D18" s="909">
        <v>19042.650000000001</v>
      </c>
      <c r="E18" s="30" t="s">
        <v>172</v>
      </c>
      <c r="F18" s="33">
        <f t="shared" si="0"/>
        <v>0</v>
      </c>
      <c r="G18" s="910">
        <f t="shared" si="1"/>
        <v>0</v>
      </c>
      <c r="H18" s="1073"/>
      <c r="I18" s="900"/>
    </row>
    <row r="19" spans="1:12" ht="13.5" thickBot="1">
      <c r="A19" s="1073"/>
      <c r="B19" s="1074" t="s">
        <v>3</v>
      </c>
      <c r="C19" s="898"/>
      <c r="D19" s="1075">
        <f>SUM(D10:D18)</f>
        <v>-20810.649999999994</v>
      </c>
      <c r="E19" s="898"/>
      <c r="F19" s="911"/>
      <c r="G19" s="1075">
        <f>SUM(G10:G18)</f>
        <v>-401.946618269174</v>
      </c>
      <c r="H19" s="1073"/>
      <c r="I19" s="900"/>
    </row>
    <row r="20" spans="1:12" ht="13.5" thickTop="1">
      <c r="A20" s="1073"/>
      <c r="B20" s="898"/>
      <c r="C20" s="898"/>
      <c r="D20" s="912"/>
      <c r="E20" s="898"/>
      <c r="F20" s="911"/>
      <c r="G20" s="1073"/>
      <c r="H20" s="1073"/>
      <c r="I20" s="900"/>
    </row>
    <row r="21" spans="1:12">
      <c r="A21" s="1073"/>
      <c r="B21" s="898"/>
      <c r="C21" s="898"/>
      <c r="D21" s="912"/>
      <c r="E21" s="898"/>
      <c r="F21" s="1073"/>
      <c r="G21" s="1073"/>
      <c r="H21" s="1073"/>
      <c r="I21" s="900"/>
    </row>
    <row r="22" spans="1:12">
      <c r="A22" s="1073"/>
      <c r="B22" s="898"/>
      <c r="C22" s="898"/>
      <c r="D22" s="912"/>
      <c r="E22" s="898"/>
      <c r="F22" s="1073"/>
      <c r="G22" s="1073"/>
      <c r="H22" s="1073"/>
      <c r="I22" s="900"/>
    </row>
    <row r="23" spans="1:12">
      <c r="A23" s="915" t="s">
        <v>652</v>
      </c>
      <c r="B23" s="914"/>
      <c r="C23" s="914"/>
      <c r="D23" s="910"/>
      <c r="E23" s="914"/>
      <c r="F23" s="1073"/>
      <c r="G23" s="1073"/>
      <c r="H23" s="1073"/>
      <c r="I23" s="900"/>
    </row>
    <row r="24" spans="1:12" ht="13.15" customHeight="1">
      <c r="A24" s="1406" t="s">
        <v>697</v>
      </c>
      <c r="B24" s="1406"/>
      <c r="C24" s="1406"/>
      <c r="D24" s="1406"/>
      <c r="E24" s="1406"/>
      <c r="F24" s="1406"/>
      <c r="G24" s="1406"/>
      <c r="H24" s="1319"/>
      <c r="I24" s="1319"/>
      <c r="J24" s="29"/>
      <c r="K24" s="29"/>
      <c r="L24" s="29"/>
    </row>
    <row r="25" spans="1:12">
      <c r="A25" s="1406"/>
      <c r="B25" s="1406"/>
      <c r="C25" s="1406"/>
      <c r="D25" s="1406"/>
      <c r="E25" s="1406"/>
      <c r="F25" s="1406"/>
      <c r="G25" s="1406"/>
      <c r="H25" s="1319"/>
      <c r="I25" s="1319"/>
      <c r="J25" s="29"/>
      <c r="K25" s="29"/>
      <c r="L25" s="29"/>
    </row>
    <row r="26" spans="1:12">
      <c r="A26" s="1406"/>
      <c r="B26" s="1406"/>
      <c r="C26" s="1406"/>
      <c r="D26" s="1406"/>
      <c r="E26" s="1406"/>
      <c r="F26" s="1406"/>
      <c r="G26" s="1406"/>
      <c r="H26" s="1319"/>
      <c r="I26" s="1319"/>
      <c r="J26" s="29"/>
      <c r="K26" s="29"/>
      <c r="L26" s="29"/>
    </row>
    <row r="27" spans="1:12">
      <c r="A27" s="1406"/>
      <c r="B27" s="1406"/>
      <c r="C27" s="1406"/>
      <c r="D27" s="1406"/>
      <c r="E27" s="1406"/>
      <c r="F27" s="1406"/>
      <c r="G27" s="1406"/>
      <c r="H27" s="1319"/>
      <c r="I27" s="1319"/>
      <c r="J27" s="29"/>
      <c r="K27" s="29"/>
      <c r="L27" s="29"/>
    </row>
    <row r="28" spans="1:12">
      <c r="A28" s="1406"/>
      <c r="B28" s="1406"/>
      <c r="C28" s="1406"/>
      <c r="D28" s="1406"/>
      <c r="E28" s="1406"/>
      <c r="F28" s="1406"/>
      <c r="G28" s="1406"/>
      <c r="H28" s="1319"/>
      <c r="I28" s="1319"/>
      <c r="J28" s="29"/>
      <c r="K28" s="29"/>
      <c r="L28" s="29"/>
    </row>
    <row r="29" spans="1:12">
      <c r="A29" s="1406"/>
      <c r="B29" s="1406"/>
      <c r="C29" s="1406"/>
      <c r="D29" s="1406"/>
      <c r="E29" s="1406"/>
      <c r="F29" s="1406"/>
      <c r="G29" s="1406"/>
      <c r="H29" s="1319"/>
      <c r="I29" s="1319"/>
      <c r="J29" s="29"/>
      <c r="K29" s="29"/>
      <c r="L29" s="29"/>
    </row>
    <row r="30" spans="1:12">
      <c r="A30" s="1406"/>
      <c r="B30" s="1406"/>
      <c r="C30" s="1406"/>
      <c r="D30" s="1406"/>
      <c r="E30" s="1406"/>
      <c r="F30" s="1406"/>
      <c r="G30" s="1406"/>
      <c r="H30" s="1319"/>
      <c r="I30" s="1319"/>
      <c r="J30" s="29"/>
      <c r="K30" s="29"/>
      <c r="L30" s="29"/>
    </row>
    <row r="31" spans="1:12">
      <c r="A31" s="1407"/>
      <c r="B31" s="1406"/>
      <c r="C31" s="1406"/>
      <c r="D31" s="1406"/>
      <c r="E31" s="1406"/>
      <c r="F31" s="1406"/>
      <c r="G31" s="1406"/>
      <c r="H31" s="1319"/>
      <c r="I31" s="1319"/>
      <c r="J31" s="29"/>
      <c r="K31" s="29"/>
      <c r="L31" s="29"/>
    </row>
    <row r="32" spans="1:12">
      <c r="A32" s="1406"/>
      <c r="B32" s="1406"/>
      <c r="C32" s="1406"/>
      <c r="D32" s="1406"/>
      <c r="E32" s="1406"/>
      <c r="F32" s="1406"/>
      <c r="G32" s="1406"/>
      <c r="H32" s="1319"/>
      <c r="I32" s="1319"/>
      <c r="J32" s="29"/>
      <c r="K32" s="29"/>
      <c r="L32" s="29"/>
    </row>
    <row r="33" spans="1:12">
      <c r="A33" s="1406"/>
      <c r="B33" s="1406"/>
      <c r="C33" s="1406"/>
      <c r="D33" s="1406"/>
      <c r="E33" s="1406"/>
      <c r="F33" s="1406"/>
      <c r="G33" s="1406"/>
      <c r="H33" s="1319"/>
      <c r="I33" s="1319"/>
      <c r="J33" s="29"/>
      <c r="K33" s="29"/>
      <c r="L33" s="29"/>
    </row>
    <row r="34" spans="1:12">
      <c r="A34" s="1406"/>
      <c r="B34" s="1406"/>
      <c r="C34" s="1406"/>
      <c r="D34" s="1406"/>
      <c r="E34" s="1406"/>
      <c r="F34" s="1406"/>
      <c r="G34" s="1406"/>
      <c r="H34" s="1319"/>
      <c r="I34" s="1319"/>
      <c r="J34" s="29"/>
      <c r="K34" s="29"/>
      <c r="L34" s="29"/>
    </row>
    <row r="35" spans="1:12">
      <c r="A35" s="900"/>
      <c r="B35" s="900"/>
      <c r="C35" s="900"/>
      <c r="D35" s="900"/>
      <c r="E35" s="900"/>
      <c r="F35" s="916"/>
      <c r="G35" s="925"/>
      <c r="H35" s="908"/>
      <c r="I35" s="29"/>
      <c r="J35" s="29"/>
      <c r="K35" s="29"/>
      <c r="L35" s="29"/>
    </row>
    <row r="36" spans="1:12">
      <c r="A36" s="900"/>
      <c r="B36" s="900"/>
      <c r="C36" s="900"/>
      <c r="D36" s="900"/>
      <c r="E36" s="900"/>
      <c r="F36" s="924"/>
      <c r="G36" s="925"/>
      <c r="H36" s="900"/>
      <c r="I36" s="29"/>
      <c r="J36" s="29"/>
      <c r="K36" s="29"/>
      <c r="L36" s="29"/>
    </row>
    <row r="37" spans="1:12">
      <c r="A37" s="917"/>
      <c r="B37" s="900"/>
      <c r="C37" s="900"/>
      <c r="D37" s="900"/>
      <c r="E37" s="900"/>
      <c r="F37" s="900"/>
      <c r="G37" s="900"/>
      <c r="H37" s="900"/>
      <c r="I37" s="29"/>
    </row>
    <row r="38" spans="1:12">
      <c r="A38" s="29"/>
      <c r="B38" s="29"/>
      <c r="C38" s="29"/>
      <c r="D38" s="29"/>
      <c r="E38" s="29"/>
      <c r="F38" s="29"/>
      <c r="G38" s="29"/>
      <c r="H38" s="29"/>
      <c r="I38" s="29"/>
    </row>
    <row r="39" spans="1:12">
      <c r="A39" s="918"/>
      <c r="B39" s="919"/>
      <c r="C39" s="920"/>
      <c r="D39" s="921"/>
      <c r="E39" s="922"/>
      <c r="F39" s="923"/>
      <c r="G39" s="920"/>
      <c r="H39" s="923"/>
      <c r="I39" s="923"/>
      <c r="J39" s="900"/>
    </row>
    <row r="40" spans="1:12">
      <c r="A40" s="917"/>
      <c r="B40" s="900"/>
      <c r="C40" s="924"/>
      <c r="D40" s="924"/>
      <c r="E40" s="900"/>
      <c r="F40" s="924"/>
      <c r="G40" s="924"/>
      <c r="H40" s="925"/>
      <c r="I40" s="925"/>
      <c r="J40" s="900"/>
    </row>
    <row r="41" spans="1:12">
      <c r="A41" s="917"/>
      <c r="B41" s="900"/>
      <c r="C41" s="924"/>
      <c r="D41" s="924"/>
      <c r="E41" s="900"/>
      <c r="F41" s="924"/>
      <c r="G41" s="924"/>
      <c r="H41" s="925"/>
      <c r="I41" s="925"/>
      <c r="J41" s="900"/>
    </row>
    <row r="42" spans="1:12">
      <c r="A42" s="917"/>
      <c r="B42" s="900"/>
      <c r="C42" s="924"/>
      <c r="D42" s="924"/>
      <c r="E42" s="900"/>
      <c r="F42" s="924"/>
      <c r="G42" s="924"/>
      <c r="H42" s="925"/>
      <c r="I42" s="925"/>
      <c r="J42" s="900"/>
    </row>
    <row r="43" spans="1:12">
      <c r="A43" s="917"/>
      <c r="B43" s="900"/>
      <c r="C43" s="924"/>
      <c r="D43" s="924"/>
      <c r="E43" s="900"/>
      <c r="F43" s="924"/>
      <c r="G43" s="924"/>
      <c r="H43" s="1076"/>
      <c r="I43" s="925"/>
      <c r="J43" s="900"/>
    </row>
    <row r="44" spans="1:12">
      <c r="A44" s="917"/>
      <c r="B44" s="900"/>
      <c r="C44" s="924"/>
      <c r="D44" s="924"/>
      <c r="E44" s="900"/>
      <c r="F44" s="924"/>
      <c r="G44" s="924"/>
      <c r="H44" s="925"/>
      <c r="I44" s="925"/>
      <c r="J44" s="900"/>
    </row>
    <row r="45" spans="1:12">
      <c r="A45" s="917"/>
      <c r="B45" s="900"/>
      <c r="C45" s="924"/>
      <c r="D45" s="924"/>
      <c r="E45" s="900"/>
      <c r="F45" s="924"/>
      <c r="G45" s="924"/>
      <c r="H45" s="925"/>
      <c r="I45" s="925"/>
      <c r="J45" s="900"/>
    </row>
    <row r="46" spans="1:12">
      <c r="A46" s="917"/>
      <c r="B46" s="900"/>
      <c r="C46" s="924"/>
      <c r="D46" s="924"/>
      <c r="E46" s="900"/>
      <c r="F46" s="924"/>
      <c r="G46" s="924"/>
      <c r="H46" s="925"/>
      <c r="I46" s="925"/>
      <c r="J46" s="900"/>
    </row>
    <row r="47" spans="1:12">
      <c r="A47" s="917"/>
      <c r="B47" s="900"/>
      <c r="C47" s="924"/>
      <c r="D47" s="924"/>
      <c r="E47" s="900"/>
      <c r="F47" s="924"/>
      <c r="G47" s="924"/>
      <c r="H47" s="925"/>
      <c r="I47" s="925"/>
      <c r="J47" s="900"/>
    </row>
    <row r="48" spans="1:12" ht="16.5" customHeight="1">
      <c r="B48" s="1073"/>
      <c r="C48" s="1073"/>
      <c r="D48" s="1073"/>
      <c r="E48" s="1073"/>
      <c r="F48" s="1073"/>
      <c r="G48" s="1073"/>
      <c r="H48" s="1073"/>
      <c r="I48" s="925"/>
      <c r="J48" s="900"/>
    </row>
    <row r="49" spans="1:10">
      <c r="A49" s="913"/>
      <c r="B49" s="913"/>
      <c r="C49" s="913"/>
      <c r="D49" s="913"/>
      <c r="E49" s="913"/>
      <c r="F49" s="913"/>
      <c r="G49" s="913"/>
      <c r="H49" s="913"/>
      <c r="I49" s="925"/>
      <c r="J49" s="900"/>
    </row>
    <row r="50" spans="1:10">
      <c r="A50" s="917"/>
      <c r="B50" s="900"/>
      <c r="C50" s="924"/>
      <c r="D50" s="924"/>
      <c r="E50" s="900"/>
      <c r="F50" s="924"/>
      <c r="G50" s="924"/>
      <c r="H50" s="925"/>
      <c r="I50" s="925"/>
      <c r="J50" s="900"/>
    </row>
    <row r="51" spans="1:10">
      <c r="A51" s="917"/>
      <c r="B51" s="900"/>
      <c r="C51" s="924"/>
      <c r="D51" s="924"/>
      <c r="E51" s="900"/>
      <c r="F51" s="924"/>
      <c r="G51" s="924"/>
      <c r="H51" s="925"/>
      <c r="I51" s="925"/>
      <c r="J51" s="900"/>
    </row>
    <row r="52" spans="1:10">
      <c r="A52" s="917"/>
      <c r="B52" s="900"/>
      <c r="C52" s="924"/>
      <c r="D52" s="924"/>
      <c r="E52" s="900"/>
      <c r="F52" s="924"/>
      <c r="G52" s="924"/>
      <c r="H52" s="925"/>
      <c r="I52" s="925"/>
      <c r="J52" s="900"/>
    </row>
    <row r="53" spans="1:10">
      <c r="A53" s="917"/>
      <c r="B53" s="900"/>
      <c r="C53" s="924"/>
      <c r="D53" s="924"/>
      <c r="E53" s="900"/>
      <c r="F53" s="924"/>
      <c r="G53" s="924"/>
      <c r="H53" s="925"/>
      <c r="I53" s="925"/>
      <c r="J53" s="900"/>
    </row>
    <row r="54" spans="1:10">
      <c r="A54" s="917"/>
      <c r="B54" s="900"/>
      <c r="C54" s="924"/>
      <c r="D54" s="924"/>
      <c r="E54" s="900"/>
      <c r="F54" s="924"/>
      <c r="G54" s="924"/>
      <c r="H54" s="925"/>
      <c r="I54" s="925"/>
      <c r="J54" s="900"/>
    </row>
    <row r="55" spans="1:10">
      <c r="A55" s="900"/>
      <c r="B55" s="900"/>
      <c r="C55" s="900"/>
      <c r="D55" s="900"/>
      <c r="E55" s="902"/>
      <c r="F55" s="924"/>
      <c r="G55" s="926"/>
      <c r="H55" s="927"/>
      <c r="I55" s="927"/>
      <c r="J55" s="928"/>
    </row>
    <row r="56" spans="1:10">
      <c r="A56" s="900"/>
      <c r="B56" s="900"/>
      <c r="C56" s="900"/>
      <c r="D56" s="900"/>
      <c r="E56" s="902"/>
      <c r="F56" s="924"/>
      <c r="G56" s="926"/>
      <c r="H56" s="927"/>
      <c r="I56" s="927"/>
      <c r="J56" s="929"/>
    </row>
    <row r="57" spans="1:10">
      <c r="A57" s="900"/>
      <c r="B57" s="900"/>
      <c r="C57" s="900"/>
      <c r="D57" s="900"/>
      <c r="E57" s="902"/>
      <c r="F57" s="924"/>
      <c r="G57" s="930"/>
      <c r="H57" s="927"/>
      <c r="I57" s="927"/>
      <c r="J57" s="929"/>
    </row>
    <row r="58" spans="1:10">
      <c r="A58" s="900"/>
      <c r="B58" s="900"/>
      <c r="C58" s="900"/>
      <c r="D58" s="900"/>
      <c r="E58" s="902"/>
      <c r="F58" s="924"/>
      <c r="G58" s="931"/>
      <c r="H58" s="925"/>
      <c r="I58" s="927"/>
      <c r="J58" s="929"/>
    </row>
    <row r="59" spans="1:10">
      <c r="A59" s="900"/>
      <c r="B59" s="900"/>
      <c r="C59" s="900"/>
      <c r="D59" s="900"/>
      <c r="E59" s="902"/>
      <c r="F59" s="924"/>
      <c r="G59" s="916"/>
      <c r="H59" s="925"/>
      <c r="I59" s="927"/>
      <c r="J59" s="929"/>
    </row>
    <row r="60" spans="1:10">
      <c r="A60" s="900"/>
      <c r="B60" s="900"/>
      <c r="C60" s="900"/>
      <c r="D60" s="900"/>
      <c r="E60" s="902"/>
      <c r="F60" s="924"/>
      <c r="G60" s="916"/>
      <c r="H60" s="925"/>
      <c r="I60" s="927"/>
      <c r="J60" s="929"/>
    </row>
    <row r="61" spans="1:10">
      <c r="A61" s="900"/>
      <c r="B61" s="900"/>
      <c r="C61" s="900"/>
      <c r="D61" s="900"/>
      <c r="E61" s="902"/>
      <c r="F61" s="924"/>
      <c r="G61" s="916"/>
      <c r="H61" s="925"/>
      <c r="I61" s="927"/>
      <c r="J61" s="929"/>
    </row>
    <row r="62" spans="1:10">
      <c r="A62" s="900"/>
      <c r="B62" s="900"/>
      <c r="C62" s="900"/>
      <c r="D62" s="900"/>
      <c r="E62" s="902"/>
      <c r="F62" s="924"/>
      <c r="G62" s="916"/>
      <c r="H62" s="925"/>
      <c r="I62" s="927"/>
      <c r="J62" s="929"/>
    </row>
    <row r="63" spans="1:10">
      <c r="A63" s="900"/>
      <c r="B63" s="900"/>
      <c r="C63" s="900"/>
      <c r="D63" s="900"/>
      <c r="E63" s="902"/>
      <c r="F63" s="924"/>
      <c r="G63" s="916"/>
      <c r="H63" s="925"/>
      <c r="I63" s="927"/>
      <c r="J63" s="929"/>
    </row>
    <row r="64" spans="1:10">
      <c r="A64" s="900"/>
      <c r="B64" s="900"/>
      <c r="C64" s="900"/>
      <c r="D64" s="900"/>
      <c r="E64" s="902"/>
      <c r="F64" s="924"/>
      <c r="G64" s="916"/>
      <c r="H64" s="925"/>
      <c r="I64" s="927"/>
      <c r="J64" s="929"/>
    </row>
    <row r="65" spans="1:10">
      <c r="A65" s="917"/>
      <c r="B65" s="917"/>
      <c r="C65" s="924"/>
      <c r="D65" s="917"/>
      <c r="E65" s="932"/>
      <c r="F65" s="924"/>
      <c r="G65" s="933"/>
      <c r="H65" s="934"/>
      <c r="I65" s="934"/>
      <c r="J65" s="1077"/>
    </row>
  </sheetData>
  <mergeCells count="1">
    <mergeCell ref="A24:G34"/>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32"/>
  <sheetViews>
    <sheetView workbookViewId="0">
      <selection activeCell="F16" sqref="F16"/>
    </sheetView>
  </sheetViews>
  <sheetFormatPr defaultColWidth="8.85546875" defaultRowHeight="12.75"/>
  <cols>
    <col min="1" max="1" width="39" style="1" customWidth="1"/>
    <col min="2" max="2" width="9.7109375" style="1" bestFit="1" customWidth="1"/>
    <col min="3" max="3" width="5.42578125" style="1" bestFit="1" customWidth="1"/>
    <col min="4" max="4" width="10.5703125" style="1" customWidth="1"/>
    <col min="5" max="5" width="8" style="1" bestFit="1" customWidth="1"/>
    <col min="6" max="6" width="10.5703125" style="1" customWidth="1"/>
    <col min="7" max="7" width="13.28515625" style="1" bestFit="1" customWidth="1"/>
    <col min="8" max="8" width="10.5703125" style="1" customWidth="1"/>
    <col min="9" max="16384" width="8.85546875" style="1"/>
  </cols>
  <sheetData>
    <row r="1" spans="1:8">
      <c r="A1" s="17" t="str">
        <f>RevReqSummary!A1</f>
        <v>PacifiCorp General Rate Case UE-140617</v>
      </c>
      <c r="B1" s="406"/>
      <c r="C1" s="406"/>
      <c r="D1" s="406"/>
      <c r="E1" s="406"/>
      <c r="F1" s="406"/>
      <c r="G1" s="406"/>
      <c r="H1" s="405"/>
    </row>
    <row r="2" spans="1:8">
      <c r="A2" s="17" t="str">
        <f>RevReqSummary!A2</f>
        <v>For The Twelve Months Ended December 2013 - Staff Revenue Requirement</v>
      </c>
      <c r="B2" s="406"/>
      <c r="C2" s="406"/>
      <c r="D2" s="406"/>
      <c r="E2" s="406"/>
      <c r="F2" s="406"/>
      <c r="G2" s="406"/>
      <c r="H2" s="405"/>
    </row>
    <row r="3" spans="1:8">
      <c r="A3" s="407" t="s">
        <v>446</v>
      </c>
      <c r="B3" s="406"/>
      <c r="C3" s="406"/>
      <c r="D3" s="406"/>
      <c r="E3" s="406"/>
      <c r="F3" s="406"/>
      <c r="G3" s="406"/>
      <c r="H3" s="405"/>
    </row>
    <row r="4" spans="1:8">
      <c r="A4" s="407" t="s">
        <v>495</v>
      </c>
      <c r="B4" s="406"/>
      <c r="C4" s="406"/>
      <c r="D4" s="406"/>
      <c r="E4" s="406"/>
      <c r="F4" s="406"/>
      <c r="G4" s="406"/>
      <c r="H4" s="405"/>
    </row>
    <row r="5" spans="1:8">
      <c r="A5" s="405"/>
      <c r="B5" s="903"/>
      <c r="C5" s="903"/>
      <c r="D5" s="903" t="s">
        <v>131</v>
      </c>
      <c r="E5" s="903"/>
      <c r="F5" s="903"/>
      <c r="G5" s="903" t="s">
        <v>236</v>
      </c>
      <c r="H5" s="405"/>
    </row>
    <row r="6" spans="1:8">
      <c r="A6" s="405"/>
      <c r="B6" s="906" t="s">
        <v>132</v>
      </c>
      <c r="C6" s="906" t="s">
        <v>660</v>
      </c>
      <c r="D6" s="906" t="s">
        <v>134</v>
      </c>
      <c r="E6" s="906" t="s">
        <v>135</v>
      </c>
      <c r="F6" s="906" t="s">
        <v>136</v>
      </c>
      <c r="G6" s="906" t="s">
        <v>137</v>
      </c>
      <c r="H6" s="405"/>
    </row>
    <row r="7" spans="1:8">
      <c r="A7" s="408" t="s">
        <v>199</v>
      </c>
      <c r="B7" s="410"/>
      <c r="C7" s="410"/>
      <c r="D7" s="411"/>
      <c r="E7" s="410"/>
      <c r="F7" s="412"/>
      <c r="G7" s="411"/>
      <c r="H7" s="405"/>
    </row>
    <row r="8" spans="1:8">
      <c r="A8" s="405" t="s">
        <v>447</v>
      </c>
      <c r="B8" s="410">
        <v>930</v>
      </c>
      <c r="C8" s="410" t="s">
        <v>140</v>
      </c>
      <c r="D8" s="413">
        <v>-290103</v>
      </c>
      <c r="E8" s="30" t="s">
        <v>130</v>
      </c>
      <c r="F8" s="33">
        <f>INDEX(WCAAllocations,IFERROR(MATCH(E8,WCAFactors,0),2),IFERROR(MATCH(E8,WCAStates,0),4))</f>
        <v>6.8539355270203509E-2</v>
      </c>
      <c r="G8" s="411">
        <f>D8*F8</f>
        <v>-19883.47258195185</v>
      </c>
      <c r="H8" s="405"/>
    </row>
    <row r="9" spans="1:8">
      <c r="A9" s="409"/>
      <c r="B9" s="410"/>
      <c r="C9" s="410"/>
      <c r="D9" s="414">
        <f>SUM(D8:D8)</f>
        <v>-290103</v>
      </c>
      <c r="E9" s="405"/>
      <c r="F9" s="412"/>
      <c r="G9" s="414">
        <f>SUM(G8:G8)</f>
        <v>-19883.47258195185</v>
      </c>
      <c r="H9" s="415"/>
    </row>
    <row r="10" spans="1:8">
      <c r="A10" s="409"/>
      <c r="B10" s="410"/>
      <c r="C10" s="410"/>
      <c r="D10" s="411"/>
      <c r="E10" s="410"/>
      <c r="F10" s="412"/>
      <c r="G10" s="411"/>
      <c r="H10" s="405"/>
    </row>
    <row r="11" spans="1:8">
      <c r="A11" s="416" t="s">
        <v>448</v>
      </c>
      <c r="B11" s="410">
        <v>930</v>
      </c>
      <c r="C11" s="410" t="s">
        <v>140</v>
      </c>
      <c r="D11" s="417">
        <v>10105</v>
      </c>
      <c r="E11" s="30" t="s">
        <v>170</v>
      </c>
      <c r="F11" s="33">
        <f t="shared" ref="F11:F16" si="0">INDEX(WCAAllocations,IFERROR(MATCH(E11,WCAFactors,0),2),IFERROR(MATCH(E11,WCAStates,0),4))</f>
        <v>0</v>
      </c>
      <c r="G11" s="411">
        <f t="shared" ref="G11:G16" si="1">D11*F11</f>
        <v>0</v>
      </c>
      <c r="H11" s="405"/>
    </row>
    <row r="12" spans="1:8">
      <c r="A12" s="416" t="s">
        <v>448</v>
      </c>
      <c r="B12" s="410">
        <v>930</v>
      </c>
      <c r="C12" s="410" t="s">
        <v>140</v>
      </c>
      <c r="D12" s="417">
        <v>176932.5</v>
      </c>
      <c r="E12" s="30" t="s">
        <v>171</v>
      </c>
      <c r="F12" s="33">
        <f t="shared" si="0"/>
        <v>0</v>
      </c>
      <c r="G12" s="411">
        <f t="shared" si="1"/>
        <v>0</v>
      </c>
      <c r="H12" s="405"/>
    </row>
    <row r="13" spans="1:8">
      <c r="A13" s="416" t="s">
        <v>448</v>
      </c>
      <c r="B13" s="410">
        <v>930</v>
      </c>
      <c r="C13" s="410" t="s">
        <v>140</v>
      </c>
      <c r="D13" s="417">
        <v>21380</v>
      </c>
      <c r="E13" s="30" t="s">
        <v>141</v>
      </c>
      <c r="F13" s="33">
        <f t="shared" si="0"/>
        <v>1</v>
      </c>
      <c r="G13" s="411">
        <f t="shared" si="1"/>
        <v>21380</v>
      </c>
      <c r="H13" s="415"/>
    </row>
    <row r="14" spans="1:8">
      <c r="A14" s="416" t="s">
        <v>448</v>
      </c>
      <c r="B14" s="410">
        <v>930</v>
      </c>
      <c r="C14" s="410" t="s">
        <v>140</v>
      </c>
      <c r="D14" s="417">
        <v>51457.5</v>
      </c>
      <c r="E14" s="30" t="s">
        <v>172</v>
      </c>
      <c r="F14" s="33">
        <f t="shared" si="0"/>
        <v>0</v>
      </c>
      <c r="G14" s="411">
        <f t="shared" si="1"/>
        <v>0</v>
      </c>
      <c r="H14" s="405"/>
    </row>
    <row r="15" spans="1:8">
      <c r="A15" s="416" t="s">
        <v>448</v>
      </c>
      <c r="B15" s="410">
        <v>930</v>
      </c>
      <c r="C15" s="410" t="s">
        <v>140</v>
      </c>
      <c r="D15" s="417">
        <v>2449</v>
      </c>
      <c r="E15" s="30" t="s">
        <v>173</v>
      </c>
      <c r="F15" s="33">
        <f t="shared" si="0"/>
        <v>0</v>
      </c>
      <c r="G15" s="411">
        <f t="shared" si="1"/>
        <v>0</v>
      </c>
      <c r="H15" s="405"/>
    </row>
    <row r="16" spans="1:8">
      <c r="A16" s="416" t="s">
        <v>448</v>
      </c>
      <c r="B16" s="410">
        <v>930</v>
      </c>
      <c r="C16" s="410" t="s">
        <v>140</v>
      </c>
      <c r="D16" s="417">
        <v>27779</v>
      </c>
      <c r="E16" s="30" t="s">
        <v>517</v>
      </c>
      <c r="F16" s="33">
        <f t="shared" si="0"/>
        <v>0</v>
      </c>
      <c r="G16" s="411">
        <f t="shared" si="1"/>
        <v>0</v>
      </c>
      <c r="H16" s="405"/>
    </row>
    <row r="17" spans="1:8">
      <c r="A17" s="416"/>
      <c r="B17" s="410"/>
      <c r="C17" s="410"/>
      <c r="D17" s="418">
        <f>SUM(D11:D16)</f>
        <v>290103</v>
      </c>
      <c r="E17" s="411"/>
      <c r="F17" s="419"/>
      <c r="G17" s="414">
        <f>SUM(G11:G16)</f>
        <v>21380</v>
      </c>
      <c r="H17" s="405"/>
    </row>
    <row r="18" spans="1:8">
      <c r="A18" s="420"/>
      <c r="B18" s="410"/>
      <c r="C18" s="410"/>
      <c r="D18" s="411"/>
      <c r="E18" s="410"/>
      <c r="F18" s="412"/>
      <c r="G18" s="411"/>
      <c r="H18" s="405"/>
    </row>
    <row r="19" spans="1:8" ht="13.5" thickBot="1">
      <c r="A19" s="420"/>
      <c r="B19" s="409" t="s">
        <v>3</v>
      </c>
      <c r="C19" s="410"/>
      <c r="D19" s="421">
        <f>D9+D17</f>
        <v>0</v>
      </c>
      <c r="E19" s="410"/>
      <c r="F19" s="412"/>
      <c r="G19" s="421">
        <f>G9+G17</f>
        <v>1496.5274180481501</v>
      </c>
      <c r="H19" s="405"/>
    </row>
    <row r="20" spans="1:8" ht="13.5" thickTop="1">
      <c r="A20" s="420"/>
      <c r="B20" s="410"/>
      <c r="C20" s="410"/>
      <c r="D20" s="422"/>
      <c r="E20" s="410"/>
      <c r="F20" s="412"/>
      <c r="G20" s="422"/>
      <c r="H20" s="405"/>
    </row>
    <row r="21" spans="1:8">
      <c r="A21" s="420"/>
      <c r="B21" s="410"/>
      <c r="C21" s="410"/>
      <c r="D21" s="411"/>
      <c r="E21" s="410"/>
      <c r="F21" s="412"/>
      <c r="G21" s="411"/>
    </row>
    <row r="22" spans="1:8">
      <c r="B22" s="410"/>
      <c r="C22" s="410"/>
      <c r="D22" s="411"/>
      <c r="E22" s="410"/>
      <c r="F22" s="412"/>
      <c r="G22" s="411"/>
    </row>
    <row r="23" spans="1:8">
      <c r="A23" s="423" t="s">
        <v>145</v>
      </c>
      <c r="B23" s="410"/>
      <c r="C23" s="410"/>
      <c r="D23" s="411"/>
      <c r="E23" s="410"/>
      <c r="F23" s="412"/>
      <c r="G23" s="411"/>
    </row>
    <row r="24" spans="1:8">
      <c r="A24" s="1408" t="s">
        <v>1059</v>
      </c>
      <c r="B24" s="1408"/>
      <c r="C24" s="1408"/>
      <c r="D24" s="1408"/>
      <c r="E24" s="1408"/>
      <c r="F24" s="1408"/>
      <c r="G24" s="1408"/>
    </row>
    <row r="25" spans="1:8">
      <c r="A25" s="1408"/>
      <c r="B25" s="1408"/>
      <c r="C25" s="1408"/>
      <c r="D25" s="1408"/>
      <c r="E25" s="1408"/>
      <c r="F25" s="1408"/>
      <c r="G25" s="1408"/>
    </row>
    <row r="26" spans="1:8">
      <c r="A26" s="1408"/>
      <c r="B26" s="1408"/>
      <c r="C26" s="1408"/>
      <c r="D26" s="1408"/>
      <c r="E26" s="1408"/>
      <c r="F26" s="1408"/>
      <c r="G26" s="1408"/>
    </row>
    <row r="27" spans="1:8">
      <c r="A27" s="1408"/>
      <c r="B27" s="1408"/>
      <c r="C27" s="1408"/>
      <c r="D27" s="1408"/>
      <c r="E27" s="1408"/>
      <c r="F27" s="1408"/>
      <c r="G27" s="1408"/>
    </row>
    <row r="28" spans="1:8">
      <c r="A28" s="1408"/>
      <c r="B28" s="1408"/>
      <c r="C28" s="1408"/>
      <c r="D28" s="1408"/>
      <c r="E28" s="1408"/>
      <c r="F28" s="1408"/>
      <c r="G28" s="1408"/>
    </row>
    <row r="29" spans="1:8">
      <c r="A29" s="1408"/>
      <c r="B29" s="1408"/>
      <c r="C29" s="1408"/>
      <c r="D29" s="1408"/>
      <c r="E29" s="1408"/>
      <c r="F29" s="1408"/>
      <c r="G29" s="1408"/>
    </row>
    <row r="30" spans="1:8">
      <c r="A30" s="1408"/>
      <c r="B30" s="1408"/>
      <c r="C30" s="1408"/>
      <c r="D30" s="1408"/>
      <c r="E30" s="1408"/>
      <c r="F30" s="1408"/>
      <c r="G30" s="1408"/>
    </row>
    <row r="31" spans="1:8">
      <c r="A31" s="1405"/>
      <c r="B31" s="1408"/>
      <c r="C31" s="1408"/>
      <c r="D31" s="1408"/>
      <c r="E31" s="1408"/>
      <c r="F31" s="1408"/>
      <c r="G31" s="1408"/>
    </row>
    <row r="32" spans="1:8">
      <c r="A32" s="1408"/>
      <c r="B32" s="1408"/>
      <c r="C32" s="1408"/>
      <c r="D32" s="1408"/>
      <c r="E32" s="1408"/>
      <c r="F32" s="1408"/>
      <c r="G32" s="1408"/>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7"/>
  <sheetViews>
    <sheetView workbookViewId="0">
      <selection activeCell="F16" sqref="F16"/>
    </sheetView>
  </sheetViews>
  <sheetFormatPr defaultColWidth="9.140625" defaultRowHeight="12.75"/>
  <cols>
    <col min="1" max="1" width="33.28515625" style="1" customWidth="1"/>
    <col min="2" max="2" width="9.7109375" style="1" bestFit="1" customWidth="1"/>
    <col min="3" max="3" width="5.42578125" style="1" bestFit="1" customWidth="1"/>
    <col min="4" max="4" width="11.42578125" style="1" bestFit="1" customWidth="1"/>
    <col min="5" max="5" width="8" style="1" bestFit="1" customWidth="1"/>
    <col min="6" max="6" width="11.140625" style="1" bestFit="1" customWidth="1"/>
    <col min="7" max="7" width="14.7109375" style="1" bestFit="1" customWidth="1"/>
    <col min="8" max="16384" width="9.140625" style="1"/>
  </cols>
  <sheetData>
    <row r="1" spans="1:9">
      <c r="A1" s="17" t="str">
        <f>RevReqSummary!A1</f>
        <v>PacifiCorp General Rate Case UE-140617</v>
      </c>
      <c r="B1" s="372"/>
      <c r="C1" s="373"/>
      <c r="D1" s="374"/>
      <c r="E1" s="373"/>
      <c r="F1" s="373"/>
      <c r="G1" s="376"/>
      <c r="H1" s="377"/>
      <c r="I1" s="372"/>
    </row>
    <row r="2" spans="1:9">
      <c r="A2" s="17" t="str">
        <f>RevReqSummary!A2</f>
        <v>For The Twelve Months Ended December 2013 - Staff Revenue Requirement</v>
      </c>
      <c r="B2" s="373"/>
      <c r="C2" s="373"/>
      <c r="D2" s="374"/>
      <c r="E2" s="373"/>
      <c r="F2" s="373"/>
      <c r="G2" s="376"/>
      <c r="H2" s="376"/>
      <c r="I2" s="372"/>
    </row>
    <row r="3" spans="1:9">
      <c r="A3" s="378" t="s">
        <v>543</v>
      </c>
      <c r="B3" s="373"/>
      <c r="C3" s="373"/>
      <c r="D3" s="374"/>
      <c r="E3" s="373"/>
      <c r="F3" s="373"/>
      <c r="G3" s="376"/>
      <c r="H3" s="376"/>
      <c r="I3" s="372"/>
    </row>
    <row r="4" spans="1:9">
      <c r="A4" s="379" t="s">
        <v>496</v>
      </c>
      <c r="B4" s="373"/>
      <c r="C4" s="373"/>
      <c r="D4" s="374"/>
      <c r="E4" s="373"/>
      <c r="F4" s="373"/>
      <c r="G4" s="376"/>
      <c r="H4" s="376"/>
      <c r="I4" s="372"/>
    </row>
    <row r="5" spans="1:9">
      <c r="A5" s="372"/>
      <c r="B5" s="373"/>
      <c r="C5" s="373"/>
      <c r="D5" s="374"/>
      <c r="E5" s="373"/>
      <c r="F5" s="373"/>
      <c r="G5" s="376"/>
      <c r="H5" s="376"/>
      <c r="I5" s="372"/>
    </row>
    <row r="6" spans="1:9">
      <c r="A6" s="372"/>
      <c r="B6" s="373"/>
      <c r="C6" s="373"/>
      <c r="D6" s="374" t="s">
        <v>131</v>
      </c>
      <c r="E6" s="373"/>
      <c r="F6" s="373"/>
      <c r="G6" s="376" t="s">
        <v>236</v>
      </c>
      <c r="H6" s="373"/>
      <c r="I6" s="372"/>
    </row>
    <row r="7" spans="1:9">
      <c r="A7" s="372"/>
      <c r="B7" s="380" t="s">
        <v>132</v>
      </c>
      <c r="C7" s="380" t="s">
        <v>660</v>
      </c>
      <c r="D7" s="381" t="s">
        <v>134</v>
      </c>
      <c r="E7" s="380" t="s">
        <v>135</v>
      </c>
      <c r="F7" s="380" t="s">
        <v>136</v>
      </c>
      <c r="G7" s="383" t="s">
        <v>137</v>
      </c>
      <c r="H7" s="380"/>
      <c r="I7" s="372"/>
    </row>
    <row r="8" spans="1:9">
      <c r="A8" s="28" t="s">
        <v>199</v>
      </c>
      <c r="C8" s="30"/>
      <c r="D8" s="30"/>
      <c r="E8" s="894"/>
      <c r="F8" s="24"/>
    </row>
    <row r="9" spans="1:9">
      <c r="A9" s="244" t="s">
        <v>543</v>
      </c>
      <c r="B9" s="241">
        <v>904</v>
      </c>
      <c r="C9" s="241" t="s">
        <v>140</v>
      </c>
      <c r="D9" s="265">
        <v>422425.00651124539</v>
      </c>
      <c r="E9" s="30" t="s">
        <v>141</v>
      </c>
      <c r="F9" s="33">
        <f>INDEX(WCAAllocations,IFERROR(MATCH(E9,WCAFactors,0),2),IFERROR(MATCH(E9,WCAStates,0),4))</f>
        <v>1</v>
      </c>
      <c r="G9" s="895">
        <f>D9</f>
        <v>422425.00651124539</v>
      </c>
    </row>
    <row r="10" spans="1:9" s="153" customFormat="1"/>
    <row r="13" spans="1:9">
      <c r="A13" s="1320" t="s">
        <v>145</v>
      </c>
      <c r="B13" s="153"/>
      <c r="C13" s="153"/>
      <c r="D13" s="153"/>
      <c r="E13" s="153"/>
      <c r="F13" s="153"/>
      <c r="G13" s="153"/>
    </row>
    <row r="14" spans="1:9">
      <c r="A14" s="1399" t="s">
        <v>1060</v>
      </c>
      <c r="B14" s="1399"/>
      <c r="C14" s="1399"/>
      <c r="D14" s="1399"/>
      <c r="E14" s="1399"/>
      <c r="F14" s="1399"/>
      <c r="G14" s="1399"/>
    </row>
    <row r="15" spans="1:9">
      <c r="A15" s="1399"/>
      <c r="B15" s="1399"/>
      <c r="C15" s="1399"/>
      <c r="D15" s="1399"/>
      <c r="E15" s="1399"/>
      <c r="F15" s="1399"/>
      <c r="G15" s="1399"/>
    </row>
    <row r="16" spans="1:9">
      <c r="A16" s="1399"/>
      <c r="B16" s="1399"/>
      <c r="C16" s="1399"/>
      <c r="D16" s="1399"/>
      <c r="E16" s="1399"/>
      <c r="F16" s="1399"/>
      <c r="G16" s="1399"/>
    </row>
    <row r="17" spans="1:7">
      <c r="A17" s="1399"/>
      <c r="B17" s="1399"/>
      <c r="C17" s="1399"/>
      <c r="D17" s="1399"/>
      <c r="E17" s="1399"/>
      <c r="F17" s="1399"/>
      <c r="G17" s="1399"/>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79"/>
  <sheetViews>
    <sheetView workbookViewId="0">
      <selection activeCell="F16" sqref="F16"/>
    </sheetView>
  </sheetViews>
  <sheetFormatPr defaultColWidth="8.85546875" defaultRowHeight="12.75"/>
  <cols>
    <col min="1" max="1" width="18.28515625" style="1" customWidth="1"/>
    <col min="2" max="2" width="9.7109375" style="1" bestFit="1" customWidth="1"/>
    <col min="3" max="3" width="5.42578125" style="1" bestFit="1" customWidth="1"/>
    <col min="4" max="4" width="11.42578125" style="1" bestFit="1" customWidth="1"/>
    <col min="5" max="5" width="8" style="1" bestFit="1" customWidth="1"/>
    <col min="6" max="6" width="10" style="245" bestFit="1" customWidth="1"/>
    <col min="7" max="7" width="14.7109375" style="144" bestFit="1" customWidth="1"/>
    <col min="8" max="8" width="13.28515625" style="1" bestFit="1" customWidth="1"/>
    <col min="9" max="9" width="11.5703125" style="1" bestFit="1" customWidth="1"/>
    <col min="10" max="10" width="13.5703125" style="1" customWidth="1"/>
    <col min="11" max="16384" width="8.85546875" style="1"/>
  </cols>
  <sheetData>
    <row r="1" spans="1:10">
      <c r="A1" s="17" t="str">
        <f>RevReqSummary!A1</f>
        <v>PacifiCorp General Rate Case UE-140617</v>
      </c>
      <c r="B1" s="1067"/>
      <c r="C1" s="1068"/>
      <c r="D1" s="1068"/>
      <c r="E1" s="1068"/>
      <c r="F1" s="370"/>
      <c r="G1" s="1069"/>
      <c r="H1" s="1068"/>
      <c r="I1" s="1068"/>
    </row>
    <row r="2" spans="1:10">
      <c r="A2" s="17" t="str">
        <f>RevReqSummary!A2</f>
        <v>For The Twelve Months Ended December 2013 - Staff Revenue Requirement</v>
      </c>
      <c r="B2" s="1067"/>
      <c r="C2" s="1068"/>
      <c r="D2" s="1068"/>
      <c r="E2" s="1068"/>
      <c r="F2" s="370"/>
      <c r="G2" s="1069"/>
      <c r="H2" s="1068"/>
      <c r="I2" s="1068"/>
    </row>
    <row r="3" spans="1:10">
      <c r="A3" s="880" t="s">
        <v>610</v>
      </c>
      <c r="B3" s="1067"/>
      <c r="C3" s="1068"/>
      <c r="E3" s="1068"/>
      <c r="F3" s="370"/>
      <c r="G3" s="1069"/>
      <c r="H3" s="1068"/>
      <c r="I3" s="1068"/>
    </row>
    <row r="4" spans="1:10">
      <c r="A4" s="880" t="s">
        <v>482</v>
      </c>
      <c r="B4" s="373"/>
      <c r="C4" s="373"/>
      <c r="D4" s="374" t="s">
        <v>131</v>
      </c>
      <c r="E4" s="373"/>
      <c r="F4" s="373"/>
      <c r="G4" s="376" t="s">
        <v>236</v>
      </c>
    </row>
    <row r="5" spans="1:10">
      <c r="A5" s="881"/>
      <c r="B5" s="380" t="s">
        <v>132</v>
      </c>
      <c r="C5" s="380" t="s">
        <v>660</v>
      </c>
      <c r="D5" s="381" t="s">
        <v>134</v>
      </c>
      <c r="E5" s="380" t="s">
        <v>135</v>
      </c>
      <c r="F5" s="380" t="s">
        <v>136</v>
      </c>
      <c r="G5" s="383" t="s">
        <v>137</v>
      </c>
    </row>
    <row r="6" spans="1:10">
      <c r="A6" s="882" t="s">
        <v>199</v>
      </c>
      <c r="B6" s="1070"/>
      <c r="C6" s="1071"/>
      <c r="E6" s="1071"/>
      <c r="F6" s="253"/>
      <c r="G6" s="1072"/>
    </row>
    <row r="7" spans="1:10">
      <c r="A7" s="883" t="s">
        <v>544</v>
      </c>
      <c r="B7" s="885"/>
      <c r="C7" s="885"/>
      <c r="D7" s="886"/>
      <c r="E7" s="887"/>
      <c r="F7" s="155"/>
      <c r="G7" s="889"/>
      <c r="H7" s="29"/>
      <c r="I7" s="29"/>
    </row>
    <row r="8" spans="1:10">
      <c r="A8" s="884"/>
      <c r="B8" s="885" t="s">
        <v>698</v>
      </c>
      <c r="C8" s="885" t="s">
        <v>140</v>
      </c>
      <c r="D8" s="888">
        <v>-6262.7899999999991</v>
      </c>
      <c r="E8" s="30" t="s">
        <v>165</v>
      </c>
      <c r="F8" s="33">
        <f t="shared" ref="F8:F67" si="0">INDEX(WCAAllocations,IFERROR(MATCH(E8,WCAFactors,0),2),IFERROR(MATCH(E8,WCAStates,0),4))</f>
        <v>0</v>
      </c>
      <c r="G8" s="889">
        <v>0</v>
      </c>
      <c r="H8" s="890"/>
      <c r="I8" s="890"/>
      <c r="J8" s="891"/>
    </row>
    <row r="9" spans="1:10">
      <c r="A9" s="883"/>
      <c r="B9" s="885" t="s">
        <v>699</v>
      </c>
      <c r="C9" s="885" t="s">
        <v>140</v>
      </c>
      <c r="D9" s="888">
        <v>-57308.629999999946</v>
      </c>
      <c r="E9" s="30" t="s">
        <v>165</v>
      </c>
      <c r="F9" s="33">
        <f t="shared" si="0"/>
        <v>0</v>
      </c>
      <c r="G9" s="889">
        <f t="shared" ref="G9:G67" si="1">D9*F9</f>
        <v>0</v>
      </c>
      <c r="H9" s="29"/>
      <c r="I9" s="29"/>
    </row>
    <row r="10" spans="1:10">
      <c r="A10" s="883"/>
      <c r="B10" s="885" t="s">
        <v>545</v>
      </c>
      <c r="C10" s="885" t="s">
        <v>140</v>
      </c>
      <c r="D10" s="888">
        <v>-33797.5</v>
      </c>
      <c r="E10" s="30" t="s">
        <v>261</v>
      </c>
      <c r="F10" s="33">
        <f t="shared" si="0"/>
        <v>0</v>
      </c>
      <c r="G10" s="889">
        <f t="shared" si="1"/>
        <v>0</v>
      </c>
      <c r="H10" s="29"/>
      <c r="I10" s="29"/>
    </row>
    <row r="11" spans="1:10">
      <c r="A11" s="883"/>
      <c r="B11" s="885" t="s">
        <v>545</v>
      </c>
      <c r="C11" s="885" t="s">
        <v>140</v>
      </c>
      <c r="D11" s="888">
        <v>56966.659999999996</v>
      </c>
      <c r="E11" s="30" t="s">
        <v>232</v>
      </c>
      <c r="F11" s="33">
        <f t="shared" si="0"/>
        <v>0.22612324164332259</v>
      </c>
      <c r="G11" s="889">
        <f t="shared" si="1"/>
        <v>12881.485824792999</v>
      </c>
      <c r="H11" s="29"/>
      <c r="I11" s="29"/>
    </row>
    <row r="12" spans="1:10">
      <c r="A12" s="883"/>
      <c r="B12" s="885" t="s">
        <v>545</v>
      </c>
      <c r="C12" s="885" t="s">
        <v>140</v>
      </c>
      <c r="D12" s="888">
        <v>-56966.659999999996</v>
      </c>
      <c r="E12" s="30" t="s">
        <v>148</v>
      </c>
      <c r="F12" s="33">
        <f t="shared" si="0"/>
        <v>7.5697931989234163E-2</v>
      </c>
      <c r="G12" s="889">
        <f t="shared" si="1"/>
        <v>-4312.258354333826</v>
      </c>
      <c r="H12" s="29"/>
      <c r="I12" s="29"/>
    </row>
    <row r="13" spans="1:10">
      <c r="A13" s="883"/>
      <c r="B13" s="885" t="s">
        <v>545</v>
      </c>
      <c r="C13" s="885" t="s">
        <v>140</v>
      </c>
      <c r="D13" s="888">
        <v>367.5</v>
      </c>
      <c r="E13" s="30" t="s">
        <v>450</v>
      </c>
      <c r="F13" s="33">
        <f t="shared" si="0"/>
        <v>0</v>
      </c>
      <c r="G13" s="889">
        <f t="shared" si="1"/>
        <v>0</v>
      </c>
      <c r="H13" s="29"/>
      <c r="I13" s="29"/>
    </row>
    <row r="14" spans="1:10">
      <c r="A14" s="883"/>
      <c r="B14" s="885"/>
      <c r="C14" s="885"/>
      <c r="D14" s="414">
        <f>SUM(D8:D13)</f>
        <v>-97001.419999999955</v>
      </c>
      <c r="E14" s="405"/>
      <c r="F14" s="412"/>
      <c r="G14" s="414">
        <f>SUM(G8:G13)</f>
        <v>8569.2274704591728</v>
      </c>
      <c r="H14" s="29"/>
      <c r="I14" s="29"/>
    </row>
    <row r="15" spans="1:10">
      <c r="A15" s="883"/>
      <c r="B15" s="885"/>
      <c r="C15" s="885"/>
      <c r="D15" s="411"/>
      <c r="E15" s="405"/>
      <c r="F15" s="412"/>
      <c r="G15" s="411"/>
      <c r="H15" s="29"/>
      <c r="I15" s="29"/>
    </row>
    <row r="16" spans="1:10">
      <c r="A16" s="883"/>
      <c r="B16" s="885" t="s">
        <v>700</v>
      </c>
      <c r="C16" s="885" t="s">
        <v>140</v>
      </c>
      <c r="D16" s="888">
        <v>7347.5700000000006</v>
      </c>
      <c r="E16" s="30" t="s">
        <v>214</v>
      </c>
      <c r="F16" s="33">
        <f t="shared" si="0"/>
        <v>0</v>
      </c>
      <c r="G16" s="889">
        <f t="shared" si="1"/>
        <v>0</v>
      </c>
      <c r="H16" s="29"/>
      <c r="I16" s="29"/>
    </row>
    <row r="17" spans="1:9">
      <c r="A17" s="883"/>
      <c r="B17" s="885" t="s">
        <v>700</v>
      </c>
      <c r="C17" s="885" t="s">
        <v>140</v>
      </c>
      <c r="D17" s="888">
        <v>26082.43</v>
      </c>
      <c r="E17" s="30" t="s">
        <v>450</v>
      </c>
      <c r="F17" s="33">
        <f t="shared" si="0"/>
        <v>0</v>
      </c>
      <c r="G17" s="889">
        <f t="shared" si="1"/>
        <v>0</v>
      </c>
      <c r="H17" s="29"/>
      <c r="I17" s="29"/>
    </row>
    <row r="18" spans="1:9">
      <c r="A18" s="883"/>
      <c r="B18" s="885" t="s">
        <v>548</v>
      </c>
      <c r="C18" s="885" t="s">
        <v>140</v>
      </c>
      <c r="D18" s="888">
        <v>-1487.5</v>
      </c>
      <c r="E18" s="30" t="s">
        <v>203</v>
      </c>
      <c r="F18" s="33">
        <f t="shared" si="0"/>
        <v>0.23084885646883446</v>
      </c>
      <c r="G18" s="889">
        <f t="shared" si="1"/>
        <v>-343.38767399739129</v>
      </c>
      <c r="H18" s="29"/>
      <c r="I18" s="29"/>
    </row>
    <row r="19" spans="1:9">
      <c r="A19" s="883"/>
      <c r="B19" s="885"/>
      <c r="C19" s="885"/>
      <c r="D19" s="414">
        <f>SUM(D16:D18)</f>
        <v>31942.5</v>
      </c>
      <c r="E19" s="405"/>
      <c r="F19" s="412"/>
      <c r="G19" s="414">
        <f>SUM(G16:G18)</f>
        <v>-343.38767399739129</v>
      </c>
      <c r="H19" s="29"/>
      <c r="I19" s="29"/>
    </row>
    <row r="20" spans="1:9">
      <c r="A20" s="883"/>
      <c r="B20" s="885"/>
      <c r="C20" s="885"/>
      <c r="D20" s="411"/>
      <c r="E20" s="405"/>
      <c r="F20" s="412"/>
      <c r="G20" s="411"/>
      <c r="H20" s="29"/>
      <c r="I20" s="29"/>
    </row>
    <row r="21" spans="1:9">
      <c r="A21" s="883"/>
      <c r="B21" s="885" t="s">
        <v>550</v>
      </c>
      <c r="C21" s="885" t="s">
        <v>140</v>
      </c>
      <c r="D21" s="888">
        <v>13700.5</v>
      </c>
      <c r="E21" s="30" t="s">
        <v>170</v>
      </c>
      <c r="F21" s="33">
        <f t="shared" si="0"/>
        <v>0</v>
      </c>
      <c r="G21" s="889">
        <f t="shared" si="1"/>
        <v>0</v>
      </c>
      <c r="H21" s="29"/>
      <c r="I21" s="29"/>
    </row>
    <row r="22" spans="1:9">
      <c r="A22" s="883"/>
      <c r="B22" s="885" t="s">
        <v>550</v>
      </c>
      <c r="C22" s="885" t="s">
        <v>140</v>
      </c>
      <c r="D22" s="888">
        <v>2492056.9200000009</v>
      </c>
      <c r="E22" s="30" t="s">
        <v>214</v>
      </c>
      <c r="F22" s="33">
        <f t="shared" si="0"/>
        <v>0</v>
      </c>
      <c r="G22" s="889">
        <f t="shared" si="1"/>
        <v>0</v>
      </c>
      <c r="H22" s="29"/>
      <c r="I22" s="29"/>
    </row>
    <row r="23" spans="1:9">
      <c r="A23" s="883"/>
      <c r="B23" s="885" t="s">
        <v>550</v>
      </c>
      <c r="C23" s="885" t="s">
        <v>140</v>
      </c>
      <c r="D23" s="888">
        <v>1239023.3700000001</v>
      </c>
      <c r="E23" s="30" t="s">
        <v>203</v>
      </c>
      <c r="F23" s="33">
        <f t="shared" si="0"/>
        <v>0.23084885646883446</v>
      </c>
      <c r="G23" s="889">
        <f t="shared" si="1"/>
        <v>286027.12810266158</v>
      </c>
      <c r="H23" s="29"/>
      <c r="I23" s="29"/>
    </row>
    <row r="24" spans="1:9">
      <c r="A24" s="883"/>
      <c r="B24" s="885" t="s">
        <v>550</v>
      </c>
      <c r="C24" s="885" t="s">
        <v>140</v>
      </c>
      <c r="D24" s="888">
        <v>204630.64</v>
      </c>
      <c r="E24" s="30" t="s">
        <v>171</v>
      </c>
      <c r="F24" s="33">
        <f>INDEX(WCAAllocations,IFERROR(MATCH(E24,WCAFactors,0),2),IFERROR(MATCH(E24,WCAStates,0),4))</f>
        <v>0</v>
      </c>
      <c r="G24" s="889">
        <f t="shared" si="1"/>
        <v>0</v>
      </c>
      <c r="H24" s="29"/>
      <c r="I24" s="29"/>
    </row>
    <row r="25" spans="1:9">
      <c r="A25" s="883"/>
      <c r="B25" s="885" t="s">
        <v>550</v>
      </c>
      <c r="C25" s="885" t="s">
        <v>140</v>
      </c>
      <c r="D25" s="888">
        <v>-4396537.7099999962</v>
      </c>
      <c r="E25" s="30" t="s">
        <v>146</v>
      </c>
      <c r="F25" s="33">
        <f t="shared" si="0"/>
        <v>7.9057273540331513E-2</v>
      </c>
      <c r="G25" s="889">
        <f t="shared" si="1"/>
        <v>-347578.28436985239</v>
      </c>
      <c r="H25" s="29"/>
      <c r="I25" s="29"/>
    </row>
    <row r="26" spans="1:9">
      <c r="A26" s="883"/>
      <c r="B26" s="885" t="s">
        <v>550</v>
      </c>
      <c r="C26" s="885" t="s">
        <v>140</v>
      </c>
      <c r="D26" s="888">
        <v>8185.9</v>
      </c>
      <c r="E26" s="30" t="s">
        <v>172</v>
      </c>
      <c r="F26" s="33">
        <f t="shared" si="0"/>
        <v>0</v>
      </c>
      <c r="G26" s="889">
        <f t="shared" si="1"/>
        <v>0</v>
      </c>
      <c r="H26" s="29"/>
      <c r="I26" s="29"/>
    </row>
    <row r="27" spans="1:9">
      <c r="A27" s="883"/>
      <c r="B27" s="885" t="s">
        <v>550</v>
      </c>
      <c r="C27" s="885" t="s">
        <v>140</v>
      </c>
      <c r="D27" s="888">
        <v>42847.650000000016</v>
      </c>
      <c r="E27" s="30" t="s">
        <v>450</v>
      </c>
      <c r="F27" s="33">
        <f t="shared" si="0"/>
        <v>0</v>
      </c>
      <c r="G27" s="889">
        <f t="shared" si="1"/>
        <v>0</v>
      </c>
      <c r="H27" s="29"/>
      <c r="I27" s="29"/>
    </row>
    <row r="28" spans="1:9">
      <c r="A28" s="883"/>
      <c r="B28" s="885"/>
      <c r="C28" s="885"/>
      <c r="D28" s="414">
        <f>SUM(D21:D27)</f>
        <v>-396092.72999999509</v>
      </c>
      <c r="E28" s="405"/>
      <c r="F28" s="412"/>
      <c r="G28" s="414">
        <f>SUM(G21:G27)</f>
        <v>-61551.156267190818</v>
      </c>
      <c r="H28" s="29"/>
      <c r="I28" s="29"/>
    </row>
    <row r="29" spans="1:9">
      <c r="A29" s="883"/>
      <c r="B29" s="885"/>
      <c r="C29" s="885"/>
      <c r="D29" s="411"/>
      <c r="E29" s="405"/>
      <c r="F29" s="412"/>
      <c r="G29" s="411"/>
      <c r="H29" s="29"/>
      <c r="I29" s="29"/>
    </row>
    <row r="30" spans="1:9">
      <c r="A30" s="883"/>
      <c r="B30" s="885" t="s">
        <v>552</v>
      </c>
      <c r="C30" s="885" t="s">
        <v>140</v>
      </c>
      <c r="D30" s="888">
        <v>17233.170000000002</v>
      </c>
      <c r="E30" s="30" t="s">
        <v>214</v>
      </c>
      <c r="F30" s="33">
        <f t="shared" si="0"/>
        <v>0</v>
      </c>
      <c r="G30" s="889">
        <f t="shared" si="1"/>
        <v>0</v>
      </c>
      <c r="H30" s="29"/>
      <c r="I30" s="29"/>
    </row>
    <row r="31" spans="1:9">
      <c r="A31" s="883"/>
      <c r="B31" s="885" t="s">
        <v>552</v>
      </c>
      <c r="C31" s="885" t="s">
        <v>140</v>
      </c>
      <c r="D31" s="888">
        <v>-66373.94999999991</v>
      </c>
      <c r="E31" s="30" t="s">
        <v>146</v>
      </c>
      <c r="F31" s="33">
        <f t="shared" si="0"/>
        <v>7.9057273540331513E-2</v>
      </c>
      <c r="G31" s="889">
        <f t="shared" si="1"/>
        <v>-5247.3435211022797</v>
      </c>
      <c r="H31" s="29"/>
      <c r="I31" s="29"/>
    </row>
    <row r="32" spans="1:9">
      <c r="A32" s="883"/>
      <c r="B32" s="885" t="s">
        <v>552</v>
      </c>
      <c r="C32" s="885" t="s">
        <v>140</v>
      </c>
      <c r="D32" s="888">
        <v>30718.95</v>
      </c>
      <c r="E32" s="30" t="s">
        <v>172</v>
      </c>
      <c r="F32" s="33">
        <f t="shared" si="0"/>
        <v>0</v>
      </c>
      <c r="G32" s="889">
        <f t="shared" si="1"/>
        <v>0</v>
      </c>
      <c r="H32" s="29"/>
      <c r="I32" s="29"/>
    </row>
    <row r="33" spans="1:9">
      <c r="A33" s="883"/>
      <c r="B33" s="885" t="s">
        <v>552</v>
      </c>
      <c r="C33" s="885" t="s">
        <v>140</v>
      </c>
      <c r="D33" s="888">
        <v>6208.7</v>
      </c>
      <c r="E33" s="30" t="s">
        <v>450</v>
      </c>
      <c r="F33" s="33">
        <f t="shared" si="0"/>
        <v>0</v>
      </c>
      <c r="G33" s="889">
        <f t="shared" si="1"/>
        <v>0</v>
      </c>
    </row>
    <row r="34" spans="1:9">
      <c r="A34" s="883"/>
      <c r="B34" s="885"/>
      <c r="C34" s="885"/>
      <c r="D34" s="414">
        <f>SUM(D30:D33)</f>
        <v>-12213.12999999991</v>
      </c>
      <c r="E34" s="405"/>
      <c r="F34" s="412"/>
      <c r="G34" s="414">
        <f>SUM(G30:G33)</f>
        <v>-5247.3435211022797</v>
      </c>
    </row>
    <row r="35" spans="1:9">
      <c r="A35" s="883"/>
      <c r="B35" s="885"/>
      <c r="C35" s="885"/>
      <c r="D35" s="411"/>
      <c r="E35" s="405"/>
      <c r="F35" s="412"/>
      <c r="G35" s="411"/>
    </row>
    <row r="36" spans="1:9">
      <c r="A36" s="884"/>
      <c r="B36" s="885" t="s">
        <v>555</v>
      </c>
      <c r="C36" s="885" t="s">
        <v>140</v>
      </c>
      <c r="D36" s="888">
        <v>-465920.18999999977</v>
      </c>
      <c r="E36" s="30" t="s">
        <v>151</v>
      </c>
      <c r="F36" s="33">
        <f t="shared" si="0"/>
        <v>6.2803307592478125E-2</v>
      </c>
      <c r="G36" s="889">
        <f t="shared" si="1"/>
        <v>-29261.329006115837</v>
      </c>
    </row>
    <row r="37" spans="1:9">
      <c r="A37" s="883"/>
      <c r="B37" s="885" t="s">
        <v>555</v>
      </c>
      <c r="C37" s="885" t="s">
        <v>140</v>
      </c>
      <c r="D37" s="888">
        <v>462609.9599999999</v>
      </c>
      <c r="E37" s="30" t="s">
        <v>172</v>
      </c>
      <c r="F37" s="33">
        <f t="shared" si="0"/>
        <v>0</v>
      </c>
      <c r="G37" s="889">
        <f t="shared" si="1"/>
        <v>0</v>
      </c>
    </row>
    <row r="38" spans="1:9">
      <c r="A38" s="883"/>
      <c r="B38" s="885" t="s">
        <v>555</v>
      </c>
      <c r="C38" s="885" t="s">
        <v>140</v>
      </c>
      <c r="D38" s="888">
        <v>2774.1499999999996</v>
      </c>
      <c r="E38" s="30" t="s">
        <v>450</v>
      </c>
      <c r="F38" s="33">
        <f t="shared" si="0"/>
        <v>0</v>
      </c>
      <c r="G38" s="889">
        <f t="shared" si="1"/>
        <v>0</v>
      </c>
    </row>
    <row r="39" spans="1:9">
      <c r="A39" s="883"/>
      <c r="B39" s="885"/>
      <c r="C39" s="885"/>
      <c r="D39" s="414">
        <f>SUM(D36:D38)</f>
        <v>-536.07999999986532</v>
      </c>
      <c r="E39" s="405"/>
      <c r="F39" s="412"/>
      <c r="G39" s="414">
        <f>SUM(G36:G38)</f>
        <v>-29261.329006115837</v>
      </c>
    </row>
    <row r="40" spans="1:9">
      <c r="A40" s="883"/>
      <c r="B40" s="885"/>
      <c r="C40" s="885"/>
      <c r="D40" s="411"/>
      <c r="E40" s="405"/>
      <c r="F40" s="412"/>
      <c r="G40" s="411"/>
    </row>
    <row r="41" spans="1:9">
      <c r="A41" s="883"/>
      <c r="B41" s="885" t="s">
        <v>558</v>
      </c>
      <c r="C41" s="885" t="s">
        <v>140</v>
      </c>
      <c r="D41" s="888">
        <v>1806.9300000000003</v>
      </c>
      <c r="E41" s="30" t="s">
        <v>214</v>
      </c>
      <c r="F41" s="33">
        <f t="shared" si="0"/>
        <v>0</v>
      </c>
      <c r="G41" s="889">
        <f t="shared" si="1"/>
        <v>0</v>
      </c>
    </row>
    <row r="42" spans="1:9">
      <c r="A42" s="883"/>
      <c r="B42" s="885" t="s">
        <v>558</v>
      </c>
      <c r="C42" s="885" t="s">
        <v>140</v>
      </c>
      <c r="D42" s="888">
        <v>-42635.48</v>
      </c>
      <c r="E42" s="30" t="s">
        <v>152</v>
      </c>
      <c r="F42" s="33">
        <f t="shared" si="0"/>
        <v>6.9173575695716499E-2</v>
      </c>
      <c r="G42" s="889">
        <f t="shared" si="1"/>
        <v>-2949.2486031032072</v>
      </c>
    </row>
    <row r="43" spans="1:9">
      <c r="A43" s="883"/>
      <c r="B43" s="885" t="s">
        <v>558</v>
      </c>
      <c r="C43" s="885" t="s">
        <v>140</v>
      </c>
      <c r="D43" s="888">
        <v>288</v>
      </c>
      <c r="E43" s="30" t="s">
        <v>450</v>
      </c>
      <c r="F43" s="33">
        <f t="shared" si="0"/>
        <v>0</v>
      </c>
      <c r="G43" s="889">
        <f t="shared" si="1"/>
        <v>0</v>
      </c>
      <c r="I43" s="43"/>
    </row>
    <row r="44" spans="1:9">
      <c r="A44" s="883"/>
      <c r="B44" s="885"/>
      <c r="C44" s="885"/>
      <c r="D44" s="414">
        <f>SUM(D41:D43)</f>
        <v>-40540.550000000003</v>
      </c>
      <c r="E44" s="405"/>
      <c r="F44" s="412"/>
      <c r="G44" s="414">
        <f>SUM(G41:G43)</f>
        <v>-2949.2486031032072</v>
      </c>
      <c r="I44" s="43"/>
    </row>
    <row r="45" spans="1:9">
      <c r="A45" s="883"/>
      <c r="B45" s="885"/>
      <c r="C45" s="885"/>
      <c r="D45" s="411"/>
      <c r="E45" s="405"/>
      <c r="F45" s="412"/>
      <c r="G45" s="411"/>
      <c r="I45" s="43"/>
    </row>
    <row r="46" spans="1:9">
      <c r="A46" s="814"/>
      <c r="B46" s="885" t="s">
        <v>559</v>
      </c>
      <c r="C46" s="885" t="s">
        <v>140</v>
      </c>
      <c r="D46" s="888">
        <v>-2170</v>
      </c>
      <c r="E46" s="30" t="s">
        <v>170</v>
      </c>
      <c r="F46" s="33">
        <f t="shared" si="0"/>
        <v>0</v>
      </c>
      <c r="G46" s="889">
        <f t="shared" si="1"/>
        <v>0</v>
      </c>
    </row>
    <row r="47" spans="1:9">
      <c r="A47" s="892"/>
      <c r="B47" s="885" t="s">
        <v>559</v>
      </c>
      <c r="C47" s="885" t="s">
        <v>140</v>
      </c>
      <c r="D47" s="888">
        <v>26488.119999999966</v>
      </c>
      <c r="E47" s="356" t="s">
        <v>214</v>
      </c>
      <c r="F47" s="33">
        <f t="shared" si="0"/>
        <v>0</v>
      </c>
      <c r="G47" s="889">
        <f t="shared" si="1"/>
        <v>0</v>
      </c>
    </row>
    <row r="48" spans="1:9">
      <c r="A48" s="893"/>
      <c r="B48" s="885" t="s">
        <v>559</v>
      </c>
      <c r="C48" s="885" t="s">
        <v>140</v>
      </c>
      <c r="D48" s="888">
        <v>841031.83999999985</v>
      </c>
      <c r="E48" s="30" t="s">
        <v>203</v>
      </c>
      <c r="F48" s="33">
        <f t="shared" si="0"/>
        <v>0.23084885646883446</v>
      </c>
      <c r="G48" s="889">
        <f t="shared" si="1"/>
        <v>194151.23851787971</v>
      </c>
    </row>
    <row r="49" spans="1:7">
      <c r="A49" s="893"/>
      <c r="B49" s="885" t="s">
        <v>559</v>
      </c>
      <c r="C49" s="885" t="s">
        <v>140</v>
      </c>
      <c r="D49" s="888">
        <v>-37753.189999999995</v>
      </c>
      <c r="E49" s="30" t="s">
        <v>171</v>
      </c>
      <c r="F49" s="33">
        <f t="shared" si="0"/>
        <v>0</v>
      </c>
      <c r="G49" s="889">
        <f t="shared" si="1"/>
        <v>0</v>
      </c>
    </row>
    <row r="50" spans="1:7">
      <c r="A50" s="884"/>
      <c r="B50" s="885" t="s">
        <v>559</v>
      </c>
      <c r="C50" s="885" t="s">
        <v>140</v>
      </c>
      <c r="D50" s="888">
        <v>-875952.57999999961</v>
      </c>
      <c r="E50" s="30" t="s">
        <v>130</v>
      </c>
      <c r="F50" s="33">
        <f t="shared" si="0"/>
        <v>6.8539355270203509E-2</v>
      </c>
      <c r="G50" s="889">
        <f t="shared" si="1"/>
        <v>-60037.225080471333</v>
      </c>
    </row>
    <row r="51" spans="1:7">
      <c r="A51" s="884"/>
      <c r="B51" s="885" t="s">
        <v>559</v>
      </c>
      <c r="C51" s="885" t="s">
        <v>140</v>
      </c>
      <c r="D51" s="888">
        <v>8432.619999999999</v>
      </c>
      <c r="E51" s="30" t="s">
        <v>172</v>
      </c>
      <c r="F51" s="33">
        <f t="shared" si="0"/>
        <v>0</v>
      </c>
      <c r="G51" s="889">
        <f t="shared" si="1"/>
        <v>0</v>
      </c>
    </row>
    <row r="52" spans="1:7">
      <c r="A52" s="884"/>
      <c r="B52" s="885" t="s">
        <v>559</v>
      </c>
      <c r="C52" s="885" t="s">
        <v>140</v>
      </c>
      <c r="D52" s="888">
        <v>-78838.499999999985</v>
      </c>
      <c r="E52" s="30" t="s">
        <v>141</v>
      </c>
      <c r="F52" s="33">
        <f t="shared" si="0"/>
        <v>1</v>
      </c>
      <c r="G52" s="889">
        <f t="shared" si="1"/>
        <v>-78838.499999999985</v>
      </c>
    </row>
    <row r="53" spans="1:7">
      <c r="A53" s="884"/>
      <c r="B53" s="885" t="s">
        <v>560</v>
      </c>
      <c r="C53" s="885" t="s">
        <v>140</v>
      </c>
      <c r="D53" s="888">
        <v>-29216.159999999858</v>
      </c>
      <c r="E53" s="30" t="s">
        <v>170</v>
      </c>
      <c r="F53" s="33">
        <f t="shared" si="0"/>
        <v>0</v>
      </c>
      <c r="G53" s="889">
        <f t="shared" si="1"/>
        <v>0</v>
      </c>
    </row>
    <row r="54" spans="1:7">
      <c r="A54" s="884"/>
      <c r="B54" s="885" t="s">
        <v>560</v>
      </c>
      <c r="C54" s="885" t="s">
        <v>140</v>
      </c>
      <c r="D54" s="888">
        <v>-74290</v>
      </c>
      <c r="E54" s="30" t="s">
        <v>171</v>
      </c>
      <c r="F54" s="33">
        <f t="shared" si="0"/>
        <v>0</v>
      </c>
      <c r="G54" s="889">
        <f t="shared" si="1"/>
        <v>0</v>
      </c>
    </row>
    <row r="55" spans="1:7">
      <c r="A55" s="884"/>
      <c r="B55" s="885" t="s">
        <v>560</v>
      </c>
      <c r="C55" s="885" t="s">
        <v>140</v>
      </c>
      <c r="D55" s="888">
        <v>-57899.880000000012</v>
      </c>
      <c r="E55" s="30" t="s">
        <v>172</v>
      </c>
      <c r="F55" s="33">
        <f t="shared" si="0"/>
        <v>0</v>
      </c>
      <c r="G55" s="889">
        <f t="shared" si="1"/>
        <v>0</v>
      </c>
    </row>
    <row r="56" spans="1:7">
      <c r="A56" s="884"/>
      <c r="B56" s="885" t="s">
        <v>701</v>
      </c>
      <c r="C56" s="885" t="s">
        <v>140</v>
      </c>
      <c r="D56" s="888">
        <v>-949495.76999999979</v>
      </c>
      <c r="E56" s="30" t="s">
        <v>170</v>
      </c>
      <c r="F56" s="33">
        <f t="shared" si="0"/>
        <v>0</v>
      </c>
      <c r="G56" s="889">
        <v>0</v>
      </c>
    </row>
    <row r="57" spans="1:7">
      <c r="A57" s="884"/>
      <c r="B57" s="885" t="s">
        <v>701</v>
      </c>
      <c r="C57" s="885" t="s">
        <v>140</v>
      </c>
      <c r="D57" s="888">
        <v>-364326.68999999965</v>
      </c>
      <c r="E57" s="30" t="s">
        <v>214</v>
      </c>
      <c r="F57" s="33">
        <f t="shared" si="0"/>
        <v>0</v>
      </c>
      <c r="G57" s="889">
        <f t="shared" si="1"/>
        <v>0</v>
      </c>
    </row>
    <row r="58" spans="1:7">
      <c r="A58" s="884"/>
      <c r="B58" s="885" t="s">
        <v>701</v>
      </c>
      <c r="C58" s="885" t="s">
        <v>140</v>
      </c>
      <c r="D58" s="888">
        <v>3335352.3800000018</v>
      </c>
      <c r="E58" s="30" t="s">
        <v>203</v>
      </c>
      <c r="F58" s="33">
        <f t="shared" si="0"/>
        <v>0.23084885646883446</v>
      </c>
      <c r="G58" s="889">
        <f t="shared" si="1"/>
        <v>769962.28284360585</v>
      </c>
    </row>
    <row r="59" spans="1:7">
      <c r="A59" s="884"/>
      <c r="B59" s="885" t="s">
        <v>701</v>
      </c>
      <c r="C59" s="885" t="s">
        <v>140</v>
      </c>
      <c r="D59" s="888">
        <v>-1560</v>
      </c>
      <c r="E59" s="30" t="s">
        <v>152</v>
      </c>
      <c r="F59" s="33">
        <f t="shared" si="0"/>
        <v>6.9173575695716499E-2</v>
      </c>
      <c r="G59" s="889">
        <f t="shared" si="1"/>
        <v>-107.91077808531774</v>
      </c>
    </row>
    <row r="60" spans="1:7">
      <c r="A60" s="884"/>
      <c r="B60" s="885" t="s">
        <v>701</v>
      </c>
      <c r="C60" s="885" t="s">
        <v>140</v>
      </c>
      <c r="D60" s="888">
        <v>-227825.52</v>
      </c>
      <c r="E60" s="30" t="s">
        <v>165</v>
      </c>
      <c r="F60" s="33">
        <f t="shared" si="0"/>
        <v>0</v>
      </c>
      <c r="G60" s="889">
        <f t="shared" si="1"/>
        <v>0</v>
      </c>
    </row>
    <row r="61" spans="1:7">
      <c r="A61" s="884"/>
      <c r="B61" s="885" t="s">
        <v>701</v>
      </c>
      <c r="C61" s="885" t="s">
        <v>140</v>
      </c>
      <c r="D61" s="888">
        <v>-391296.77000000014</v>
      </c>
      <c r="E61" s="30" t="s">
        <v>171</v>
      </c>
      <c r="F61" s="33">
        <f t="shared" si="0"/>
        <v>0</v>
      </c>
      <c r="G61" s="889">
        <f t="shared" si="1"/>
        <v>0</v>
      </c>
    </row>
    <row r="62" spans="1:7">
      <c r="A62" s="884"/>
      <c r="B62" s="885" t="s">
        <v>701</v>
      </c>
      <c r="C62" s="885" t="s">
        <v>140</v>
      </c>
      <c r="D62" s="888">
        <v>4945932.6899999967</v>
      </c>
      <c r="E62" s="30" t="s">
        <v>146</v>
      </c>
      <c r="F62" s="33">
        <f t="shared" si="0"/>
        <v>7.9057273540331513E-2</v>
      </c>
      <c r="G62" s="889">
        <f t="shared" si="1"/>
        <v>391011.95358539739</v>
      </c>
    </row>
    <row r="63" spans="1:7">
      <c r="A63" s="884"/>
      <c r="B63" s="885" t="s">
        <v>701</v>
      </c>
      <c r="C63" s="885" t="s">
        <v>140</v>
      </c>
      <c r="D63" s="888">
        <v>-12821.400000000001</v>
      </c>
      <c r="E63" s="30" t="s">
        <v>151</v>
      </c>
      <c r="F63" s="33">
        <f t="shared" si="0"/>
        <v>6.2803307592478125E-2</v>
      </c>
      <c r="G63" s="889">
        <f t="shared" si="1"/>
        <v>-805.22632796619916</v>
      </c>
    </row>
    <row r="64" spans="1:7">
      <c r="A64" s="884"/>
      <c r="B64" s="885" t="s">
        <v>701</v>
      </c>
      <c r="C64" s="885" t="s">
        <v>140</v>
      </c>
      <c r="D64" s="888">
        <v>-4309548.7799999984</v>
      </c>
      <c r="E64" s="30" t="s">
        <v>130</v>
      </c>
      <c r="F64" s="33">
        <f t="shared" si="0"/>
        <v>6.8539355270203509E-2</v>
      </c>
      <c r="G64" s="889">
        <f t="shared" si="1"/>
        <v>-295373.69488669198</v>
      </c>
    </row>
    <row r="65" spans="1:8">
      <c r="A65" s="884"/>
      <c r="B65" s="885" t="s">
        <v>701</v>
      </c>
      <c r="C65" s="885" t="s">
        <v>140</v>
      </c>
      <c r="D65" s="888">
        <v>-563855.03000000014</v>
      </c>
      <c r="E65" s="30" t="s">
        <v>172</v>
      </c>
      <c r="F65" s="33">
        <f t="shared" si="0"/>
        <v>0</v>
      </c>
      <c r="G65" s="889">
        <f t="shared" si="1"/>
        <v>0</v>
      </c>
    </row>
    <row r="66" spans="1:8">
      <c r="A66" s="884"/>
      <c r="B66" s="885" t="s">
        <v>701</v>
      </c>
      <c r="C66" s="885" t="s">
        <v>140</v>
      </c>
      <c r="D66" s="888">
        <v>-613827.47000000009</v>
      </c>
      <c r="E66" s="30" t="s">
        <v>141</v>
      </c>
      <c r="F66" s="33">
        <f t="shared" si="0"/>
        <v>1</v>
      </c>
      <c r="G66" s="889">
        <f t="shared" si="1"/>
        <v>-613827.47000000009</v>
      </c>
    </row>
    <row r="67" spans="1:8">
      <c r="A67" s="884"/>
      <c r="B67" s="885" t="s">
        <v>701</v>
      </c>
      <c r="C67" s="885" t="s">
        <v>140</v>
      </c>
      <c r="D67" s="888">
        <v>-52118.499999999985</v>
      </c>
      <c r="E67" s="30" t="s">
        <v>450</v>
      </c>
      <c r="F67" s="33">
        <f t="shared" si="0"/>
        <v>0</v>
      </c>
      <c r="G67" s="889">
        <f t="shared" si="1"/>
        <v>0</v>
      </c>
    </row>
    <row r="68" spans="1:8">
      <c r="A68" s="884"/>
      <c r="B68" s="885"/>
      <c r="C68" s="885"/>
      <c r="D68" s="414">
        <f>SUM(D46:D67)</f>
        <v>514441.41000000073</v>
      </c>
      <c r="E68" s="405"/>
      <c r="F68" s="412"/>
      <c r="G68" s="414">
        <f>SUM(G46:G67)</f>
        <v>306135.44787366805</v>
      </c>
    </row>
    <row r="69" spans="1:8">
      <c r="A69" s="884"/>
      <c r="B69" s="885"/>
      <c r="C69" s="885"/>
      <c r="D69" s="885"/>
      <c r="E69" s="885"/>
      <c r="F69" s="885"/>
      <c r="G69" s="885"/>
    </row>
    <row r="70" spans="1:8" ht="13.5" thickBot="1">
      <c r="D70" s="640">
        <f>D68+D44+D39+D34+D28+D19+D14</f>
        <v>5.9662852436304092E-9</v>
      </c>
      <c r="G70" s="640">
        <f>G68+G44+G39+G34+G28+G19+G14</f>
        <v>215352.2102726177</v>
      </c>
    </row>
    <row r="71" spans="1:8" ht="13.5" thickTop="1"/>
    <row r="72" spans="1:8">
      <c r="A72" s="893" t="s">
        <v>145</v>
      </c>
    </row>
    <row r="73" spans="1:8" s="29" customFormat="1" ht="12.6" customHeight="1">
      <c r="A73" s="1409" t="s">
        <v>702</v>
      </c>
      <c r="B73" s="1409"/>
      <c r="C73" s="1409"/>
      <c r="D73" s="1409"/>
      <c r="E73" s="1409"/>
      <c r="F73" s="1409"/>
      <c r="G73" s="1409"/>
    </row>
    <row r="74" spans="1:8" s="29" customFormat="1" ht="12.6" customHeight="1">
      <c r="A74" s="1409"/>
      <c r="B74" s="1409"/>
      <c r="C74" s="1409"/>
      <c r="D74" s="1409"/>
      <c r="E74" s="1409"/>
      <c r="F74" s="1409"/>
      <c r="G74" s="1409"/>
      <c r="H74" s="1321"/>
    </row>
    <row r="75" spans="1:8" s="29" customFormat="1" ht="12.6" customHeight="1">
      <c r="A75" s="1409"/>
      <c r="B75" s="1409"/>
      <c r="C75" s="1409"/>
      <c r="D75" s="1409"/>
      <c r="E75" s="1409"/>
      <c r="F75" s="1409"/>
      <c r="G75" s="1409"/>
      <c r="H75" s="1321"/>
    </row>
    <row r="76" spans="1:8" s="29" customFormat="1">
      <c r="A76" s="1321"/>
      <c r="B76" s="1321"/>
      <c r="C76" s="1321"/>
      <c r="D76" s="1321"/>
      <c r="E76" s="1321"/>
      <c r="F76" s="1321"/>
      <c r="G76" s="1321"/>
      <c r="H76" s="1321"/>
    </row>
    <row r="77" spans="1:8" s="29" customFormat="1">
      <c r="A77" s="1321"/>
      <c r="B77" s="1321"/>
      <c r="C77" s="1321"/>
      <c r="D77" s="1321"/>
      <c r="E77" s="1321"/>
      <c r="F77" s="1321"/>
      <c r="G77" s="1321"/>
      <c r="H77" s="1321"/>
    </row>
    <row r="78" spans="1:8" s="29" customFormat="1">
      <c r="F78" s="253"/>
      <c r="G78" s="156"/>
    </row>
    <row r="79" spans="1:8" s="29" customFormat="1">
      <c r="F79" s="253"/>
      <c r="G79" s="156"/>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H363"/>
  <sheetViews>
    <sheetView workbookViewId="0">
      <selection activeCell="F16" sqref="F16"/>
    </sheetView>
  </sheetViews>
  <sheetFormatPr defaultRowHeight="12.75"/>
  <cols>
    <col min="1" max="1" width="27.140625" style="372" customWidth="1"/>
    <col min="2" max="2" width="9.7109375" style="372" bestFit="1" customWidth="1"/>
    <col min="3" max="3" width="5.42578125" style="372" bestFit="1" customWidth="1"/>
    <col min="4" max="4" width="11.42578125" style="372" bestFit="1" customWidth="1"/>
    <col min="5" max="5" width="8" style="372" bestFit="1" customWidth="1"/>
    <col min="6" max="6" width="10" style="372" bestFit="1" customWidth="1"/>
    <col min="7" max="7" width="14.7109375" style="372" bestFit="1" customWidth="1"/>
    <col min="8" max="8" width="7.85546875" style="372" customWidth="1"/>
    <col min="9" max="15" width="10" style="372" customWidth="1"/>
    <col min="16" max="16" width="11" style="372" bestFit="1" customWidth="1"/>
    <col min="17" max="21" width="10" style="372" customWidth="1"/>
    <col min="22" max="22" width="3.28515625" style="372" customWidth="1"/>
    <col min="23" max="23" width="5.140625" style="372" customWidth="1"/>
    <col min="24" max="254" width="10" style="372"/>
    <col min="255" max="255" width="2.5703125" style="372" customWidth="1"/>
    <col min="256" max="256" width="8.85546875" style="372" customWidth="1"/>
    <col min="257" max="257" width="23.5703125" style="372" customWidth="1"/>
    <col min="258" max="258" width="9.7109375" style="372" customWidth="1"/>
    <col min="259" max="259" width="4.7109375" style="372" customWidth="1"/>
    <col min="260" max="260" width="14.42578125" style="372" customWidth="1"/>
    <col min="261" max="261" width="9.85546875" style="372" customWidth="1"/>
    <col min="262" max="262" width="10.28515625" style="372" customWidth="1"/>
    <col min="263" max="264" width="11" style="372" bestFit="1" customWidth="1"/>
    <col min="265" max="271" width="10" style="372" customWidth="1"/>
    <col min="272" max="272" width="11" style="372" bestFit="1" customWidth="1"/>
    <col min="273" max="277" width="10" style="372" customWidth="1"/>
    <col min="278" max="278" width="3.28515625" style="372" customWidth="1"/>
    <col min="279" max="279" width="5.140625" style="372" customWidth="1"/>
    <col min="280" max="510" width="10" style="372"/>
    <col min="511" max="511" width="2.5703125" style="372" customWidth="1"/>
    <col min="512" max="512" width="8.85546875" style="372" customWidth="1"/>
    <col min="513" max="513" width="23.5703125" style="372" customWidth="1"/>
    <col min="514" max="514" width="9.7109375" style="372" customWidth="1"/>
    <col min="515" max="515" width="4.7109375" style="372" customWidth="1"/>
    <col min="516" max="516" width="14.42578125" style="372" customWidth="1"/>
    <col min="517" max="517" width="9.85546875" style="372" customWidth="1"/>
    <col min="518" max="518" width="10.28515625" style="372" customWidth="1"/>
    <col min="519" max="520" width="11" style="372" bestFit="1" customWidth="1"/>
    <col min="521" max="527" width="10" style="372" customWidth="1"/>
    <col min="528" max="528" width="11" style="372" bestFit="1" customWidth="1"/>
    <col min="529" max="533" width="10" style="372" customWidth="1"/>
    <col min="534" max="534" width="3.28515625" style="372" customWidth="1"/>
    <col min="535" max="535" width="5.140625" style="372" customWidth="1"/>
    <col min="536" max="766" width="10" style="372"/>
    <col min="767" max="767" width="2.5703125" style="372" customWidth="1"/>
    <col min="768" max="768" width="8.85546875" style="372" customWidth="1"/>
    <col min="769" max="769" width="23.5703125" style="372" customWidth="1"/>
    <col min="770" max="770" width="9.7109375" style="372" customWidth="1"/>
    <col min="771" max="771" width="4.7109375" style="372" customWidth="1"/>
    <col min="772" max="772" width="14.42578125" style="372" customWidth="1"/>
    <col min="773" max="773" width="9.85546875" style="372" customWidth="1"/>
    <col min="774" max="774" width="10.28515625" style="372" customWidth="1"/>
    <col min="775" max="776" width="11" style="372" bestFit="1" customWidth="1"/>
    <col min="777" max="783" width="10" style="372" customWidth="1"/>
    <col min="784" max="784" width="11" style="372" bestFit="1" customWidth="1"/>
    <col min="785" max="789" width="10" style="372" customWidth="1"/>
    <col min="790" max="790" width="3.28515625" style="372" customWidth="1"/>
    <col min="791" max="791" width="5.140625" style="372" customWidth="1"/>
    <col min="792" max="1022" width="9.140625" style="372"/>
    <col min="1023" max="1023" width="2.5703125" style="372" customWidth="1"/>
    <col min="1024" max="1024" width="8.85546875" style="372" customWidth="1"/>
    <col min="1025" max="1025" width="23.5703125" style="372" customWidth="1"/>
    <col min="1026" max="1026" width="9.7109375" style="372" customWidth="1"/>
    <col min="1027" max="1027" width="4.7109375" style="372" customWidth="1"/>
    <col min="1028" max="1028" width="14.42578125" style="372" customWidth="1"/>
    <col min="1029" max="1029" width="9.85546875" style="372" customWidth="1"/>
    <col min="1030" max="1030" width="10.28515625" style="372" customWidth="1"/>
    <col min="1031" max="1032" width="11" style="372" bestFit="1" customWidth="1"/>
    <col min="1033" max="1039" width="10" style="372" customWidth="1"/>
    <col min="1040" max="1040" width="11" style="372" bestFit="1" customWidth="1"/>
    <col min="1041" max="1045" width="10" style="372" customWidth="1"/>
    <col min="1046" max="1046" width="3.28515625" style="372" customWidth="1"/>
    <col min="1047" max="1047" width="5.140625" style="372" customWidth="1"/>
    <col min="1048" max="1278" width="10" style="372"/>
    <col min="1279" max="1279" width="2.5703125" style="372" customWidth="1"/>
    <col min="1280" max="1280" width="8.85546875" style="372" customWidth="1"/>
    <col min="1281" max="1281" width="23.5703125" style="372" customWidth="1"/>
    <col min="1282" max="1282" width="9.7109375" style="372" customWidth="1"/>
    <col min="1283" max="1283" width="4.7109375" style="372" customWidth="1"/>
    <col min="1284" max="1284" width="14.42578125" style="372" customWidth="1"/>
    <col min="1285" max="1285" width="9.85546875" style="372" customWidth="1"/>
    <col min="1286" max="1286" width="10.28515625" style="372" customWidth="1"/>
    <col min="1287" max="1288" width="11" style="372" bestFit="1" customWidth="1"/>
    <col min="1289" max="1295" width="10" style="372" customWidth="1"/>
    <col min="1296" max="1296" width="11" style="372" bestFit="1" customWidth="1"/>
    <col min="1297" max="1301" width="10" style="372" customWidth="1"/>
    <col min="1302" max="1302" width="3.28515625" style="372" customWidth="1"/>
    <col min="1303" max="1303" width="5.140625" style="372" customWidth="1"/>
    <col min="1304" max="1534" width="10" style="372"/>
    <col min="1535" max="1535" width="2.5703125" style="372" customWidth="1"/>
    <col min="1536" max="1536" width="8.85546875" style="372" customWidth="1"/>
    <col min="1537" max="1537" width="23.5703125" style="372" customWidth="1"/>
    <col min="1538" max="1538" width="9.7109375" style="372" customWidth="1"/>
    <col min="1539" max="1539" width="4.7109375" style="372" customWidth="1"/>
    <col min="1540" max="1540" width="14.42578125" style="372" customWidth="1"/>
    <col min="1541" max="1541" width="9.85546875" style="372" customWidth="1"/>
    <col min="1542" max="1542" width="10.28515625" style="372" customWidth="1"/>
    <col min="1543" max="1544" width="11" style="372" bestFit="1" customWidth="1"/>
    <col min="1545" max="1551" width="10" style="372" customWidth="1"/>
    <col min="1552" max="1552" width="11" style="372" bestFit="1" customWidth="1"/>
    <col min="1553" max="1557" width="10" style="372" customWidth="1"/>
    <col min="1558" max="1558" width="3.28515625" style="372" customWidth="1"/>
    <col min="1559" max="1559" width="5.140625" style="372" customWidth="1"/>
    <col min="1560" max="1790" width="10" style="372"/>
    <col min="1791" max="1791" width="2.5703125" style="372" customWidth="1"/>
    <col min="1792" max="1792" width="8.85546875" style="372" customWidth="1"/>
    <col min="1793" max="1793" width="23.5703125" style="372" customWidth="1"/>
    <col min="1794" max="1794" width="9.7109375" style="372" customWidth="1"/>
    <col min="1795" max="1795" width="4.7109375" style="372" customWidth="1"/>
    <col min="1796" max="1796" width="14.42578125" style="372" customWidth="1"/>
    <col min="1797" max="1797" width="9.85546875" style="372" customWidth="1"/>
    <col min="1798" max="1798" width="10.28515625" style="372" customWidth="1"/>
    <col min="1799" max="1800" width="11" style="372" bestFit="1" customWidth="1"/>
    <col min="1801" max="1807" width="10" style="372" customWidth="1"/>
    <col min="1808" max="1808" width="11" style="372" bestFit="1" customWidth="1"/>
    <col min="1809" max="1813" width="10" style="372" customWidth="1"/>
    <col min="1814" max="1814" width="3.28515625" style="372" customWidth="1"/>
    <col min="1815" max="1815" width="5.140625" style="372" customWidth="1"/>
    <col min="1816" max="2046" width="9.140625" style="372"/>
    <col min="2047" max="2047" width="2.5703125" style="372" customWidth="1"/>
    <col min="2048" max="2048" width="8.85546875" style="372" customWidth="1"/>
    <col min="2049" max="2049" width="23.5703125" style="372" customWidth="1"/>
    <col min="2050" max="2050" width="9.7109375" style="372" customWidth="1"/>
    <col min="2051" max="2051" width="4.7109375" style="372" customWidth="1"/>
    <col min="2052" max="2052" width="14.42578125" style="372" customWidth="1"/>
    <col min="2053" max="2053" width="9.85546875" style="372" customWidth="1"/>
    <col min="2054" max="2054" width="10.28515625" style="372" customWidth="1"/>
    <col min="2055" max="2056" width="11" style="372" bestFit="1" customWidth="1"/>
    <col min="2057" max="2063" width="10" style="372" customWidth="1"/>
    <col min="2064" max="2064" width="11" style="372" bestFit="1" customWidth="1"/>
    <col min="2065" max="2069" width="10" style="372" customWidth="1"/>
    <col min="2070" max="2070" width="3.28515625" style="372" customWidth="1"/>
    <col min="2071" max="2071" width="5.140625" style="372" customWidth="1"/>
    <col min="2072" max="2302" width="10" style="372"/>
    <col min="2303" max="2303" width="2.5703125" style="372" customWidth="1"/>
    <col min="2304" max="2304" width="8.85546875" style="372" customWidth="1"/>
    <col min="2305" max="2305" width="23.5703125" style="372" customWidth="1"/>
    <col min="2306" max="2306" width="9.7109375" style="372" customWidth="1"/>
    <col min="2307" max="2307" width="4.7109375" style="372" customWidth="1"/>
    <col min="2308" max="2308" width="14.42578125" style="372" customWidth="1"/>
    <col min="2309" max="2309" width="9.85546875" style="372" customWidth="1"/>
    <col min="2310" max="2310" width="10.28515625" style="372" customWidth="1"/>
    <col min="2311" max="2312" width="11" style="372" bestFit="1" customWidth="1"/>
    <col min="2313" max="2319" width="10" style="372" customWidth="1"/>
    <col min="2320" max="2320" width="11" style="372" bestFit="1" customWidth="1"/>
    <col min="2321" max="2325" width="10" style="372" customWidth="1"/>
    <col min="2326" max="2326" width="3.28515625" style="372" customWidth="1"/>
    <col min="2327" max="2327" width="5.140625" style="372" customWidth="1"/>
    <col min="2328" max="2558" width="10" style="372"/>
    <col min="2559" max="2559" width="2.5703125" style="372" customWidth="1"/>
    <col min="2560" max="2560" width="8.85546875" style="372" customWidth="1"/>
    <col min="2561" max="2561" width="23.5703125" style="372" customWidth="1"/>
    <col min="2562" max="2562" width="9.7109375" style="372" customWidth="1"/>
    <col min="2563" max="2563" width="4.7109375" style="372" customWidth="1"/>
    <col min="2564" max="2564" width="14.42578125" style="372" customWidth="1"/>
    <col min="2565" max="2565" width="9.85546875" style="372" customWidth="1"/>
    <col min="2566" max="2566" width="10.28515625" style="372" customWidth="1"/>
    <col min="2567" max="2568" width="11" style="372" bestFit="1" customWidth="1"/>
    <col min="2569" max="2575" width="10" style="372" customWidth="1"/>
    <col min="2576" max="2576" width="11" style="372" bestFit="1" customWidth="1"/>
    <col min="2577" max="2581" width="10" style="372" customWidth="1"/>
    <col min="2582" max="2582" width="3.28515625" style="372" customWidth="1"/>
    <col min="2583" max="2583" width="5.140625" style="372" customWidth="1"/>
    <col min="2584" max="2814" width="10" style="372"/>
    <col min="2815" max="2815" width="2.5703125" style="372" customWidth="1"/>
    <col min="2816" max="2816" width="8.85546875" style="372" customWidth="1"/>
    <col min="2817" max="2817" width="23.5703125" style="372" customWidth="1"/>
    <col min="2818" max="2818" width="9.7109375" style="372" customWidth="1"/>
    <col min="2819" max="2819" width="4.7109375" style="372" customWidth="1"/>
    <col min="2820" max="2820" width="14.42578125" style="372" customWidth="1"/>
    <col min="2821" max="2821" width="9.85546875" style="372" customWidth="1"/>
    <col min="2822" max="2822" width="10.28515625" style="372" customWidth="1"/>
    <col min="2823" max="2824" width="11" style="372" bestFit="1" customWidth="1"/>
    <col min="2825" max="2831" width="10" style="372" customWidth="1"/>
    <col min="2832" max="2832" width="11" style="372" bestFit="1" customWidth="1"/>
    <col min="2833" max="2837" width="10" style="372" customWidth="1"/>
    <col min="2838" max="2838" width="3.28515625" style="372" customWidth="1"/>
    <col min="2839" max="2839" width="5.140625" style="372" customWidth="1"/>
    <col min="2840" max="3070" width="9.140625" style="372"/>
    <col min="3071" max="3071" width="2.5703125" style="372" customWidth="1"/>
    <col min="3072" max="3072" width="8.85546875" style="372" customWidth="1"/>
    <col min="3073" max="3073" width="23.5703125" style="372" customWidth="1"/>
    <col min="3074" max="3074" width="9.7109375" style="372" customWidth="1"/>
    <col min="3075" max="3075" width="4.7109375" style="372" customWidth="1"/>
    <col min="3076" max="3076" width="14.42578125" style="372" customWidth="1"/>
    <col min="3077" max="3077" width="9.85546875" style="372" customWidth="1"/>
    <col min="3078" max="3078" width="10.28515625" style="372" customWidth="1"/>
    <col min="3079" max="3080" width="11" style="372" bestFit="1" customWidth="1"/>
    <col min="3081" max="3087" width="10" style="372" customWidth="1"/>
    <col min="3088" max="3088" width="11" style="372" bestFit="1" customWidth="1"/>
    <col min="3089" max="3093" width="10" style="372" customWidth="1"/>
    <col min="3094" max="3094" width="3.28515625" style="372" customWidth="1"/>
    <col min="3095" max="3095" width="5.140625" style="372" customWidth="1"/>
    <col min="3096" max="3326" width="10" style="372"/>
    <col min="3327" max="3327" width="2.5703125" style="372" customWidth="1"/>
    <col min="3328" max="3328" width="8.85546875" style="372" customWidth="1"/>
    <col min="3329" max="3329" width="23.5703125" style="372" customWidth="1"/>
    <col min="3330" max="3330" width="9.7109375" style="372" customWidth="1"/>
    <col min="3331" max="3331" width="4.7109375" style="372" customWidth="1"/>
    <col min="3332" max="3332" width="14.42578125" style="372" customWidth="1"/>
    <col min="3333" max="3333" width="9.85546875" style="372" customWidth="1"/>
    <col min="3334" max="3334" width="10.28515625" style="372" customWidth="1"/>
    <col min="3335" max="3336" width="11" style="372" bestFit="1" customWidth="1"/>
    <col min="3337" max="3343" width="10" style="372" customWidth="1"/>
    <col min="3344" max="3344" width="11" style="372" bestFit="1" customWidth="1"/>
    <col min="3345" max="3349" width="10" style="372" customWidth="1"/>
    <col min="3350" max="3350" width="3.28515625" style="372" customWidth="1"/>
    <col min="3351" max="3351" width="5.140625" style="372" customWidth="1"/>
    <col min="3352" max="3582" width="10" style="372"/>
    <col min="3583" max="3583" width="2.5703125" style="372" customWidth="1"/>
    <col min="3584" max="3584" width="8.85546875" style="372" customWidth="1"/>
    <col min="3585" max="3585" width="23.5703125" style="372" customWidth="1"/>
    <col min="3586" max="3586" width="9.7109375" style="372" customWidth="1"/>
    <col min="3587" max="3587" width="4.7109375" style="372" customWidth="1"/>
    <col min="3588" max="3588" width="14.42578125" style="372" customWidth="1"/>
    <col min="3589" max="3589" width="9.85546875" style="372" customWidth="1"/>
    <col min="3590" max="3590" width="10.28515625" style="372" customWidth="1"/>
    <col min="3591" max="3592" width="11" style="372" bestFit="1" customWidth="1"/>
    <col min="3593" max="3599" width="10" style="372" customWidth="1"/>
    <col min="3600" max="3600" width="11" style="372" bestFit="1" customWidth="1"/>
    <col min="3601" max="3605" width="10" style="372" customWidth="1"/>
    <col min="3606" max="3606" width="3.28515625" style="372" customWidth="1"/>
    <col min="3607" max="3607" width="5.140625" style="372" customWidth="1"/>
    <col min="3608" max="3838" width="10" style="372"/>
    <col min="3839" max="3839" width="2.5703125" style="372" customWidth="1"/>
    <col min="3840" max="3840" width="8.85546875" style="372" customWidth="1"/>
    <col min="3841" max="3841" width="23.5703125" style="372" customWidth="1"/>
    <col min="3842" max="3842" width="9.7109375" style="372" customWidth="1"/>
    <col min="3843" max="3843" width="4.7109375" style="372" customWidth="1"/>
    <col min="3844" max="3844" width="14.42578125" style="372" customWidth="1"/>
    <col min="3845" max="3845" width="9.85546875" style="372" customWidth="1"/>
    <col min="3846" max="3846" width="10.28515625" style="372" customWidth="1"/>
    <col min="3847" max="3848" width="11" style="372" bestFit="1" customWidth="1"/>
    <col min="3849" max="3855" width="10" style="372" customWidth="1"/>
    <col min="3856" max="3856" width="11" style="372" bestFit="1" customWidth="1"/>
    <col min="3857" max="3861" width="10" style="372" customWidth="1"/>
    <col min="3862" max="3862" width="3.28515625" style="372" customWidth="1"/>
    <col min="3863" max="3863" width="5.140625" style="372" customWidth="1"/>
    <col min="3864" max="4094" width="9.140625" style="372"/>
    <col min="4095" max="4095" width="2.5703125" style="372" customWidth="1"/>
    <col min="4096" max="4096" width="8.85546875" style="372" customWidth="1"/>
    <col min="4097" max="4097" width="23.5703125" style="372" customWidth="1"/>
    <col min="4098" max="4098" width="9.7109375" style="372" customWidth="1"/>
    <col min="4099" max="4099" width="4.7109375" style="372" customWidth="1"/>
    <col min="4100" max="4100" width="14.42578125" style="372" customWidth="1"/>
    <col min="4101" max="4101" width="9.85546875" style="372" customWidth="1"/>
    <col min="4102" max="4102" width="10.28515625" style="372" customWidth="1"/>
    <col min="4103" max="4104" width="11" style="372" bestFit="1" customWidth="1"/>
    <col min="4105" max="4111" width="10" style="372" customWidth="1"/>
    <col min="4112" max="4112" width="11" style="372" bestFit="1" customWidth="1"/>
    <col min="4113" max="4117" width="10" style="372" customWidth="1"/>
    <col min="4118" max="4118" width="3.28515625" style="372" customWidth="1"/>
    <col min="4119" max="4119" width="5.140625" style="372" customWidth="1"/>
    <col min="4120" max="4350" width="10" style="372"/>
    <col min="4351" max="4351" width="2.5703125" style="372" customWidth="1"/>
    <col min="4352" max="4352" width="8.85546875" style="372" customWidth="1"/>
    <col min="4353" max="4353" width="23.5703125" style="372" customWidth="1"/>
    <col min="4354" max="4354" width="9.7109375" style="372" customWidth="1"/>
    <col min="4355" max="4355" width="4.7109375" style="372" customWidth="1"/>
    <col min="4356" max="4356" width="14.42578125" style="372" customWidth="1"/>
    <col min="4357" max="4357" width="9.85546875" style="372" customWidth="1"/>
    <col min="4358" max="4358" width="10.28515625" style="372" customWidth="1"/>
    <col min="4359" max="4360" width="11" style="372" bestFit="1" customWidth="1"/>
    <col min="4361" max="4367" width="10" style="372" customWidth="1"/>
    <col min="4368" max="4368" width="11" style="372" bestFit="1" customWidth="1"/>
    <col min="4369" max="4373" width="10" style="372" customWidth="1"/>
    <col min="4374" max="4374" width="3.28515625" style="372" customWidth="1"/>
    <col min="4375" max="4375" width="5.140625" style="372" customWidth="1"/>
    <col min="4376" max="4606" width="10" style="372"/>
    <col min="4607" max="4607" width="2.5703125" style="372" customWidth="1"/>
    <col min="4608" max="4608" width="8.85546875" style="372" customWidth="1"/>
    <col min="4609" max="4609" width="23.5703125" style="372" customWidth="1"/>
    <col min="4610" max="4610" width="9.7109375" style="372" customWidth="1"/>
    <col min="4611" max="4611" width="4.7109375" style="372" customWidth="1"/>
    <col min="4612" max="4612" width="14.42578125" style="372" customWidth="1"/>
    <col min="4613" max="4613" width="9.85546875" style="372" customWidth="1"/>
    <col min="4614" max="4614" width="10.28515625" style="372" customWidth="1"/>
    <col min="4615" max="4616" width="11" style="372" bestFit="1" customWidth="1"/>
    <col min="4617" max="4623" width="10" style="372" customWidth="1"/>
    <col min="4624" max="4624" width="11" style="372" bestFit="1" customWidth="1"/>
    <col min="4625" max="4629" width="10" style="372" customWidth="1"/>
    <col min="4630" max="4630" width="3.28515625" style="372" customWidth="1"/>
    <col min="4631" max="4631" width="5.140625" style="372" customWidth="1"/>
    <col min="4632" max="4862" width="10" style="372"/>
    <col min="4863" max="4863" width="2.5703125" style="372" customWidth="1"/>
    <col min="4864" max="4864" width="8.85546875" style="372" customWidth="1"/>
    <col min="4865" max="4865" width="23.5703125" style="372" customWidth="1"/>
    <col min="4866" max="4866" width="9.7109375" style="372" customWidth="1"/>
    <col min="4867" max="4867" width="4.7109375" style="372" customWidth="1"/>
    <col min="4868" max="4868" width="14.42578125" style="372" customWidth="1"/>
    <col min="4869" max="4869" width="9.85546875" style="372" customWidth="1"/>
    <col min="4870" max="4870" width="10.28515625" style="372" customWidth="1"/>
    <col min="4871" max="4872" width="11" style="372" bestFit="1" customWidth="1"/>
    <col min="4873" max="4879" width="10" style="372" customWidth="1"/>
    <col min="4880" max="4880" width="11" style="372" bestFit="1" customWidth="1"/>
    <col min="4881" max="4885" width="10" style="372" customWidth="1"/>
    <col min="4886" max="4886" width="3.28515625" style="372" customWidth="1"/>
    <col min="4887" max="4887" width="5.140625" style="372" customWidth="1"/>
    <col min="4888" max="5118" width="9.140625" style="372"/>
    <col min="5119" max="5119" width="2.5703125" style="372" customWidth="1"/>
    <col min="5120" max="5120" width="8.85546875" style="372" customWidth="1"/>
    <col min="5121" max="5121" width="23.5703125" style="372" customWidth="1"/>
    <col min="5122" max="5122" width="9.7109375" style="372" customWidth="1"/>
    <col min="5123" max="5123" width="4.7109375" style="372" customWidth="1"/>
    <col min="5124" max="5124" width="14.42578125" style="372" customWidth="1"/>
    <col min="5125" max="5125" width="9.85546875" style="372" customWidth="1"/>
    <col min="5126" max="5126" width="10.28515625" style="372" customWidth="1"/>
    <col min="5127" max="5128" width="11" style="372" bestFit="1" customWidth="1"/>
    <col min="5129" max="5135" width="10" style="372" customWidth="1"/>
    <col min="5136" max="5136" width="11" style="372" bestFit="1" customWidth="1"/>
    <col min="5137" max="5141" width="10" style="372" customWidth="1"/>
    <col min="5142" max="5142" width="3.28515625" style="372" customWidth="1"/>
    <col min="5143" max="5143" width="5.140625" style="372" customWidth="1"/>
    <col min="5144" max="5374" width="10" style="372"/>
    <col min="5375" max="5375" width="2.5703125" style="372" customWidth="1"/>
    <col min="5376" max="5376" width="8.85546875" style="372" customWidth="1"/>
    <col min="5377" max="5377" width="23.5703125" style="372" customWidth="1"/>
    <col min="5378" max="5378" width="9.7109375" style="372" customWidth="1"/>
    <col min="5379" max="5379" width="4.7109375" style="372" customWidth="1"/>
    <col min="5380" max="5380" width="14.42578125" style="372" customWidth="1"/>
    <col min="5381" max="5381" width="9.85546875" style="372" customWidth="1"/>
    <col min="5382" max="5382" width="10.28515625" style="372" customWidth="1"/>
    <col min="5383" max="5384" width="11" style="372" bestFit="1" customWidth="1"/>
    <col min="5385" max="5391" width="10" style="372" customWidth="1"/>
    <col min="5392" max="5392" width="11" style="372" bestFit="1" customWidth="1"/>
    <col min="5393" max="5397" width="10" style="372" customWidth="1"/>
    <col min="5398" max="5398" width="3.28515625" style="372" customWidth="1"/>
    <col min="5399" max="5399" width="5.140625" style="372" customWidth="1"/>
    <col min="5400" max="5630" width="10" style="372"/>
    <col min="5631" max="5631" width="2.5703125" style="372" customWidth="1"/>
    <col min="5632" max="5632" width="8.85546875" style="372" customWidth="1"/>
    <col min="5633" max="5633" width="23.5703125" style="372" customWidth="1"/>
    <col min="5634" max="5634" width="9.7109375" style="372" customWidth="1"/>
    <col min="5635" max="5635" width="4.7109375" style="372" customWidth="1"/>
    <col min="5636" max="5636" width="14.42578125" style="372" customWidth="1"/>
    <col min="5637" max="5637" width="9.85546875" style="372" customWidth="1"/>
    <col min="5638" max="5638" width="10.28515625" style="372" customWidth="1"/>
    <col min="5639" max="5640" width="11" style="372" bestFit="1" customWidth="1"/>
    <col min="5641" max="5647" width="10" style="372" customWidth="1"/>
    <col min="5648" max="5648" width="11" style="372" bestFit="1" customWidth="1"/>
    <col min="5649" max="5653" width="10" style="372" customWidth="1"/>
    <col min="5654" max="5654" width="3.28515625" style="372" customWidth="1"/>
    <col min="5655" max="5655" width="5.140625" style="372" customWidth="1"/>
    <col min="5656" max="5886" width="10" style="372"/>
    <col min="5887" max="5887" width="2.5703125" style="372" customWidth="1"/>
    <col min="5888" max="5888" width="8.85546875" style="372" customWidth="1"/>
    <col min="5889" max="5889" width="23.5703125" style="372" customWidth="1"/>
    <col min="5890" max="5890" width="9.7109375" style="372" customWidth="1"/>
    <col min="5891" max="5891" width="4.7109375" style="372" customWidth="1"/>
    <col min="5892" max="5892" width="14.42578125" style="372" customWidth="1"/>
    <col min="5893" max="5893" width="9.85546875" style="372" customWidth="1"/>
    <col min="5894" max="5894" width="10.28515625" style="372" customWidth="1"/>
    <col min="5895" max="5896" width="11" style="372" bestFit="1" customWidth="1"/>
    <col min="5897" max="5903" width="10" style="372" customWidth="1"/>
    <col min="5904" max="5904" width="11" style="372" bestFit="1" customWidth="1"/>
    <col min="5905" max="5909" width="10" style="372" customWidth="1"/>
    <col min="5910" max="5910" width="3.28515625" style="372" customWidth="1"/>
    <col min="5911" max="5911" width="5.140625" style="372" customWidth="1"/>
    <col min="5912" max="6142" width="9.140625" style="372"/>
    <col min="6143" max="6143" width="2.5703125" style="372" customWidth="1"/>
    <col min="6144" max="6144" width="8.85546875" style="372" customWidth="1"/>
    <col min="6145" max="6145" width="23.5703125" style="372" customWidth="1"/>
    <col min="6146" max="6146" width="9.7109375" style="372" customWidth="1"/>
    <col min="6147" max="6147" width="4.7109375" style="372" customWidth="1"/>
    <col min="6148" max="6148" width="14.42578125" style="372" customWidth="1"/>
    <col min="6149" max="6149" width="9.85546875" style="372" customWidth="1"/>
    <col min="6150" max="6150" width="10.28515625" style="372" customWidth="1"/>
    <col min="6151" max="6152" width="11" style="372" bestFit="1" customWidth="1"/>
    <col min="6153" max="6159" width="10" style="372" customWidth="1"/>
    <col min="6160" max="6160" width="11" style="372" bestFit="1" customWidth="1"/>
    <col min="6161" max="6165" width="10" style="372" customWidth="1"/>
    <col min="6166" max="6166" width="3.28515625" style="372" customWidth="1"/>
    <col min="6167" max="6167" width="5.140625" style="372" customWidth="1"/>
    <col min="6168" max="6398" width="10" style="372"/>
    <col min="6399" max="6399" width="2.5703125" style="372" customWidth="1"/>
    <col min="6400" max="6400" width="8.85546875" style="372" customWidth="1"/>
    <col min="6401" max="6401" width="23.5703125" style="372" customWidth="1"/>
    <col min="6402" max="6402" width="9.7109375" style="372" customWidth="1"/>
    <col min="6403" max="6403" width="4.7109375" style="372" customWidth="1"/>
    <col min="6404" max="6404" width="14.42578125" style="372" customWidth="1"/>
    <col min="6405" max="6405" width="9.85546875" style="372" customWidth="1"/>
    <col min="6406" max="6406" width="10.28515625" style="372" customWidth="1"/>
    <col min="6407" max="6408" width="11" style="372" bestFit="1" customWidth="1"/>
    <col min="6409" max="6415" width="10" style="372" customWidth="1"/>
    <col min="6416" max="6416" width="11" style="372" bestFit="1" customWidth="1"/>
    <col min="6417" max="6421" width="10" style="372" customWidth="1"/>
    <col min="6422" max="6422" width="3.28515625" style="372" customWidth="1"/>
    <col min="6423" max="6423" width="5.140625" style="372" customWidth="1"/>
    <col min="6424" max="6654" width="10" style="372"/>
    <col min="6655" max="6655" width="2.5703125" style="372" customWidth="1"/>
    <col min="6656" max="6656" width="8.85546875" style="372" customWidth="1"/>
    <col min="6657" max="6657" width="23.5703125" style="372" customWidth="1"/>
    <col min="6658" max="6658" width="9.7109375" style="372" customWidth="1"/>
    <col min="6659" max="6659" width="4.7109375" style="372" customWidth="1"/>
    <col min="6660" max="6660" width="14.42578125" style="372" customWidth="1"/>
    <col min="6661" max="6661" width="9.85546875" style="372" customWidth="1"/>
    <col min="6662" max="6662" width="10.28515625" style="372" customWidth="1"/>
    <col min="6663" max="6664" width="11" style="372" bestFit="1" customWidth="1"/>
    <col min="6665" max="6671" width="10" style="372" customWidth="1"/>
    <col min="6672" max="6672" width="11" style="372" bestFit="1" customWidth="1"/>
    <col min="6673" max="6677" width="10" style="372" customWidth="1"/>
    <col min="6678" max="6678" width="3.28515625" style="372" customWidth="1"/>
    <col min="6679" max="6679" width="5.140625" style="372" customWidth="1"/>
    <col min="6680" max="6910" width="10" style="372"/>
    <col min="6911" max="6911" width="2.5703125" style="372" customWidth="1"/>
    <col min="6912" max="6912" width="8.85546875" style="372" customWidth="1"/>
    <col min="6913" max="6913" width="23.5703125" style="372" customWidth="1"/>
    <col min="6914" max="6914" width="9.7109375" style="372" customWidth="1"/>
    <col min="6915" max="6915" width="4.7109375" style="372" customWidth="1"/>
    <col min="6916" max="6916" width="14.42578125" style="372" customWidth="1"/>
    <col min="6917" max="6917" width="9.85546875" style="372" customWidth="1"/>
    <col min="6918" max="6918" width="10.28515625" style="372" customWidth="1"/>
    <col min="6919" max="6920" width="11" style="372" bestFit="1" customWidth="1"/>
    <col min="6921" max="6927" width="10" style="372" customWidth="1"/>
    <col min="6928" max="6928" width="11" style="372" bestFit="1" customWidth="1"/>
    <col min="6929" max="6933" width="10" style="372" customWidth="1"/>
    <col min="6934" max="6934" width="3.28515625" style="372" customWidth="1"/>
    <col min="6935" max="6935" width="5.140625" style="372" customWidth="1"/>
    <col min="6936" max="7166" width="9.140625" style="372"/>
    <col min="7167" max="7167" width="2.5703125" style="372" customWidth="1"/>
    <col min="7168" max="7168" width="8.85546875" style="372" customWidth="1"/>
    <col min="7169" max="7169" width="23.5703125" style="372" customWidth="1"/>
    <col min="7170" max="7170" width="9.7109375" style="372" customWidth="1"/>
    <col min="7171" max="7171" width="4.7109375" style="372" customWidth="1"/>
    <col min="7172" max="7172" width="14.42578125" style="372" customWidth="1"/>
    <col min="7173" max="7173" width="9.85546875" style="372" customWidth="1"/>
    <col min="7174" max="7174" width="10.28515625" style="372" customWidth="1"/>
    <col min="7175" max="7176" width="11" style="372" bestFit="1" customWidth="1"/>
    <col min="7177" max="7183" width="10" style="372" customWidth="1"/>
    <col min="7184" max="7184" width="11" style="372" bestFit="1" customWidth="1"/>
    <col min="7185" max="7189" width="10" style="372" customWidth="1"/>
    <col min="7190" max="7190" width="3.28515625" style="372" customWidth="1"/>
    <col min="7191" max="7191" width="5.140625" style="372" customWidth="1"/>
    <col min="7192" max="7422" width="10" style="372"/>
    <col min="7423" max="7423" width="2.5703125" style="372" customWidth="1"/>
    <col min="7424" max="7424" width="8.85546875" style="372" customWidth="1"/>
    <col min="7425" max="7425" width="23.5703125" style="372" customWidth="1"/>
    <col min="7426" max="7426" width="9.7109375" style="372" customWidth="1"/>
    <col min="7427" max="7427" width="4.7109375" style="372" customWidth="1"/>
    <col min="7428" max="7428" width="14.42578125" style="372" customWidth="1"/>
    <col min="7429" max="7429" width="9.85546875" style="372" customWidth="1"/>
    <col min="7430" max="7430" width="10.28515625" style="372" customWidth="1"/>
    <col min="7431" max="7432" width="11" style="372" bestFit="1" customWidth="1"/>
    <col min="7433" max="7439" width="10" style="372" customWidth="1"/>
    <col min="7440" max="7440" width="11" style="372" bestFit="1" customWidth="1"/>
    <col min="7441" max="7445" width="10" style="372" customWidth="1"/>
    <col min="7446" max="7446" width="3.28515625" style="372" customWidth="1"/>
    <col min="7447" max="7447" width="5.140625" style="372" customWidth="1"/>
    <col min="7448" max="7678" width="10" style="372"/>
    <col min="7679" max="7679" width="2.5703125" style="372" customWidth="1"/>
    <col min="7680" max="7680" width="8.85546875" style="372" customWidth="1"/>
    <col min="7681" max="7681" width="23.5703125" style="372" customWidth="1"/>
    <col min="7682" max="7682" width="9.7109375" style="372" customWidth="1"/>
    <col min="7683" max="7683" width="4.7109375" style="372" customWidth="1"/>
    <col min="7684" max="7684" width="14.42578125" style="372" customWidth="1"/>
    <col min="7685" max="7685" width="9.85546875" style="372" customWidth="1"/>
    <col min="7686" max="7686" width="10.28515625" style="372" customWidth="1"/>
    <col min="7687" max="7688" width="11" style="372" bestFit="1" customWidth="1"/>
    <col min="7689" max="7695" width="10" style="372" customWidth="1"/>
    <col min="7696" max="7696" width="11" style="372" bestFit="1" customWidth="1"/>
    <col min="7697" max="7701" width="10" style="372" customWidth="1"/>
    <col min="7702" max="7702" width="3.28515625" style="372" customWidth="1"/>
    <col min="7703" max="7703" width="5.140625" style="372" customWidth="1"/>
    <col min="7704" max="7934" width="10" style="372"/>
    <col min="7935" max="7935" width="2.5703125" style="372" customWidth="1"/>
    <col min="7936" max="7936" width="8.85546875" style="372" customWidth="1"/>
    <col min="7937" max="7937" width="23.5703125" style="372" customWidth="1"/>
    <col min="7938" max="7938" width="9.7109375" style="372" customWidth="1"/>
    <col min="7939" max="7939" width="4.7109375" style="372" customWidth="1"/>
    <col min="7940" max="7940" width="14.42578125" style="372" customWidth="1"/>
    <col min="7941" max="7941" width="9.85546875" style="372" customWidth="1"/>
    <col min="7942" max="7942" width="10.28515625" style="372" customWidth="1"/>
    <col min="7943" max="7944" width="11" style="372" bestFit="1" customWidth="1"/>
    <col min="7945" max="7951" width="10" style="372" customWidth="1"/>
    <col min="7952" max="7952" width="11" style="372" bestFit="1" customWidth="1"/>
    <col min="7953" max="7957" width="10" style="372" customWidth="1"/>
    <col min="7958" max="7958" width="3.28515625" style="372" customWidth="1"/>
    <col min="7959" max="7959" width="5.140625" style="372" customWidth="1"/>
    <col min="7960" max="8190" width="9.140625" style="372"/>
    <col min="8191" max="8191" width="2.5703125" style="372" customWidth="1"/>
    <col min="8192" max="8192" width="8.85546875" style="372" customWidth="1"/>
    <col min="8193" max="8193" width="23.5703125" style="372" customWidth="1"/>
    <col min="8194" max="8194" width="9.7109375" style="372" customWidth="1"/>
    <col min="8195" max="8195" width="4.7109375" style="372" customWidth="1"/>
    <col min="8196" max="8196" width="14.42578125" style="372" customWidth="1"/>
    <col min="8197" max="8197" width="9.85546875" style="372" customWidth="1"/>
    <col min="8198" max="8198" width="10.28515625" style="372" customWidth="1"/>
    <col min="8199" max="8200" width="11" style="372" bestFit="1" customWidth="1"/>
    <col min="8201" max="8207" width="10" style="372" customWidth="1"/>
    <col min="8208" max="8208" width="11" style="372" bestFit="1" customWidth="1"/>
    <col min="8209" max="8213" width="10" style="372" customWidth="1"/>
    <col min="8214" max="8214" width="3.28515625" style="372" customWidth="1"/>
    <col min="8215" max="8215" width="5.140625" style="372" customWidth="1"/>
    <col min="8216" max="8446" width="10" style="372"/>
    <col min="8447" max="8447" width="2.5703125" style="372" customWidth="1"/>
    <col min="8448" max="8448" width="8.85546875" style="372" customWidth="1"/>
    <col min="8449" max="8449" width="23.5703125" style="372" customWidth="1"/>
    <col min="8450" max="8450" width="9.7109375" style="372" customWidth="1"/>
    <col min="8451" max="8451" width="4.7109375" style="372" customWidth="1"/>
    <col min="8452" max="8452" width="14.42578125" style="372" customWidth="1"/>
    <col min="8453" max="8453" width="9.85546875" style="372" customWidth="1"/>
    <col min="8454" max="8454" width="10.28515625" style="372" customWidth="1"/>
    <col min="8455" max="8456" width="11" style="372" bestFit="1" customWidth="1"/>
    <col min="8457" max="8463" width="10" style="372" customWidth="1"/>
    <col min="8464" max="8464" width="11" style="372" bestFit="1" customWidth="1"/>
    <col min="8465" max="8469" width="10" style="372" customWidth="1"/>
    <col min="8470" max="8470" width="3.28515625" style="372" customWidth="1"/>
    <col min="8471" max="8471" width="5.140625" style="372" customWidth="1"/>
    <col min="8472" max="8702" width="10" style="372"/>
    <col min="8703" max="8703" width="2.5703125" style="372" customWidth="1"/>
    <col min="8704" max="8704" width="8.85546875" style="372" customWidth="1"/>
    <col min="8705" max="8705" width="23.5703125" style="372" customWidth="1"/>
    <col min="8706" max="8706" width="9.7109375" style="372" customWidth="1"/>
    <col min="8707" max="8707" width="4.7109375" style="372" customWidth="1"/>
    <col min="8708" max="8708" width="14.42578125" style="372" customWidth="1"/>
    <col min="8709" max="8709" width="9.85546875" style="372" customWidth="1"/>
    <col min="8710" max="8710" width="10.28515625" style="372" customWidth="1"/>
    <col min="8711" max="8712" width="11" style="372" bestFit="1" customWidth="1"/>
    <col min="8713" max="8719" width="10" style="372" customWidth="1"/>
    <col min="8720" max="8720" width="11" style="372" bestFit="1" customWidth="1"/>
    <col min="8721" max="8725" width="10" style="372" customWidth="1"/>
    <col min="8726" max="8726" width="3.28515625" style="372" customWidth="1"/>
    <col min="8727" max="8727" width="5.140625" style="372" customWidth="1"/>
    <col min="8728" max="8958" width="10" style="372"/>
    <col min="8959" max="8959" width="2.5703125" style="372" customWidth="1"/>
    <col min="8960" max="8960" width="8.85546875" style="372" customWidth="1"/>
    <col min="8961" max="8961" width="23.5703125" style="372" customWidth="1"/>
    <col min="8962" max="8962" width="9.7109375" style="372" customWidth="1"/>
    <col min="8963" max="8963" width="4.7109375" style="372" customWidth="1"/>
    <col min="8964" max="8964" width="14.42578125" style="372" customWidth="1"/>
    <col min="8965" max="8965" width="9.85546875" style="372" customWidth="1"/>
    <col min="8966" max="8966" width="10.28515625" style="372" customWidth="1"/>
    <col min="8967" max="8968" width="11" style="372" bestFit="1" customWidth="1"/>
    <col min="8969" max="8975" width="10" style="372" customWidth="1"/>
    <col min="8976" max="8976" width="11" style="372" bestFit="1" customWidth="1"/>
    <col min="8977" max="8981" width="10" style="372" customWidth="1"/>
    <col min="8982" max="8982" width="3.28515625" style="372" customWidth="1"/>
    <col min="8983" max="8983" width="5.140625" style="372" customWidth="1"/>
    <col min="8984" max="9214" width="9.140625" style="372"/>
    <col min="9215" max="9215" width="2.5703125" style="372" customWidth="1"/>
    <col min="9216" max="9216" width="8.85546875" style="372" customWidth="1"/>
    <col min="9217" max="9217" width="23.5703125" style="372" customWidth="1"/>
    <col min="9218" max="9218" width="9.7109375" style="372" customWidth="1"/>
    <col min="9219" max="9219" width="4.7109375" style="372" customWidth="1"/>
    <col min="9220" max="9220" width="14.42578125" style="372" customWidth="1"/>
    <col min="9221" max="9221" width="9.85546875" style="372" customWidth="1"/>
    <col min="9222" max="9222" width="10.28515625" style="372" customWidth="1"/>
    <col min="9223" max="9224" width="11" style="372" bestFit="1" customWidth="1"/>
    <col min="9225" max="9231" width="10" style="372" customWidth="1"/>
    <col min="9232" max="9232" width="11" style="372" bestFit="1" customWidth="1"/>
    <col min="9233" max="9237" width="10" style="372" customWidth="1"/>
    <col min="9238" max="9238" width="3.28515625" style="372" customWidth="1"/>
    <col min="9239" max="9239" width="5.140625" style="372" customWidth="1"/>
    <col min="9240" max="9470" width="10" style="372"/>
    <col min="9471" max="9471" width="2.5703125" style="372" customWidth="1"/>
    <col min="9472" max="9472" width="8.85546875" style="372" customWidth="1"/>
    <col min="9473" max="9473" width="23.5703125" style="372" customWidth="1"/>
    <col min="9474" max="9474" width="9.7109375" style="372" customWidth="1"/>
    <col min="9475" max="9475" width="4.7109375" style="372" customWidth="1"/>
    <col min="9476" max="9476" width="14.42578125" style="372" customWidth="1"/>
    <col min="9477" max="9477" width="9.85546875" style="372" customWidth="1"/>
    <col min="9478" max="9478" width="10.28515625" style="372" customWidth="1"/>
    <col min="9479" max="9480" width="11" style="372" bestFit="1" customWidth="1"/>
    <col min="9481" max="9487" width="10" style="372" customWidth="1"/>
    <col min="9488" max="9488" width="11" style="372" bestFit="1" customWidth="1"/>
    <col min="9489" max="9493" width="10" style="372" customWidth="1"/>
    <col min="9494" max="9494" width="3.28515625" style="372" customWidth="1"/>
    <col min="9495" max="9495" width="5.140625" style="372" customWidth="1"/>
    <col min="9496" max="9726" width="10" style="372"/>
    <col min="9727" max="9727" width="2.5703125" style="372" customWidth="1"/>
    <col min="9728" max="9728" width="8.85546875" style="372" customWidth="1"/>
    <col min="9729" max="9729" width="23.5703125" style="372" customWidth="1"/>
    <col min="9730" max="9730" width="9.7109375" style="372" customWidth="1"/>
    <col min="9731" max="9731" width="4.7109375" style="372" customWidth="1"/>
    <col min="9732" max="9732" width="14.42578125" style="372" customWidth="1"/>
    <col min="9733" max="9733" width="9.85546875" style="372" customWidth="1"/>
    <col min="9734" max="9734" width="10.28515625" style="372" customWidth="1"/>
    <col min="9735" max="9736" width="11" style="372" bestFit="1" customWidth="1"/>
    <col min="9737" max="9743" width="10" style="372" customWidth="1"/>
    <col min="9744" max="9744" width="11" style="372" bestFit="1" customWidth="1"/>
    <col min="9745" max="9749" width="10" style="372" customWidth="1"/>
    <col min="9750" max="9750" width="3.28515625" style="372" customWidth="1"/>
    <col min="9751" max="9751" width="5.140625" style="372" customWidth="1"/>
    <col min="9752" max="9982" width="10" style="372"/>
    <col min="9983" max="9983" width="2.5703125" style="372" customWidth="1"/>
    <col min="9984" max="9984" width="8.85546875" style="372" customWidth="1"/>
    <col min="9985" max="9985" width="23.5703125" style="372" customWidth="1"/>
    <col min="9986" max="9986" width="9.7109375" style="372" customWidth="1"/>
    <col min="9987" max="9987" width="4.7109375" style="372" customWidth="1"/>
    <col min="9988" max="9988" width="14.42578125" style="372" customWidth="1"/>
    <col min="9989" max="9989" width="9.85546875" style="372" customWidth="1"/>
    <col min="9990" max="9990" width="10.28515625" style="372" customWidth="1"/>
    <col min="9991" max="9992" width="11" style="372" bestFit="1" customWidth="1"/>
    <col min="9993" max="9999" width="10" style="372" customWidth="1"/>
    <col min="10000" max="10000" width="11" style="372" bestFit="1" customWidth="1"/>
    <col min="10001" max="10005" width="10" style="372" customWidth="1"/>
    <col min="10006" max="10006" width="3.28515625" style="372" customWidth="1"/>
    <col min="10007" max="10007" width="5.140625" style="372" customWidth="1"/>
    <col min="10008" max="10238" width="9.140625" style="372"/>
    <col min="10239" max="10239" width="2.5703125" style="372" customWidth="1"/>
    <col min="10240" max="10240" width="8.85546875" style="372" customWidth="1"/>
    <col min="10241" max="10241" width="23.5703125" style="372" customWidth="1"/>
    <col min="10242" max="10242" width="9.7109375" style="372" customWidth="1"/>
    <col min="10243" max="10243" width="4.7109375" style="372" customWidth="1"/>
    <col min="10244" max="10244" width="14.42578125" style="372" customWidth="1"/>
    <col min="10245" max="10245" width="9.85546875" style="372" customWidth="1"/>
    <col min="10246" max="10246" width="10.28515625" style="372" customWidth="1"/>
    <col min="10247" max="10248" width="11" style="372" bestFit="1" customWidth="1"/>
    <col min="10249" max="10255" width="10" style="372" customWidth="1"/>
    <col min="10256" max="10256" width="11" style="372" bestFit="1" customWidth="1"/>
    <col min="10257" max="10261" width="10" style="372" customWidth="1"/>
    <col min="10262" max="10262" width="3.28515625" style="372" customWidth="1"/>
    <col min="10263" max="10263" width="5.140625" style="372" customWidth="1"/>
    <col min="10264" max="10494" width="10" style="372"/>
    <col min="10495" max="10495" width="2.5703125" style="372" customWidth="1"/>
    <col min="10496" max="10496" width="8.85546875" style="372" customWidth="1"/>
    <col min="10497" max="10497" width="23.5703125" style="372" customWidth="1"/>
    <col min="10498" max="10498" width="9.7109375" style="372" customWidth="1"/>
    <col min="10499" max="10499" width="4.7109375" style="372" customWidth="1"/>
    <col min="10500" max="10500" width="14.42578125" style="372" customWidth="1"/>
    <col min="10501" max="10501" width="9.85546875" style="372" customWidth="1"/>
    <col min="10502" max="10502" width="10.28515625" style="372" customWidth="1"/>
    <col min="10503" max="10504" width="11" style="372" bestFit="1" customWidth="1"/>
    <col min="10505" max="10511" width="10" style="372" customWidth="1"/>
    <col min="10512" max="10512" width="11" style="372" bestFit="1" customWidth="1"/>
    <col min="10513" max="10517" width="10" style="372" customWidth="1"/>
    <col min="10518" max="10518" width="3.28515625" style="372" customWidth="1"/>
    <col min="10519" max="10519" width="5.140625" style="372" customWidth="1"/>
    <col min="10520" max="10750" width="10" style="372"/>
    <col min="10751" max="10751" width="2.5703125" style="372" customWidth="1"/>
    <col min="10752" max="10752" width="8.85546875" style="372" customWidth="1"/>
    <col min="10753" max="10753" width="23.5703125" style="372" customWidth="1"/>
    <col min="10754" max="10754" width="9.7109375" style="372" customWidth="1"/>
    <col min="10755" max="10755" width="4.7109375" style="372" customWidth="1"/>
    <col min="10756" max="10756" width="14.42578125" style="372" customWidth="1"/>
    <col min="10757" max="10757" width="9.85546875" style="372" customWidth="1"/>
    <col min="10758" max="10758" width="10.28515625" style="372" customWidth="1"/>
    <col min="10759" max="10760" width="11" style="372" bestFit="1" customWidth="1"/>
    <col min="10761" max="10767" width="10" style="372" customWidth="1"/>
    <col min="10768" max="10768" width="11" style="372" bestFit="1" customWidth="1"/>
    <col min="10769" max="10773" width="10" style="372" customWidth="1"/>
    <col min="10774" max="10774" width="3.28515625" style="372" customWidth="1"/>
    <col min="10775" max="10775" width="5.140625" style="372" customWidth="1"/>
    <col min="10776" max="11006" width="10" style="372"/>
    <col min="11007" max="11007" width="2.5703125" style="372" customWidth="1"/>
    <col min="11008" max="11008" width="8.85546875" style="372" customWidth="1"/>
    <col min="11009" max="11009" width="23.5703125" style="372" customWidth="1"/>
    <col min="11010" max="11010" width="9.7109375" style="372" customWidth="1"/>
    <col min="11011" max="11011" width="4.7109375" style="372" customWidth="1"/>
    <col min="11012" max="11012" width="14.42578125" style="372" customWidth="1"/>
    <col min="11013" max="11013" width="9.85546875" style="372" customWidth="1"/>
    <col min="11014" max="11014" width="10.28515625" style="372" customWidth="1"/>
    <col min="11015" max="11016" width="11" style="372" bestFit="1" customWidth="1"/>
    <col min="11017" max="11023" width="10" style="372" customWidth="1"/>
    <col min="11024" max="11024" width="11" style="372" bestFit="1" customWidth="1"/>
    <col min="11025" max="11029" width="10" style="372" customWidth="1"/>
    <col min="11030" max="11030" width="3.28515625" style="372" customWidth="1"/>
    <col min="11031" max="11031" width="5.140625" style="372" customWidth="1"/>
    <col min="11032" max="11262" width="9.140625" style="372"/>
    <col min="11263" max="11263" width="2.5703125" style="372" customWidth="1"/>
    <col min="11264" max="11264" width="8.85546875" style="372" customWidth="1"/>
    <col min="11265" max="11265" width="23.5703125" style="372" customWidth="1"/>
    <col min="11266" max="11266" width="9.7109375" style="372" customWidth="1"/>
    <col min="11267" max="11267" width="4.7109375" style="372" customWidth="1"/>
    <col min="11268" max="11268" width="14.42578125" style="372" customWidth="1"/>
    <col min="11269" max="11269" width="9.85546875" style="372" customWidth="1"/>
    <col min="11270" max="11270" width="10.28515625" style="372" customWidth="1"/>
    <col min="11271" max="11272" width="11" style="372" bestFit="1" customWidth="1"/>
    <col min="11273" max="11279" width="10" style="372" customWidth="1"/>
    <col min="11280" max="11280" width="11" style="372" bestFit="1" customWidth="1"/>
    <col min="11281" max="11285" width="10" style="372" customWidth="1"/>
    <col min="11286" max="11286" width="3.28515625" style="372" customWidth="1"/>
    <col min="11287" max="11287" width="5.140625" style="372" customWidth="1"/>
    <col min="11288" max="11518" width="10" style="372"/>
    <col min="11519" max="11519" width="2.5703125" style="372" customWidth="1"/>
    <col min="11520" max="11520" width="8.85546875" style="372" customWidth="1"/>
    <col min="11521" max="11521" width="23.5703125" style="372" customWidth="1"/>
    <col min="11522" max="11522" width="9.7109375" style="372" customWidth="1"/>
    <col min="11523" max="11523" width="4.7109375" style="372" customWidth="1"/>
    <col min="11524" max="11524" width="14.42578125" style="372" customWidth="1"/>
    <col min="11525" max="11525" width="9.85546875" style="372" customWidth="1"/>
    <col min="11526" max="11526" width="10.28515625" style="372" customWidth="1"/>
    <col min="11527" max="11528" width="11" style="372" bestFit="1" customWidth="1"/>
    <col min="11529" max="11535" width="10" style="372" customWidth="1"/>
    <col min="11536" max="11536" width="11" style="372" bestFit="1" customWidth="1"/>
    <col min="11537" max="11541" width="10" style="372" customWidth="1"/>
    <col min="11542" max="11542" width="3.28515625" style="372" customWidth="1"/>
    <col min="11543" max="11543" width="5.140625" style="372" customWidth="1"/>
    <col min="11544" max="11774" width="10" style="372"/>
    <col min="11775" max="11775" width="2.5703125" style="372" customWidth="1"/>
    <col min="11776" max="11776" width="8.85546875" style="372" customWidth="1"/>
    <col min="11777" max="11777" width="23.5703125" style="372" customWidth="1"/>
    <col min="11778" max="11778" width="9.7109375" style="372" customWidth="1"/>
    <col min="11779" max="11779" width="4.7109375" style="372" customWidth="1"/>
    <col min="11780" max="11780" width="14.42578125" style="372" customWidth="1"/>
    <col min="11781" max="11781" width="9.85546875" style="372" customWidth="1"/>
    <col min="11782" max="11782" width="10.28515625" style="372" customWidth="1"/>
    <col min="11783" max="11784" width="11" style="372" bestFit="1" customWidth="1"/>
    <col min="11785" max="11791" width="10" style="372" customWidth="1"/>
    <col min="11792" max="11792" width="11" style="372" bestFit="1" customWidth="1"/>
    <col min="11793" max="11797" width="10" style="372" customWidth="1"/>
    <col min="11798" max="11798" width="3.28515625" style="372" customWidth="1"/>
    <col min="11799" max="11799" width="5.140625" style="372" customWidth="1"/>
    <col min="11800" max="12030" width="10" style="372"/>
    <col min="12031" max="12031" width="2.5703125" style="372" customWidth="1"/>
    <col min="12032" max="12032" width="8.85546875" style="372" customWidth="1"/>
    <col min="12033" max="12033" width="23.5703125" style="372" customWidth="1"/>
    <col min="12034" max="12034" width="9.7109375" style="372" customWidth="1"/>
    <col min="12035" max="12035" width="4.7109375" style="372" customWidth="1"/>
    <col min="12036" max="12036" width="14.42578125" style="372" customWidth="1"/>
    <col min="12037" max="12037" width="9.85546875" style="372" customWidth="1"/>
    <col min="12038" max="12038" width="10.28515625" style="372" customWidth="1"/>
    <col min="12039" max="12040" width="11" style="372" bestFit="1" customWidth="1"/>
    <col min="12041" max="12047" width="10" style="372" customWidth="1"/>
    <col min="12048" max="12048" width="11" style="372" bestFit="1" customWidth="1"/>
    <col min="12049" max="12053" width="10" style="372" customWidth="1"/>
    <col min="12054" max="12054" width="3.28515625" style="372" customWidth="1"/>
    <col min="12055" max="12055" width="5.140625" style="372" customWidth="1"/>
    <col min="12056" max="12286" width="9.140625" style="372"/>
    <col min="12287" max="12287" width="2.5703125" style="372" customWidth="1"/>
    <col min="12288" max="12288" width="8.85546875" style="372" customWidth="1"/>
    <col min="12289" max="12289" width="23.5703125" style="372" customWidth="1"/>
    <col min="12290" max="12290" width="9.7109375" style="372" customWidth="1"/>
    <col min="12291" max="12291" width="4.7109375" style="372" customWidth="1"/>
    <col min="12292" max="12292" width="14.42578125" style="372" customWidth="1"/>
    <col min="12293" max="12293" width="9.85546875" style="372" customWidth="1"/>
    <col min="12294" max="12294" width="10.28515625" style="372" customWidth="1"/>
    <col min="12295" max="12296" width="11" style="372" bestFit="1" customWidth="1"/>
    <col min="12297" max="12303" width="10" style="372" customWidth="1"/>
    <col min="12304" max="12304" width="11" style="372" bestFit="1" customWidth="1"/>
    <col min="12305" max="12309" width="10" style="372" customWidth="1"/>
    <col min="12310" max="12310" width="3.28515625" style="372" customWidth="1"/>
    <col min="12311" max="12311" width="5.140625" style="372" customWidth="1"/>
    <col min="12312" max="12542" width="10" style="372"/>
    <col min="12543" max="12543" width="2.5703125" style="372" customWidth="1"/>
    <col min="12544" max="12544" width="8.85546875" style="372" customWidth="1"/>
    <col min="12545" max="12545" width="23.5703125" style="372" customWidth="1"/>
    <col min="12546" max="12546" width="9.7109375" style="372" customWidth="1"/>
    <col min="12547" max="12547" width="4.7109375" style="372" customWidth="1"/>
    <col min="12548" max="12548" width="14.42578125" style="372" customWidth="1"/>
    <col min="12549" max="12549" width="9.85546875" style="372" customWidth="1"/>
    <col min="12550" max="12550" width="10.28515625" style="372" customWidth="1"/>
    <col min="12551" max="12552" width="11" style="372" bestFit="1" customWidth="1"/>
    <col min="12553" max="12559" width="10" style="372" customWidth="1"/>
    <col min="12560" max="12560" width="11" style="372" bestFit="1" customWidth="1"/>
    <col min="12561" max="12565" width="10" style="372" customWidth="1"/>
    <col min="12566" max="12566" width="3.28515625" style="372" customWidth="1"/>
    <col min="12567" max="12567" width="5.140625" style="372" customWidth="1"/>
    <col min="12568" max="12798" width="10" style="372"/>
    <col min="12799" max="12799" width="2.5703125" style="372" customWidth="1"/>
    <col min="12800" max="12800" width="8.85546875" style="372" customWidth="1"/>
    <col min="12801" max="12801" width="23.5703125" style="372" customWidth="1"/>
    <col min="12802" max="12802" width="9.7109375" style="372" customWidth="1"/>
    <col min="12803" max="12803" width="4.7109375" style="372" customWidth="1"/>
    <col min="12804" max="12804" width="14.42578125" style="372" customWidth="1"/>
    <col min="12805" max="12805" width="9.85546875" style="372" customWidth="1"/>
    <col min="12806" max="12806" width="10.28515625" style="372" customWidth="1"/>
    <col min="12807" max="12808" width="11" style="372" bestFit="1" customWidth="1"/>
    <col min="12809" max="12815" width="10" style="372" customWidth="1"/>
    <col min="12816" max="12816" width="11" style="372" bestFit="1" customWidth="1"/>
    <col min="12817" max="12821" width="10" style="372" customWidth="1"/>
    <col min="12822" max="12822" width="3.28515625" style="372" customWidth="1"/>
    <col min="12823" max="12823" width="5.140625" style="372" customWidth="1"/>
    <col min="12824" max="13054" width="10" style="372"/>
    <col min="13055" max="13055" width="2.5703125" style="372" customWidth="1"/>
    <col min="13056" max="13056" width="8.85546875" style="372" customWidth="1"/>
    <col min="13057" max="13057" width="23.5703125" style="372" customWidth="1"/>
    <col min="13058" max="13058" width="9.7109375" style="372" customWidth="1"/>
    <col min="13059" max="13059" width="4.7109375" style="372" customWidth="1"/>
    <col min="13060" max="13060" width="14.42578125" style="372" customWidth="1"/>
    <col min="13061" max="13061" width="9.85546875" style="372" customWidth="1"/>
    <col min="13062" max="13062" width="10.28515625" style="372" customWidth="1"/>
    <col min="13063" max="13064" width="11" style="372" bestFit="1" customWidth="1"/>
    <col min="13065" max="13071" width="10" style="372" customWidth="1"/>
    <col min="13072" max="13072" width="11" style="372" bestFit="1" customWidth="1"/>
    <col min="13073" max="13077" width="10" style="372" customWidth="1"/>
    <col min="13078" max="13078" width="3.28515625" style="372" customWidth="1"/>
    <col min="13079" max="13079" width="5.140625" style="372" customWidth="1"/>
    <col min="13080" max="13310" width="9.140625" style="372"/>
    <col min="13311" max="13311" width="2.5703125" style="372" customWidth="1"/>
    <col min="13312" max="13312" width="8.85546875" style="372" customWidth="1"/>
    <col min="13313" max="13313" width="23.5703125" style="372" customWidth="1"/>
    <col min="13314" max="13314" width="9.7109375" style="372" customWidth="1"/>
    <col min="13315" max="13315" width="4.7109375" style="372" customWidth="1"/>
    <col min="13316" max="13316" width="14.42578125" style="372" customWidth="1"/>
    <col min="13317" max="13317" width="9.85546875" style="372" customWidth="1"/>
    <col min="13318" max="13318" width="10.28515625" style="372" customWidth="1"/>
    <col min="13319" max="13320" width="11" style="372" bestFit="1" customWidth="1"/>
    <col min="13321" max="13327" width="10" style="372" customWidth="1"/>
    <col min="13328" max="13328" width="11" style="372" bestFit="1" customWidth="1"/>
    <col min="13329" max="13333" width="10" style="372" customWidth="1"/>
    <col min="13334" max="13334" width="3.28515625" style="372" customWidth="1"/>
    <col min="13335" max="13335" width="5.140625" style="372" customWidth="1"/>
    <col min="13336" max="13566" width="10" style="372"/>
    <col min="13567" max="13567" width="2.5703125" style="372" customWidth="1"/>
    <col min="13568" max="13568" width="8.85546875" style="372" customWidth="1"/>
    <col min="13569" max="13569" width="23.5703125" style="372" customWidth="1"/>
    <col min="13570" max="13570" width="9.7109375" style="372" customWidth="1"/>
    <col min="13571" max="13571" width="4.7109375" style="372" customWidth="1"/>
    <col min="13572" max="13572" width="14.42578125" style="372" customWidth="1"/>
    <col min="13573" max="13573" width="9.85546875" style="372" customWidth="1"/>
    <col min="13574" max="13574" width="10.28515625" style="372" customWidth="1"/>
    <col min="13575" max="13576" width="11" style="372" bestFit="1" customWidth="1"/>
    <col min="13577" max="13583" width="10" style="372" customWidth="1"/>
    <col min="13584" max="13584" width="11" style="372" bestFit="1" customWidth="1"/>
    <col min="13585" max="13589" width="10" style="372" customWidth="1"/>
    <col min="13590" max="13590" width="3.28515625" style="372" customWidth="1"/>
    <col min="13591" max="13591" width="5.140625" style="372" customWidth="1"/>
    <col min="13592" max="13822" width="10" style="372"/>
    <col min="13823" max="13823" width="2.5703125" style="372" customWidth="1"/>
    <col min="13824" max="13824" width="8.85546875" style="372" customWidth="1"/>
    <col min="13825" max="13825" width="23.5703125" style="372" customWidth="1"/>
    <col min="13826" max="13826" width="9.7109375" style="372" customWidth="1"/>
    <col min="13827" max="13827" width="4.7109375" style="372" customWidth="1"/>
    <col min="13828" max="13828" width="14.42578125" style="372" customWidth="1"/>
    <col min="13829" max="13829" width="9.85546875" style="372" customWidth="1"/>
    <col min="13830" max="13830" width="10.28515625" style="372" customWidth="1"/>
    <col min="13831" max="13832" width="11" style="372" bestFit="1" customWidth="1"/>
    <col min="13833" max="13839" width="10" style="372" customWidth="1"/>
    <col min="13840" max="13840" width="11" style="372" bestFit="1" customWidth="1"/>
    <col min="13841" max="13845" width="10" style="372" customWidth="1"/>
    <col min="13846" max="13846" width="3.28515625" style="372" customWidth="1"/>
    <col min="13847" max="13847" width="5.140625" style="372" customWidth="1"/>
    <col min="13848" max="14078" width="10" style="372"/>
    <col min="14079" max="14079" width="2.5703125" style="372" customWidth="1"/>
    <col min="14080" max="14080" width="8.85546875" style="372" customWidth="1"/>
    <col min="14081" max="14081" width="23.5703125" style="372" customWidth="1"/>
    <col min="14082" max="14082" width="9.7109375" style="372" customWidth="1"/>
    <col min="14083" max="14083" width="4.7109375" style="372" customWidth="1"/>
    <col min="14084" max="14084" width="14.42578125" style="372" customWidth="1"/>
    <col min="14085" max="14085" width="9.85546875" style="372" customWidth="1"/>
    <col min="14086" max="14086" width="10.28515625" style="372" customWidth="1"/>
    <col min="14087" max="14088" width="11" style="372" bestFit="1" customWidth="1"/>
    <col min="14089" max="14095" width="10" style="372" customWidth="1"/>
    <col min="14096" max="14096" width="11" style="372" bestFit="1" customWidth="1"/>
    <col min="14097" max="14101" width="10" style="372" customWidth="1"/>
    <col min="14102" max="14102" width="3.28515625" style="372" customWidth="1"/>
    <col min="14103" max="14103" width="5.140625" style="372" customWidth="1"/>
    <col min="14104" max="14334" width="9.140625" style="372"/>
    <col min="14335" max="14335" width="2.5703125" style="372" customWidth="1"/>
    <col min="14336" max="14336" width="8.85546875" style="372" customWidth="1"/>
    <col min="14337" max="14337" width="23.5703125" style="372" customWidth="1"/>
    <col min="14338" max="14338" width="9.7109375" style="372" customWidth="1"/>
    <col min="14339" max="14339" width="4.7109375" style="372" customWidth="1"/>
    <col min="14340" max="14340" width="14.42578125" style="372" customWidth="1"/>
    <col min="14341" max="14341" width="9.85546875" style="372" customWidth="1"/>
    <col min="14342" max="14342" width="10.28515625" style="372" customWidth="1"/>
    <col min="14343" max="14344" width="11" style="372" bestFit="1" customWidth="1"/>
    <col min="14345" max="14351" width="10" style="372" customWidth="1"/>
    <col min="14352" max="14352" width="11" style="372" bestFit="1" customWidth="1"/>
    <col min="14353" max="14357" width="10" style="372" customWidth="1"/>
    <col min="14358" max="14358" width="3.28515625" style="372" customWidth="1"/>
    <col min="14359" max="14359" width="5.140625" style="372" customWidth="1"/>
    <col min="14360" max="14590" width="10" style="372"/>
    <col min="14591" max="14591" width="2.5703125" style="372" customWidth="1"/>
    <col min="14592" max="14592" width="8.85546875" style="372" customWidth="1"/>
    <col min="14593" max="14593" width="23.5703125" style="372" customWidth="1"/>
    <col min="14594" max="14594" width="9.7109375" style="372" customWidth="1"/>
    <col min="14595" max="14595" width="4.7109375" style="372" customWidth="1"/>
    <col min="14596" max="14596" width="14.42578125" style="372" customWidth="1"/>
    <col min="14597" max="14597" width="9.85546875" style="372" customWidth="1"/>
    <col min="14598" max="14598" width="10.28515625" style="372" customWidth="1"/>
    <col min="14599" max="14600" width="11" style="372" bestFit="1" customWidth="1"/>
    <col min="14601" max="14607" width="10" style="372" customWidth="1"/>
    <col min="14608" max="14608" width="11" style="372" bestFit="1" customWidth="1"/>
    <col min="14609" max="14613" width="10" style="372" customWidth="1"/>
    <col min="14614" max="14614" width="3.28515625" style="372" customWidth="1"/>
    <col min="14615" max="14615" width="5.140625" style="372" customWidth="1"/>
    <col min="14616" max="14846" width="10" style="372"/>
    <col min="14847" max="14847" width="2.5703125" style="372" customWidth="1"/>
    <col min="14848" max="14848" width="8.85546875" style="372" customWidth="1"/>
    <col min="14849" max="14849" width="23.5703125" style="372" customWidth="1"/>
    <col min="14850" max="14850" width="9.7109375" style="372" customWidth="1"/>
    <col min="14851" max="14851" width="4.7109375" style="372" customWidth="1"/>
    <col min="14852" max="14852" width="14.42578125" style="372" customWidth="1"/>
    <col min="14853" max="14853" width="9.85546875" style="372" customWidth="1"/>
    <col min="14854" max="14854" width="10.28515625" style="372" customWidth="1"/>
    <col min="14855" max="14856" width="11" style="372" bestFit="1" customWidth="1"/>
    <col min="14857" max="14863" width="10" style="372" customWidth="1"/>
    <col min="14864" max="14864" width="11" style="372" bestFit="1" customWidth="1"/>
    <col min="14865" max="14869" width="10" style="372" customWidth="1"/>
    <col min="14870" max="14870" width="3.28515625" style="372" customWidth="1"/>
    <col min="14871" max="14871" width="5.140625" style="372" customWidth="1"/>
    <col min="14872" max="15102" width="10" style="372"/>
    <col min="15103" max="15103" width="2.5703125" style="372" customWidth="1"/>
    <col min="15104" max="15104" width="8.85546875" style="372" customWidth="1"/>
    <col min="15105" max="15105" width="23.5703125" style="372" customWidth="1"/>
    <col min="15106" max="15106" width="9.7109375" style="372" customWidth="1"/>
    <col min="15107" max="15107" width="4.7109375" style="372" customWidth="1"/>
    <col min="15108" max="15108" width="14.42578125" style="372" customWidth="1"/>
    <col min="15109" max="15109" width="9.85546875" style="372" customWidth="1"/>
    <col min="15110" max="15110" width="10.28515625" style="372" customWidth="1"/>
    <col min="15111" max="15112" width="11" style="372" bestFit="1" customWidth="1"/>
    <col min="15113" max="15119" width="10" style="372" customWidth="1"/>
    <col min="15120" max="15120" width="11" style="372" bestFit="1" customWidth="1"/>
    <col min="15121" max="15125" width="10" style="372" customWidth="1"/>
    <col min="15126" max="15126" width="3.28515625" style="372" customWidth="1"/>
    <col min="15127" max="15127" width="5.140625" style="372" customWidth="1"/>
    <col min="15128" max="15358" width="9.140625" style="372"/>
    <col min="15359" max="15359" width="2.5703125" style="372" customWidth="1"/>
    <col min="15360" max="15360" width="8.85546875" style="372" customWidth="1"/>
    <col min="15361" max="15361" width="23.5703125" style="372" customWidth="1"/>
    <col min="15362" max="15362" width="9.7109375" style="372" customWidth="1"/>
    <col min="15363" max="15363" width="4.7109375" style="372" customWidth="1"/>
    <col min="15364" max="15364" width="14.42578125" style="372" customWidth="1"/>
    <col min="15365" max="15365" width="9.85546875" style="372" customWidth="1"/>
    <col min="15366" max="15366" width="10.28515625" style="372" customWidth="1"/>
    <col min="15367" max="15368" width="11" style="372" bestFit="1" customWidth="1"/>
    <col min="15369" max="15375" width="10" style="372" customWidth="1"/>
    <col min="15376" max="15376" width="11" style="372" bestFit="1" customWidth="1"/>
    <col min="15377" max="15381" width="10" style="372" customWidth="1"/>
    <col min="15382" max="15382" width="3.28515625" style="372" customWidth="1"/>
    <col min="15383" max="15383" width="5.140625" style="372" customWidth="1"/>
    <col min="15384" max="15614" width="10" style="372"/>
    <col min="15615" max="15615" width="2.5703125" style="372" customWidth="1"/>
    <col min="15616" max="15616" width="8.85546875" style="372" customWidth="1"/>
    <col min="15617" max="15617" width="23.5703125" style="372" customWidth="1"/>
    <col min="15618" max="15618" width="9.7109375" style="372" customWidth="1"/>
    <col min="15619" max="15619" width="4.7109375" style="372" customWidth="1"/>
    <col min="15620" max="15620" width="14.42578125" style="372" customWidth="1"/>
    <col min="15621" max="15621" width="9.85546875" style="372" customWidth="1"/>
    <col min="15622" max="15622" width="10.28515625" style="372" customWidth="1"/>
    <col min="15623" max="15624" width="11" style="372" bestFit="1" customWidth="1"/>
    <col min="15625" max="15631" width="10" style="372" customWidth="1"/>
    <col min="15632" max="15632" width="11" style="372" bestFit="1" customWidth="1"/>
    <col min="15633" max="15637" width="10" style="372" customWidth="1"/>
    <col min="15638" max="15638" width="3.28515625" style="372" customWidth="1"/>
    <col min="15639" max="15639" width="5.140625" style="372" customWidth="1"/>
    <col min="15640" max="15870" width="10" style="372"/>
    <col min="15871" max="15871" width="2.5703125" style="372" customWidth="1"/>
    <col min="15872" max="15872" width="8.85546875" style="372" customWidth="1"/>
    <col min="15873" max="15873" width="23.5703125" style="372" customWidth="1"/>
    <col min="15874" max="15874" width="9.7109375" style="372" customWidth="1"/>
    <col min="15875" max="15875" width="4.7109375" style="372" customWidth="1"/>
    <col min="15876" max="15876" width="14.42578125" style="372" customWidth="1"/>
    <col min="15877" max="15877" width="9.85546875" style="372" customWidth="1"/>
    <col min="15878" max="15878" width="10.28515625" style="372" customWidth="1"/>
    <col min="15879" max="15880" width="11" style="372" bestFit="1" customWidth="1"/>
    <col min="15881" max="15887" width="10" style="372" customWidth="1"/>
    <col min="15888" max="15888" width="11" style="372" bestFit="1" customWidth="1"/>
    <col min="15889" max="15893" width="10" style="372" customWidth="1"/>
    <col min="15894" max="15894" width="3.28515625" style="372" customWidth="1"/>
    <col min="15895" max="15895" width="5.140625" style="372" customWidth="1"/>
    <col min="15896" max="16126" width="10" style="372"/>
    <col min="16127" max="16127" width="2.5703125" style="372" customWidth="1"/>
    <col min="16128" max="16128" width="8.85546875" style="372" customWidth="1"/>
    <col min="16129" max="16129" width="23.5703125" style="372" customWidth="1"/>
    <col min="16130" max="16130" width="9.7109375" style="372" customWidth="1"/>
    <col min="16131" max="16131" width="4.7109375" style="372" customWidth="1"/>
    <col min="16132" max="16132" width="14.42578125" style="372" customWidth="1"/>
    <col min="16133" max="16133" width="9.85546875" style="372" customWidth="1"/>
    <col min="16134" max="16134" width="10.28515625" style="372" customWidth="1"/>
    <col min="16135" max="16136" width="11" style="372" bestFit="1" customWidth="1"/>
    <col min="16137" max="16143" width="10" style="372" customWidth="1"/>
    <col min="16144" max="16144" width="11" style="372" bestFit="1" customWidth="1"/>
    <col min="16145" max="16149" width="10" style="372" customWidth="1"/>
    <col min="16150" max="16150" width="3.28515625" style="372" customWidth="1"/>
    <col min="16151" max="16151" width="5.140625" style="372" customWidth="1"/>
    <col min="16152" max="16382" width="9.140625" style="372"/>
    <col min="16383" max="16384" width="9.140625" style="372" customWidth="1"/>
  </cols>
  <sheetData>
    <row r="1" spans="1:8">
      <c r="A1" s="17" t="str">
        <f>RevReqSummary!A1</f>
        <v>PacifiCorp General Rate Case UE-140617</v>
      </c>
      <c r="C1" s="373"/>
      <c r="D1" s="374"/>
      <c r="E1" s="373"/>
      <c r="F1" s="373"/>
      <c r="G1" s="376"/>
      <c r="H1" s="377"/>
    </row>
    <row r="2" spans="1:8">
      <c r="A2" s="17" t="str">
        <f>RevReqSummary!A2</f>
        <v>For The Twelve Months Ended December 2013 - Staff Revenue Requirement</v>
      </c>
      <c r="B2" s="373"/>
      <c r="C2" s="373"/>
      <c r="D2" s="374"/>
      <c r="E2" s="373"/>
      <c r="F2" s="373"/>
      <c r="G2" s="376"/>
      <c r="H2" s="376"/>
    </row>
    <row r="3" spans="1:8">
      <c r="A3" s="1062" t="s">
        <v>668</v>
      </c>
      <c r="B3" s="373"/>
      <c r="C3" s="373"/>
      <c r="D3" s="374"/>
      <c r="E3" s="373"/>
      <c r="F3" s="373"/>
      <c r="G3" s="376"/>
      <c r="H3" s="376"/>
    </row>
    <row r="4" spans="1:8">
      <c r="A4" s="379" t="s">
        <v>497</v>
      </c>
      <c r="B4" s="373"/>
      <c r="C4" s="373"/>
      <c r="D4" s="374"/>
      <c r="E4" s="373"/>
      <c r="F4" s="373"/>
      <c r="G4" s="376"/>
      <c r="H4" s="376"/>
    </row>
    <row r="5" spans="1:8" ht="12" customHeight="1">
      <c r="B5" s="373"/>
      <c r="C5" s="373"/>
      <c r="D5" s="374"/>
      <c r="E5" s="373"/>
      <c r="F5" s="373"/>
      <c r="G5" s="376"/>
      <c r="H5" s="376"/>
    </row>
    <row r="6" spans="1:8" ht="12" customHeight="1">
      <c r="B6" s="373"/>
      <c r="C6" s="373"/>
      <c r="D6" s="374" t="s">
        <v>131</v>
      </c>
      <c r="E6" s="373"/>
      <c r="F6" s="373"/>
      <c r="G6" s="376" t="s">
        <v>236</v>
      </c>
      <c r="H6" s="373"/>
    </row>
    <row r="7" spans="1:8" ht="12" customHeight="1">
      <c r="B7" s="380" t="s">
        <v>132</v>
      </c>
      <c r="C7" s="380" t="s">
        <v>660</v>
      </c>
      <c r="D7" s="381" t="s">
        <v>134</v>
      </c>
      <c r="E7" s="380" t="s">
        <v>135</v>
      </c>
      <c r="F7" s="380" t="s">
        <v>136</v>
      </c>
      <c r="G7" s="383" t="s">
        <v>137</v>
      </c>
      <c r="H7" s="380"/>
    </row>
    <row r="8" spans="1:8" ht="12" customHeight="1">
      <c r="A8" s="1063"/>
      <c r="B8" s="877"/>
      <c r="C8" s="877"/>
      <c r="D8" s="877"/>
      <c r="E8" s="877"/>
      <c r="F8" s="877"/>
      <c r="G8" s="31"/>
      <c r="H8" s="373"/>
    </row>
    <row r="9" spans="1:8" ht="15" customHeight="1">
      <c r="A9" s="379" t="s">
        <v>199</v>
      </c>
    </row>
    <row r="10" spans="1:8">
      <c r="A10" s="1065" t="s">
        <v>703</v>
      </c>
      <c r="B10" s="373">
        <v>903</v>
      </c>
      <c r="C10" s="372" t="s">
        <v>398</v>
      </c>
      <c r="D10" s="888">
        <v>-42060</v>
      </c>
      <c r="E10" s="30" t="s">
        <v>141</v>
      </c>
      <c r="F10" s="33">
        <f>INDEX(WCAAllocations,IFERROR(MATCH(E10,WCAFactors,0),2),IFERROR(MATCH(E10,WCAStates,0),4))</f>
        <v>1</v>
      </c>
      <c r="G10" s="1103">
        <v>0</v>
      </c>
    </row>
    <row r="11" spans="1:8">
      <c r="B11" s="1066"/>
      <c r="C11" s="1066"/>
      <c r="D11" s="31"/>
      <c r="E11" s="1066"/>
      <c r="F11" s="182"/>
      <c r="G11" s="1064"/>
    </row>
    <row r="12" spans="1:8">
      <c r="A12" s="875" t="s">
        <v>652</v>
      </c>
      <c r="B12" s="1066"/>
      <c r="C12" s="1066"/>
      <c r="D12" s="31"/>
      <c r="E12" s="1066"/>
      <c r="F12" s="182"/>
      <c r="G12" s="1064"/>
    </row>
    <row r="13" spans="1:8" ht="13.9" customHeight="1">
      <c r="A13" s="1410" t="s">
        <v>1063</v>
      </c>
      <c r="B13" s="1410"/>
      <c r="C13" s="1410"/>
      <c r="D13" s="1410"/>
      <c r="E13" s="1410"/>
      <c r="F13" s="1410"/>
      <c r="G13" s="1410"/>
    </row>
    <row r="14" spans="1:8">
      <c r="A14" s="1410"/>
      <c r="B14" s="1410"/>
      <c r="C14" s="1410"/>
      <c r="D14" s="1410"/>
      <c r="E14" s="1410"/>
      <c r="F14" s="1410"/>
      <c r="G14" s="1410"/>
    </row>
    <row r="15" spans="1:8">
      <c r="A15" s="1410"/>
      <c r="B15" s="1410"/>
      <c r="C15" s="1410"/>
      <c r="D15" s="1410"/>
      <c r="E15" s="1410"/>
      <c r="F15" s="1410"/>
      <c r="G15" s="1410"/>
    </row>
    <row r="16" spans="1:8">
      <c r="A16" s="1399" t="s">
        <v>1061</v>
      </c>
      <c r="B16" s="1399"/>
      <c r="C16" s="1399"/>
      <c r="D16" s="1399"/>
      <c r="E16" s="1399"/>
      <c r="F16" s="1399"/>
      <c r="G16" s="1399"/>
    </row>
    <row r="17" spans="1:7">
      <c r="A17" s="1399"/>
      <c r="B17" s="1399"/>
      <c r="C17" s="1399"/>
      <c r="D17" s="1399"/>
      <c r="E17" s="1399"/>
      <c r="F17" s="1399"/>
      <c r="G17" s="1399"/>
    </row>
    <row r="18" spans="1:7">
      <c r="A18" s="1399"/>
      <c r="B18" s="1399"/>
      <c r="C18" s="1399"/>
      <c r="D18" s="1399"/>
      <c r="E18" s="1399"/>
      <c r="F18" s="1399"/>
      <c r="G18" s="1399"/>
    </row>
    <row r="19" spans="1:7">
      <c r="A19" s="876"/>
      <c r="B19" s="876"/>
      <c r="C19" s="876"/>
      <c r="D19" s="876"/>
      <c r="E19" s="876"/>
      <c r="F19" s="876"/>
      <c r="G19" s="876"/>
    </row>
    <row r="20" spans="1:7">
      <c r="A20" s="876"/>
      <c r="B20" s="876"/>
      <c r="C20" s="876"/>
      <c r="D20" s="876"/>
      <c r="E20" s="876"/>
      <c r="F20" s="876"/>
      <c r="G20" s="876"/>
    </row>
    <row r="21" spans="1:7">
      <c r="A21" s="876"/>
      <c r="B21" s="876"/>
      <c r="C21" s="876"/>
      <c r="D21" s="876"/>
      <c r="E21" s="876"/>
      <c r="F21" s="876"/>
      <c r="G21" s="876"/>
    </row>
    <row r="22" spans="1:7">
      <c r="A22" s="876"/>
      <c r="B22" s="876"/>
      <c r="C22" s="876"/>
      <c r="D22" s="876"/>
      <c r="E22" s="876"/>
      <c r="F22" s="876"/>
      <c r="G22" s="876"/>
    </row>
    <row r="23" spans="1:7">
      <c r="A23" s="876"/>
      <c r="B23" s="876"/>
      <c r="C23" s="876"/>
      <c r="D23" s="876"/>
      <c r="E23" s="876"/>
      <c r="F23" s="876"/>
      <c r="G23" s="876"/>
    </row>
    <row r="24" spans="1:7">
      <c r="A24" s="876"/>
      <c r="B24" s="876"/>
      <c r="C24" s="876"/>
      <c r="D24" s="876"/>
      <c r="E24" s="876"/>
      <c r="F24" s="876"/>
      <c r="G24" s="876"/>
    </row>
    <row r="25" spans="1:7">
      <c r="A25" s="876"/>
      <c r="B25" s="876"/>
      <c r="C25" s="876"/>
      <c r="D25" s="876"/>
      <c r="E25" s="876"/>
      <c r="F25" s="876"/>
      <c r="G25" s="876"/>
    </row>
    <row r="26" spans="1:7">
      <c r="A26" s="876"/>
      <c r="B26" s="876"/>
      <c r="C26" s="876"/>
      <c r="D26" s="876"/>
      <c r="E26" s="876"/>
      <c r="F26" s="876"/>
      <c r="G26" s="876"/>
    </row>
    <row r="27" spans="1:7">
      <c r="A27" s="876"/>
      <c r="B27" s="876"/>
      <c r="C27" s="876"/>
      <c r="D27" s="876"/>
      <c r="E27" s="876"/>
      <c r="F27" s="876"/>
      <c r="G27" s="876"/>
    </row>
    <row r="28" spans="1:7">
      <c r="A28" s="876"/>
      <c r="B28" s="878"/>
      <c r="C28" s="876"/>
      <c r="D28" s="876"/>
      <c r="E28" s="878"/>
      <c r="F28" s="876"/>
      <c r="G28" s="876"/>
    </row>
    <row r="29" spans="1:7">
      <c r="B29" s="879"/>
    </row>
    <row r="30" spans="1:7">
      <c r="B30" s="879"/>
    </row>
    <row r="31" spans="1:7">
      <c r="B31" s="879"/>
    </row>
    <row r="32" spans="1:7">
      <c r="B32" s="879"/>
    </row>
    <row r="33" spans="2:2">
      <c r="B33" s="879"/>
    </row>
    <row r="34" spans="2:2">
      <c r="B34" s="879"/>
    </row>
    <row r="35" spans="2:2">
      <c r="B35" s="879"/>
    </row>
    <row r="36" spans="2:2">
      <c r="B36" s="879"/>
    </row>
    <row r="37" spans="2:2">
      <c r="B37" s="879"/>
    </row>
    <row r="38" spans="2:2">
      <c r="B38" s="879"/>
    </row>
    <row r="39" spans="2:2">
      <c r="B39" s="879"/>
    </row>
    <row r="40" spans="2:2">
      <c r="B40" s="879"/>
    </row>
    <row r="41" spans="2:2">
      <c r="B41" s="879"/>
    </row>
    <row r="42" spans="2:2">
      <c r="B42" s="879"/>
    </row>
    <row r="43" spans="2:2">
      <c r="B43" s="879"/>
    </row>
    <row r="44" spans="2:2">
      <c r="B44" s="879"/>
    </row>
    <row r="45" spans="2:2">
      <c r="B45" s="879"/>
    </row>
    <row r="46" spans="2:2">
      <c r="B46" s="879"/>
    </row>
    <row r="47" spans="2:2">
      <c r="B47" s="879"/>
    </row>
    <row r="48" spans="2:2">
      <c r="B48" s="879"/>
    </row>
    <row r="49" spans="2:2">
      <c r="B49" s="879"/>
    </row>
    <row r="50" spans="2:2">
      <c r="B50" s="879"/>
    </row>
    <row r="51" spans="2:2">
      <c r="B51" s="879"/>
    </row>
    <row r="52" spans="2:2">
      <c r="B52" s="879"/>
    </row>
    <row r="53" spans="2:2">
      <c r="B53" s="879"/>
    </row>
    <row r="54" spans="2:2">
      <c r="B54" s="879"/>
    </row>
    <row r="55" spans="2:2">
      <c r="B55" s="879"/>
    </row>
    <row r="56" spans="2:2">
      <c r="B56" s="879"/>
    </row>
    <row r="57" spans="2:2">
      <c r="B57" s="879"/>
    </row>
    <row r="58" spans="2:2">
      <c r="B58" s="879"/>
    </row>
    <row r="59" spans="2:2">
      <c r="B59" s="879"/>
    </row>
    <row r="60" spans="2:2">
      <c r="B60" s="879"/>
    </row>
    <row r="61" spans="2:2">
      <c r="B61" s="879"/>
    </row>
    <row r="62" spans="2:2">
      <c r="B62" s="879"/>
    </row>
    <row r="63" spans="2:2">
      <c r="B63" s="879"/>
    </row>
    <row r="64" spans="2:2">
      <c r="B64" s="879"/>
    </row>
    <row r="65" spans="2:2">
      <c r="B65" s="879"/>
    </row>
    <row r="66" spans="2:2">
      <c r="B66" s="879"/>
    </row>
    <row r="67" spans="2:2">
      <c r="B67" s="879"/>
    </row>
    <row r="68" spans="2:2">
      <c r="B68" s="879"/>
    </row>
    <row r="69" spans="2:2">
      <c r="B69" s="879"/>
    </row>
    <row r="70" spans="2:2">
      <c r="B70" s="879"/>
    </row>
    <row r="71" spans="2:2">
      <c r="B71" s="879"/>
    </row>
    <row r="72" spans="2:2">
      <c r="B72" s="879"/>
    </row>
    <row r="73" spans="2:2">
      <c r="B73" s="879"/>
    </row>
    <row r="74" spans="2:2">
      <c r="B74" s="879"/>
    </row>
    <row r="75" spans="2:2">
      <c r="B75" s="879"/>
    </row>
    <row r="76" spans="2:2">
      <c r="B76" s="879"/>
    </row>
    <row r="77" spans="2:2">
      <c r="B77" s="879"/>
    </row>
    <row r="78" spans="2:2">
      <c r="B78" s="879"/>
    </row>
    <row r="79" spans="2:2">
      <c r="B79" s="879"/>
    </row>
    <row r="80" spans="2:2">
      <c r="B80" s="879"/>
    </row>
    <row r="81" spans="2:2">
      <c r="B81" s="879"/>
    </row>
    <row r="82" spans="2:2">
      <c r="B82" s="879"/>
    </row>
    <row r="83" spans="2:2">
      <c r="B83" s="879"/>
    </row>
    <row r="84" spans="2:2">
      <c r="B84" s="879"/>
    </row>
    <row r="85" spans="2:2">
      <c r="B85" s="879"/>
    </row>
    <row r="86" spans="2:2">
      <c r="B86" s="879"/>
    </row>
    <row r="87" spans="2:2">
      <c r="B87" s="879"/>
    </row>
    <row r="88" spans="2:2">
      <c r="B88" s="879"/>
    </row>
    <row r="89" spans="2:2">
      <c r="B89" s="879"/>
    </row>
    <row r="90" spans="2:2">
      <c r="B90" s="879"/>
    </row>
    <row r="91" spans="2:2">
      <c r="B91" s="879"/>
    </row>
    <row r="92" spans="2:2">
      <c r="B92" s="879"/>
    </row>
    <row r="93" spans="2:2">
      <c r="B93" s="879"/>
    </row>
    <row r="94" spans="2:2">
      <c r="B94" s="879"/>
    </row>
    <row r="95" spans="2:2">
      <c r="B95" s="879"/>
    </row>
    <row r="96" spans="2:2">
      <c r="B96" s="879"/>
    </row>
    <row r="97" spans="2:2">
      <c r="B97" s="879"/>
    </row>
    <row r="98" spans="2:2">
      <c r="B98" s="879"/>
    </row>
    <row r="99" spans="2:2">
      <c r="B99" s="879"/>
    </row>
    <row r="100" spans="2:2">
      <c r="B100" s="879"/>
    </row>
    <row r="101" spans="2:2">
      <c r="B101" s="879"/>
    </row>
    <row r="102" spans="2:2">
      <c r="B102" s="879"/>
    </row>
    <row r="103" spans="2:2">
      <c r="B103" s="879"/>
    </row>
    <row r="104" spans="2:2">
      <c r="B104" s="879"/>
    </row>
    <row r="105" spans="2:2">
      <c r="B105" s="879"/>
    </row>
    <row r="106" spans="2:2">
      <c r="B106" s="879"/>
    </row>
    <row r="107" spans="2:2">
      <c r="B107" s="879"/>
    </row>
    <row r="108" spans="2:2">
      <c r="B108" s="879"/>
    </row>
    <row r="109" spans="2:2">
      <c r="B109" s="879"/>
    </row>
    <row r="110" spans="2:2">
      <c r="B110" s="879"/>
    </row>
    <row r="111" spans="2:2">
      <c r="B111" s="879"/>
    </row>
    <row r="112" spans="2:2">
      <c r="B112" s="879"/>
    </row>
    <row r="113" spans="2:2">
      <c r="B113" s="879"/>
    </row>
    <row r="114" spans="2:2">
      <c r="B114" s="879"/>
    </row>
    <row r="115" spans="2:2">
      <c r="B115" s="879"/>
    </row>
    <row r="116" spans="2:2">
      <c r="B116" s="879"/>
    </row>
    <row r="117" spans="2:2">
      <c r="B117" s="879"/>
    </row>
    <row r="118" spans="2:2">
      <c r="B118" s="879"/>
    </row>
    <row r="119" spans="2:2">
      <c r="B119" s="879"/>
    </row>
    <row r="120" spans="2:2">
      <c r="B120" s="879"/>
    </row>
    <row r="121" spans="2:2">
      <c r="B121" s="879"/>
    </row>
    <row r="122" spans="2:2">
      <c r="B122" s="879"/>
    </row>
    <row r="123" spans="2:2">
      <c r="B123" s="879"/>
    </row>
    <row r="124" spans="2:2">
      <c r="B124" s="879"/>
    </row>
    <row r="125" spans="2:2">
      <c r="B125" s="879"/>
    </row>
    <row r="126" spans="2:2">
      <c r="B126" s="879"/>
    </row>
    <row r="127" spans="2:2">
      <c r="B127" s="879"/>
    </row>
    <row r="128" spans="2:2">
      <c r="B128" s="879"/>
    </row>
    <row r="129" spans="2:2">
      <c r="B129" s="879"/>
    </row>
    <row r="130" spans="2:2">
      <c r="B130" s="879"/>
    </row>
    <row r="131" spans="2:2">
      <c r="B131" s="879"/>
    </row>
    <row r="132" spans="2:2">
      <c r="B132" s="879"/>
    </row>
    <row r="133" spans="2:2">
      <c r="B133" s="879"/>
    </row>
    <row r="134" spans="2:2">
      <c r="B134" s="879"/>
    </row>
    <row r="135" spans="2:2">
      <c r="B135" s="879"/>
    </row>
    <row r="136" spans="2:2">
      <c r="B136" s="879"/>
    </row>
    <row r="137" spans="2:2">
      <c r="B137" s="879"/>
    </row>
    <row r="138" spans="2:2">
      <c r="B138" s="879"/>
    </row>
    <row r="139" spans="2:2">
      <c r="B139" s="879"/>
    </row>
    <row r="140" spans="2:2">
      <c r="B140" s="879"/>
    </row>
    <row r="141" spans="2:2">
      <c r="B141" s="879"/>
    </row>
    <row r="142" spans="2:2">
      <c r="B142" s="879"/>
    </row>
    <row r="143" spans="2:2">
      <c r="B143" s="879"/>
    </row>
    <row r="144" spans="2:2">
      <c r="B144" s="879"/>
    </row>
    <row r="145" spans="2:2">
      <c r="B145" s="879"/>
    </row>
    <row r="146" spans="2:2">
      <c r="B146" s="879"/>
    </row>
    <row r="147" spans="2:2">
      <c r="B147" s="879"/>
    </row>
    <row r="148" spans="2:2">
      <c r="B148" s="879"/>
    </row>
    <row r="149" spans="2:2">
      <c r="B149" s="879"/>
    </row>
    <row r="150" spans="2:2">
      <c r="B150" s="879"/>
    </row>
    <row r="151" spans="2:2">
      <c r="B151" s="879"/>
    </row>
    <row r="152" spans="2:2">
      <c r="B152" s="879"/>
    </row>
    <row r="153" spans="2:2">
      <c r="B153" s="879"/>
    </row>
    <row r="154" spans="2:2">
      <c r="B154" s="879"/>
    </row>
    <row r="155" spans="2:2">
      <c r="B155" s="879"/>
    </row>
    <row r="156" spans="2:2">
      <c r="B156" s="879"/>
    </row>
    <row r="157" spans="2:2">
      <c r="B157" s="879"/>
    </row>
    <row r="158" spans="2:2">
      <c r="B158" s="879"/>
    </row>
    <row r="159" spans="2:2">
      <c r="B159" s="879"/>
    </row>
    <row r="160" spans="2:2">
      <c r="B160" s="879"/>
    </row>
    <row r="161" spans="2:2">
      <c r="B161" s="879"/>
    </row>
    <row r="162" spans="2:2">
      <c r="B162" s="879"/>
    </row>
    <row r="163" spans="2:2">
      <c r="B163" s="879"/>
    </row>
    <row r="164" spans="2:2">
      <c r="B164" s="879"/>
    </row>
    <row r="165" spans="2:2">
      <c r="B165" s="879"/>
    </row>
    <row r="166" spans="2:2">
      <c r="B166" s="879"/>
    </row>
    <row r="167" spans="2:2">
      <c r="B167" s="879"/>
    </row>
    <row r="168" spans="2:2">
      <c r="B168" s="879"/>
    </row>
    <row r="169" spans="2:2">
      <c r="B169" s="879"/>
    </row>
    <row r="170" spans="2:2">
      <c r="B170" s="879"/>
    </row>
    <row r="171" spans="2:2">
      <c r="B171" s="879"/>
    </row>
    <row r="172" spans="2:2">
      <c r="B172" s="879"/>
    </row>
    <row r="173" spans="2:2">
      <c r="B173" s="879"/>
    </row>
    <row r="174" spans="2:2">
      <c r="B174" s="879"/>
    </row>
    <row r="175" spans="2:2">
      <c r="B175" s="879"/>
    </row>
    <row r="176" spans="2:2">
      <c r="B176" s="879"/>
    </row>
    <row r="177" spans="2:2">
      <c r="B177" s="879"/>
    </row>
    <row r="178" spans="2:2">
      <c r="B178" s="879"/>
    </row>
    <row r="179" spans="2:2">
      <c r="B179" s="879"/>
    </row>
    <row r="180" spans="2:2">
      <c r="B180" s="879"/>
    </row>
    <row r="181" spans="2:2">
      <c r="B181" s="879"/>
    </row>
    <row r="182" spans="2:2">
      <c r="B182" s="879"/>
    </row>
    <row r="183" spans="2:2">
      <c r="B183" s="879"/>
    </row>
    <row r="184" spans="2:2">
      <c r="B184" s="879"/>
    </row>
    <row r="185" spans="2:2">
      <c r="B185" s="879"/>
    </row>
    <row r="186" spans="2:2">
      <c r="B186" s="879"/>
    </row>
    <row r="187" spans="2:2">
      <c r="B187" s="879"/>
    </row>
    <row r="188" spans="2:2">
      <c r="B188" s="879"/>
    </row>
    <row r="189" spans="2:2">
      <c r="B189" s="879"/>
    </row>
    <row r="190" spans="2:2">
      <c r="B190" s="879"/>
    </row>
    <row r="191" spans="2:2">
      <c r="B191" s="879"/>
    </row>
    <row r="192" spans="2:2">
      <c r="B192" s="879"/>
    </row>
    <row r="193" spans="2:2">
      <c r="B193" s="879"/>
    </row>
    <row r="194" spans="2:2">
      <c r="B194" s="879"/>
    </row>
    <row r="195" spans="2:2">
      <c r="B195" s="879"/>
    </row>
    <row r="196" spans="2:2">
      <c r="B196" s="879"/>
    </row>
    <row r="197" spans="2:2">
      <c r="B197" s="879"/>
    </row>
    <row r="198" spans="2:2">
      <c r="B198" s="879"/>
    </row>
    <row r="199" spans="2:2">
      <c r="B199" s="879"/>
    </row>
    <row r="200" spans="2:2">
      <c r="B200" s="879"/>
    </row>
    <row r="201" spans="2:2">
      <c r="B201" s="879"/>
    </row>
    <row r="202" spans="2:2">
      <c r="B202" s="879"/>
    </row>
    <row r="203" spans="2:2">
      <c r="B203" s="879"/>
    </row>
    <row r="204" spans="2:2">
      <c r="B204" s="879"/>
    </row>
    <row r="205" spans="2:2">
      <c r="B205" s="879"/>
    </row>
    <row r="206" spans="2:2">
      <c r="B206" s="879"/>
    </row>
    <row r="207" spans="2:2">
      <c r="B207" s="879"/>
    </row>
    <row r="208" spans="2:2">
      <c r="B208" s="879"/>
    </row>
    <row r="209" spans="2:2">
      <c r="B209" s="879"/>
    </row>
    <row r="210" spans="2:2">
      <c r="B210" s="879"/>
    </row>
    <row r="211" spans="2:2">
      <c r="B211" s="879"/>
    </row>
    <row r="212" spans="2:2">
      <c r="B212" s="879"/>
    </row>
    <row r="213" spans="2:2">
      <c r="B213" s="879"/>
    </row>
    <row r="214" spans="2:2">
      <c r="B214" s="879"/>
    </row>
    <row r="215" spans="2:2">
      <c r="B215" s="879"/>
    </row>
    <row r="216" spans="2:2">
      <c r="B216" s="879"/>
    </row>
    <row r="217" spans="2:2">
      <c r="B217" s="879"/>
    </row>
    <row r="218" spans="2:2">
      <c r="B218" s="879"/>
    </row>
    <row r="219" spans="2:2">
      <c r="B219" s="879"/>
    </row>
    <row r="220" spans="2:2">
      <c r="B220" s="879"/>
    </row>
    <row r="221" spans="2:2">
      <c r="B221" s="879"/>
    </row>
    <row r="222" spans="2:2">
      <c r="B222" s="879"/>
    </row>
    <row r="223" spans="2:2">
      <c r="B223" s="879"/>
    </row>
    <row r="224" spans="2:2">
      <c r="B224" s="879"/>
    </row>
    <row r="225" spans="2:2">
      <c r="B225" s="879"/>
    </row>
    <row r="226" spans="2:2">
      <c r="B226" s="879"/>
    </row>
    <row r="227" spans="2:2">
      <c r="B227" s="879"/>
    </row>
    <row r="228" spans="2:2">
      <c r="B228" s="879"/>
    </row>
    <row r="229" spans="2:2">
      <c r="B229" s="879"/>
    </row>
    <row r="230" spans="2:2">
      <c r="B230" s="879"/>
    </row>
    <row r="231" spans="2:2">
      <c r="B231" s="879"/>
    </row>
    <row r="232" spans="2:2">
      <c r="B232" s="879"/>
    </row>
    <row r="233" spans="2:2">
      <c r="B233" s="879"/>
    </row>
    <row r="234" spans="2:2">
      <c r="B234" s="879"/>
    </row>
    <row r="235" spans="2:2">
      <c r="B235" s="879"/>
    </row>
    <row r="236" spans="2:2">
      <c r="B236" s="879"/>
    </row>
    <row r="237" spans="2:2">
      <c r="B237" s="879"/>
    </row>
    <row r="238" spans="2:2">
      <c r="B238" s="879"/>
    </row>
    <row r="239" spans="2:2">
      <c r="B239" s="879"/>
    </row>
    <row r="240" spans="2:2">
      <c r="B240" s="879"/>
    </row>
    <row r="241" spans="2:2">
      <c r="B241" s="879"/>
    </row>
    <row r="242" spans="2:2">
      <c r="B242" s="879"/>
    </row>
    <row r="243" spans="2:2">
      <c r="B243" s="879"/>
    </row>
    <row r="244" spans="2:2">
      <c r="B244" s="879"/>
    </row>
    <row r="245" spans="2:2">
      <c r="B245" s="879"/>
    </row>
    <row r="246" spans="2:2">
      <c r="B246" s="879"/>
    </row>
    <row r="247" spans="2:2">
      <c r="B247" s="879"/>
    </row>
    <row r="248" spans="2:2">
      <c r="B248" s="879"/>
    </row>
    <row r="249" spans="2:2">
      <c r="B249" s="879"/>
    </row>
    <row r="250" spans="2:2">
      <c r="B250" s="879"/>
    </row>
    <row r="251" spans="2:2">
      <c r="B251" s="879"/>
    </row>
    <row r="252" spans="2:2">
      <c r="B252" s="879"/>
    </row>
    <row r="253" spans="2:2">
      <c r="B253" s="879"/>
    </row>
    <row r="254" spans="2:2">
      <c r="B254" s="879"/>
    </row>
    <row r="255" spans="2:2">
      <c r="B255" s="879"/>
    </row>
    <row r="256" spans="2:2">
      <c r="B256" s="879"/>
    </row>
    <row r="257" spans="2:2">
      <c r="B257" s="879"/>
    </row>
    <row r="258" spans="2:2">
      <c r="B258" s="879"/>
    </row>
    <row r="259" spans="2:2">
      <c r="B259" s="879"/>
    </row>
    <row r="260" spans="2:2">
      <c r="B260" s="879"/>
    </row>
    <row r="261" spans="2:2">
      <c r="B261" s="879"/>
    </row>
    <row r="262" spans="2:2">
      <c r="B262" s="879"/>
    </row>
    <row r="263" spans="2:2">
      <c r="B263" s="879"/>
    </row>
    <row r="264" spans="2:2">
      <c r="B264" s="879"/>
    </row>
    <row r="265" spans="2:2">
      <c r="B265" s="879"/>
    </row>
    <row r="266" spans="2:2">
      <c r="B266" s="879"/>
    </row>
    <row r="267" spans="2:2">
      <c r="B267" s="879"/>
    </row>
    <row r="268" spans="2:2">
      <c r="B268" s="879"/>
    </row>
    <row r="269" spans="2:2">
      <c r="B269" s="879"/>
    </row>
    <row r="270" spans="2:2">
      <c r="B270" s="879"/>
    </row>
    <row r="271" spans="2:2">
      <c r="B271" s="879"/>
    </row>
    <row r="272" spans="2:2">
      <c r="B272" s="879"/>
    </row>
    <row r="273" spans="2:2">
      <c r="B273" s="879"/>
    </row>
    <row r="274" spans="2:2">
      <c r="B274" s="879"/>
    </row>
    <row r="275" spans="2:2">
      <c r="B275" s="879"/>
    </row>
    <row r="276" spans="2:2">
      <c r="B276" s="879"/>
    </row>
    <row r="277" spans="2:2">
      <c r="B277" s="879"/>
    </row>
    <row r="278" spans="2:2">
      <c r="B278" s="879"/>
    </row>
    <row r="279" spans="2:2">
      <c r="B279" s="879"/>
    </row>
    <row r="280" spans="2:2">
      <c r="B280" s="879"/>
    </row>
    <row r="281" spans="2:2">
      <c r="B281" s="879"/>
    </row>
    <row r="282" spans="2:2">
      <c r="B282" s="879"/>
    </row>
    <row r="283" spans="2:2">
      <c r="B283" s="879"/>
    </row>
    <row r="284" spans="2:2">
      <c r="B284" s="879"/>
    </row>
    <row r="285" spans="2:2">
      <c r="B285" s="879"/>
    </row>
    <row r="286" spans="2:2">
      <c r="B286" s="879"/>
    </row>
    <row r="287" spans="2:2">
      <c r="B287" s="879"/>
    </row>
    <row r="288" spans="2:2">
      <c r="B288" s="879"/>
    </row>
    <row r="289" spans="2:2">
      <c r="B289" s="879"/>
    </row>
    <row r="290" spans="2:2">
      <c r="B290" s="879"/>
    </row>
    <row r="291" spans="2:2">
      <c r="B291" s="879"/>
    </row>
    <row r="292" spans="2:2">
      <c r="B292" s="879"/>
    </row>
    <row r="293" spans="2:2">
      <c r="B293" s="879"/>
    </row>
    <row r="294" spans="2:2">
      <c r="B294" s="879"/>
    </row>
    <row r="295" spans="2:2">
      <c r="B295" s="879"/>
    </row>
    <row r="296" spans="2:2">
      <c r="B296" s="879"/>
    </row>
    <row r="297" spans="2:2">
      <c r="B297" s="879"/>
    </row>
    <row r="298" spans="2:2">
      <c r="B298" s="879"/>
    </row>
    <row r="299" spans="2:2">
      <c r="B299" s="879"/>
    </row>
    <row r="300" spans="2:2">
      <c r="B300" s="879"/>
    </row>
    <row r="301" spans="2:2">
      <c r="B301" s="879"/>
    </row>
    <row r="302" spans="2:2">
      <c r="B302" s="879"/>
    </row>
    <row r="303" spans="2:2">
      <c r="B303" s="879"/>
    </row>
    <row r="304" spans="2:2">
      <c r="B304" s="879"/>
    </row>
    <row r="305" spans="2:2">
      <c r="B305" s="879"/>
    </row>
    <row r="306" spans="2:2">
      <c r="B306" s="879"/>
    </row>
    <row r="307" spans="2:2">
      <c r="B307" s="879"/>
    </row>
    <row r="308" spans="2:2">
      <c r="B308" s="879"/>
    </row>
    <row r="309" spans="2:2">
      <c r="B309" s="879"/>
    </row>
    <row r="310" spans="2:2">
      <c r="B310" s="879"/>
    </row>
    <row r="311" spans="2:2">
      <c r="B311" s="879"/>
    </row>
    <row r="312" spans="2:2">
      <c r="B312" s="879"/>
    </row>
    <row r="313" spans="2:2">
      <c r="B313" s="879"/>
    </row>
    <row r="314" spans="2:2">
      <c r="B314" s="879"/>
    </row>
    <row r="315" spans="2:2">
      <c r="B315" s="879"/>
    </row>
    <row r="316" spans="2:2">
      <c r="B316" s="879"/>
    </row>
    <row r="317" spans="2:2">
      <c r="B317" s="879"/>
    </row>
    <row r="318" spans="2:2">
      <c r="B318" s="879"/>
    </row>
    <row r="319" spans="2:2">
      <c r="B319" s="879"/>
    </row>
    <row r="320" spans="2:2">
      <c r="B320" s="879"/>
    </row>
    <row r="321" spans="2:2">
      <c r="B321" s="879"/>
    </row>
    <row r="322" spans="2:2">
      <c r="B322" s="879"/>
    </row>
    <row r="323" spans="2:2">
      <c r="B323" s="879"/>
    </row>
    <row r="324" spans="2:2">
      <c r="B324" s="879"/>
    </row>
    <row r="325" spans="2:2">
      <c r="B325" s="879"/>
    </row>
    <row r="326" spans="2:2">
      <c r="B326" s="879"/>
    </row>
    <row r="327" spans="2:2">
      <c r="B327" s="879"/>
    </row>
    <row r="328" spans="2:2">
      <c r="B328" s="879"/>
    </row>
    <row r="329" spans="2:2">
      <c r="B329" s="879"/>
    </row>
    <row r="330" spans="2:2">
      <c r="B330" s="879"/>
    </row>
    <row r="331" spans="2:2">
      <c r="B331" s="879"/>
    </row>
    <row r="332" spans="2:2">
      <c r="B332" s="879"/>
    </row>
    <row r="333" spans="2:2">
      <c r="B333" s="879"/>
    </row>
    <row r="334" spans="2:2">
      <c r="B334" s="879"/>
    </row>
    <row r="335" spans="2:2">
      <c r="B335" s="879"/>
    </row>
    <row r="336" spans="2:2">
      <c r="B336" s="879"/>
    </row>
    <row r="337" spans="2:2">
      <c r="B337" s="879"/>
    </row>
    <row r="338" spans="2:2">
      <c r="B338" s="879"/>
    </row>
    <row r="339" spans="2:2">
      <c r="B339" s="879"/>
    </row>
    <row r="340" spans="2:2">
      <c r="B340" s="879"/>
    </row>
    <row r="341" spans="2:2">
      <c r="B341" s="879"/>
    </row>
    <row r="342" spans="2:2">
      <c r="B342" s="879"/>
    </row>
    <row r="343" spans="2:2">
      <c r="B343" s="879"/>
    </row>
    <row r="344" spans="2:2">
      <c r="B344" s="879"/>
    </row>
    <row r="345" spans="2:2">
      <c r="B345" s="879"/>
    </row>
    <row r="346" spans="2:2">
      <c r="B346" s="879"/>
    </row>
    <row r="347" spans="2:2">
      <c r="B347" s="879"/>
    </row>
    <row r="348" spans="2:2">
      <c r="B348" s="879"/>
    </row>
    <row r="349" spans="2:2">
      <c r="B349" s="879"/>
    </row>
    <row r="350" spans="2:2">
      <c r="B350" s="879"/>
    </row>
    <row r="351" spans="2:2">
      <c r="B351" s="879"/>
    </row>
    <row r="352" spans="2:2">
      <c r="B352" s="879"/>
    </row>
    <row r="353" spans="2:2">
      <c r="B353" s="879"/>
    </row>
    <row r="354" spans="2:2">
      <c r="B354" s="879"/>
    </row>
    <row r="355" spans="2:2">
      <c r="B355" s="879"/>
    </row>
    <row r="356" spans="2:2">
      <c r="B356" s="879"/>
    </row>
    <row r="357" spans="2:2">
      <c r="B357" s="879"/>
    </row>
    <row r="358" spans="2:2">
      <c r="B358" s="879"/>
    </row>
    <row r="359" spans="2:2">
      <c r="B359" s="879"/>
    </row>
    <row r="360" spans="2:2">
      <c r="B360" s="879"/>
    </row>
    <row r="361" spans="2:2">
      <c r="B361" s="879"/>
    </row>
    <row r="362" spans="2:2">
      <c r="B362" s="879"/>
    </row>
    <row r="363" spans="2:2">
      <c r="B363" s="879"/>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F20"/>
  <sheetViews>
    <sheetView workbookViewId="0">
      <selection activeCell="F16" sqref="F16"/>
    </sheetView>
  </sheetViews>
  <sheetFormatPr defaultColWidth="9.140625" defaultRowHeight="12.75"/>
  <cols>
    <col min="1" max="1" width="4" style="1" customWidth="1"/>
    <col min="2" max="2" width="39.85546875" style="1" customWidth="1"/>
    <col min="3" max="3" width="2.28515625" style="1" customWidth="1"/>
    <col min="4" max="4" width="16.7109375" style="1" bestFit="1" customWidth="1"/>
    <col min="5" max="5" width="15.5703125" style="1" customWidth="1"/>
    <col min="6" max="6" width="11.85546875" style="1" bestFit="1" customWidth="1"/>
    <col min="7" max="7" width="17" style="1" bestFit="1" customWidth="1"/>
    <col min="8" max="16384" width="9.140625" style="1"/>
  </cols>
  <sheetData>
    <row r="1" spans="1:6">
      <c r="A1" s="1378" t="str">
        <f>RevReqSummary!A1</f>
        <v>PacifiCorp General Rate Case UE-140617</v>
      </c>
      <c r="B1" s="1378"/>
      <c r="C1" s="1378"/>
      <c r="D1" s="1378"/>
      <c r="E1" s="1378"/>
      <c r="F1" s="1378"/>
    </row>
    <row r="2" spans="1:6">
      <c r="A2" s="1378" t="str">
        <f>RevReqSummary!A2</f>
        <v>For The Twelve Months Ended December 2013 - Staff Revenue Requirement</v>
      </c>
      <c r="B2" s="1378"/>
      <c r="C2" s="1378"/>
      <c r="D2" s="1378"/>
      <c r="E2" s="1378"/>
      <c r="F2" s="1378"/>
    </row>
    <row r="3" spans="1:6">
      <c r="A3" s="1389" t="s">
        <v>101</v>
      </c>
      <c r="B3" s="1389"/>
      <c r="C3" s="1389"/>
      <c r="D3" s="1389"/>
      <c r="E3" s="1389"/>
      <c r="F3" s="1389"/>
    </row>
    <row r="5" spans="1:6">
      <c r="C5" s="1030"/>
      <c r="D5" s="1030"/>
      <c r="E5" s="1030"/>
    </row>
    <row r="6" spans="1:6" ht="36" customHeight="1">
      <c r="B6" s="1032"/>
      <c r="C6" s="1031"/>
      <c r="D6" s="1262" t="s">
        <v>1038</v>
      </c>
      <c r="E6" s="1263" t="s">
        <v>107</v>
      </c>
      <c r="F6" s="1262" t="s">
        <v>1</v>
      </c>
    </row>
    <row r="7" spans="1:6">
      <c r="A7" s="15">
        <v>1</v>
      </c>
      <c r="B7" s="1033" t="s">
        <v>1098</v>
      </c>
      <c r="C7" s="1031"/>
      <c r="D7" s="1162">
        <v>849625444.94987881</v>
      </c>
      <c r="E7" s="1162">
        <f>RevReqSummary!H64</f>
        <v>849625444.90131009</v>
      </c>
      <c r="F7" s="1264"/>
    </row>
    <row r="8" spans="1:6">
      <c r="A8" s="15">
        <v>2</v>
      </c>
      <c r="B8" s="1033"/>
      <c r="C8" s="1031"/>
      <c r="D8" s="1257"/>
      <c r="E8" s="1257"/>
      <c r="F8" s="1264"/>
    </row>
    <row r="9" spans="1:6">
      <c r="A9" s="15">
        <v>3</v>
      </c>
      <c r="B9" s="1033" t="s">
        <v>1099</v>
      </c>
      <c r="C9" s="1031"/>
      <c r="D9" s="1258">
        <v>7.6700000000000004E-2</v>
      </c>
      <c r="E9" s="1258">
        <f>'Cost of Capital'!E22</f>
        <v>7.0599999999999996E-2</v>
      </c>
      <c r="F9" s="1265">
        <f t="shared" ref="F9:F19" si="0">E9-D9</f>
        <v>-6.1000000000000082E-3</v>
      </c>
    </row>
    <row r="10" spans="1:6">
      <c r="A10" s="15">
        <v>4</v>
      </c>
      <c r="B10" s="1033"/>
      <c r="C10" s="1031"/>
      <c r="D10" s="1257"/>
      <c r="E10" s="1257"/>
      <c r="F10" s="136"/>
    </row>
    <row r="11" spans="1:6">
      <c r="A11" s="15">
        <v>5</v>
      </c>
      <c r="B11" s="1033" t="s">
        <v>102</v>
      </c>
      <c r="C11" s="1031"/>
      <c r="D11" s="1150">
        <v>65166271.627655707</v>
      </c>
      <c r="E11" s="1150">
        <f>E7*E9</f>
        <v>59983556.410032488</v>
      </c>
      <c r="F11" s="136">
        <f t="shared" si="0"/>
        <v>-5182715.2176232189</v>
      </c>
    </row>
    <row r="12" spans="1:6">
      <c r="A12" s="15">
        <v>6</v>
      </c>
      <c r="B12" s="1033"/>
      <c r="C12" s="1031"/>
      <c r="D12" s="1257"/>
      <c r="E12" s="1257"/>
      <c r="F12" s="136"/>
    </row>
    <row r="13" spans="1:6">
      <c r="A13" s="15">
        <v>7</v>
      </c>
      <c r="B13" s="1033" t="s">
        <v>103</v>
      </c>
      <c r="C13" s="1031"/>
      <c r="D13" s="1150">
        <v>48317805.900690079</v>
      </c>
      <c r="E13" s="1150">
        <f>RevReqSummary!H38</f>
        <v>55187785.386216998</v>
      </c>
      <c r="F13" s="136">
        <f t="shared" si="0"/>
        <v>6869979.4855269194</v>
      </c>
    </row>
    <row r="14" spans="1:6">
      <c r="A14" s="15">
        <v>8</v>
      </c>
      <c r="B14" s="1033"/>
      <c r="C14" s="1031"/>
      <c r="D14" s="1257"/>
      <c r="E14" s="1257"/>
      <c r="F14" s="136"/>
    </row>
    <row r="15" spans="1:6">
      <c r="A15" s="15">
        <v>9</v>
      </c>
      <c r="B15" s="1033" t="s">
        <v>1100</v>
      </c>
      <c r="C15" s="1031"/>
      <c r="D15" s="1150">
        <v>16848465.726965629</v>
      </c>
      <c r="E15" s="1150">
        <f>E11-E13</f>
        <v>4795771.0238154903</v>
      </c>
      <c r="F15" s="136">
        <f t="shared" si="0"/>
        <v>-12052694.703150138</v>
      </c>
    </row>
    <row r="16" spans="1:6">
      <c r="A16" s="15">
        <v>10</v>
      </c>
      <c r="B16" s="1033"/>
      <c r="C16" s="1031"/>
      <c r="D16" s="1259"/>
      <c r="E16" s="1259"/>
      <c r="F16" s="136"/>
    </row>
    <row r="17" spans="1:6">
      <c r="A17" s="15">
        <v>11</v>
      </c>
      <c r="B17" s="1033" t="s">
        <v>104</v>
      </c>
      <c r="C17" s="1031"/>
      <c r="D17" s="1260">
        <v>0.61939999999999995</v>
      </c>
      <c r="E17" s="1258">
        <f>'Conversion factor'!D19</f>
        <v>0.61955000000000005</v>
      </c>
      <c r="F17" s="136"/>
    </row>
    <row r="18" spans="1:6">
      <c r="A18" s="15">
        <v>12</v>
      </c>
      <c r="B18" s="1033"/>
      <c r="C18" s="1031"/>
      <c r="D18" s="1257"/>
      <c r="E18" s="1257"/>
      <c r="F18" s="136"/>
    </row>
    <row r="19" spans="1:6" ht="13.5" thickBot="1">
      <c r="A19" s="15">
        <v>13</v>
      </c>
      <c r="B19" s="1033" t="s">
        <v>1101</v>
      </c>
      <c r="C19" s="1031"/>
      <c r="D19" s="1261">
        <v>27201269</v>
      </c>
      <c r="E19" s="1261">
        <f>ROUND(E15/E17,0)</f>
        <v>7740733</v>
      </c>
      <c r="F19" s="136">
        <f t="shared" si="0"/>
        <v>-19460536</v>
      </c>
    </row>
    <row r="20" spans="1:6" ht="13.5" thickTop="1">
      <c r="A20" s="4"/>
      <c r="D20" s="1013"/>
      <c r="E20" s="1013"/>
    </row>
  </sheetData>
  <mergeCells count="3">
    <mergeCell ref="A1:F1"/>
    <mergeCell ref="A2:F2"/>
    <mergeCell ref="A3:F3"/>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G242"/>
  <sheetViews>
    <sheetView workbookViewId="0">
      <selection activeCell="F16" sqref="F16"/>
    </sheetView>
  </sheetViews>
  <sheetFormatPr defaultColWidth="8.85546875" defaultRowHeight="12.75" outlineLevelRow="1"/>
  <cols>
    <col min="1" max="1" width="24.5703125" style="1" customWidth="1"/>
    <col min="2" max="2" width="9.7109375" style="1" bestFit="1" customWidth="1"/>
    <col min="3" max="3" width="5.42578125" style="1" bestFit="1" customWidth="1"/>
    <col min="4" max="4" width="11.42578125" style="1" bestFit="1" customWidth="1"/>
    <col min="5" max="5" width="8.140625" style="1" bestFit="1" customWidth="1"/>
    <col min="6" max="6" width="10" style="1" bestFit="1" customWidth="1"/>
    <col min="7" max="7" width="14.7109375" style="1" bestFit="1" customWidth="1"/>
    <col min="8" max="16384" width="8.85546875" style="1"/>
  </cols>
  <sheetData>
    <row r="1" spans="1:7">
      <c r="A1" s="17" t="str">
        <f>RevReqSummary!A1</f>
        <v>PacifiCorp General Rate Case UE-140617</v>
      </c>
      <c r="B1" s="868"/>
      <c r="C1" s="868"/>
      <c r="D1" s="868"/>
      <c r="E1" s="868"/>
      <c r="F1" s="868"/>
      <c r="G1" s="868"/>
    </row>
    <row r="2" spans="1:7">
      <c r="A2" s="17" t="str">
        <f>RevReqSummary!A2</f>
        <v>For The Twelve Months Ended December 2013 - Staff Revenue Requirement</v>
      </c>
      <c r="B2" s="868"/>
      <c r="C2" s="868"/>
      <c r="D2" s="868"/>
      <c r="E2" s="868"/>
      <c r="F2" s="868"/>
      <c r="G2" s="868"/>
    </row>
    <row r="3" spans="1:7">
      <c r="A3" s="869" t="s">
        <v>667</v>
      </c>
      <c r="B3" s="868"/>
      <c r="C3" s="868"/>
      <c r="D3" s="868"/>
      <c r="E3" s="868"/>
      <c r="F3" s="868"/>
      <c r="G3" s="868"/>
    </row>
    <row r="4" spans="1:7">
      <c r="A4" s="379" t="s">
        <v>1115</v>
      </c>
      <c r="B4" s="868"/>
      <c r="C4" s="868"/>
      <c r="D4" s="868"/>
      <c r="E4" s="868"/>
      <c r="F4" s="868"/>
      <c r="G4" s="868"/>
    </row>
    <row r="5" spans="1:7">
      <c r="A5" s="867"/>
      <c r="B5" s="868"/>
      <c r="C5" s="868"/>
      <c r="D5" s="868"/>
      <c r="E5" s="868"/>
      <c r="F5" s="868"/>
      <c r="G5" s="868"/>
    </row>
    <row r="6" spans="1:7">
      <c r="A6" s="867"/>
      <c r="B6" s="373"/>
      <c r="C6" s="373"/>
      <c r="D6" s="374" t="s">
        <v>131</v>
      </c>
      <c r="E6" s="373"/>
      <c r="F6" s="373"/>
      <c r="G6" s="376" t="s">
        <v>236</v>
      </c>
    </row>
    <row r="7" spans="1:7">
      <c r="A7" s="867"/>
      <c r="B7" s="380" t="s">
        <v>132</v>
      </c>
      <c r="C7" s="380" t="s">
        <v>660</v>
      </c>
      <c r="D7" s="381" t="s">
        <v>134</v>
      </c>
      <c r="E7" s="380" t="s">
        <v>135</v>
      </c>
      <c r="F7" s="380" t="s">
        <v>136</v>
      </c>
      <c r="G7" s="383" t="s">
        <v>137</v>
      </c>
    </row>
    <row r="8" spans="1:7">
      <c r="A8" s="870" t="s">
        <v>199</v>
      </c>
      <c r="B8" s="871"/>
      <c r="C8" s="871"/>
      <c r="D8" s="871"/>
      <c r="E8" s="871"/>
      <c r="F8" s="871"/>
      <c r="G8" s="871"/>
    </row>
    <row r="9" spans="1:7" hidden="1" outlineLevel="1">
      <c r="A9" s="4" t="s">
        <v>838</v>
      </c>
      <c r="B9" s="15" t="str">
        <f>MID(A9,1,3)</f>
        <v>500</v>
      </c>
      <c r="C9" s="15" t="s">
        <v>398</v>
      </c>
      <c r="D9" s="32">
        <v>-3441926.382118179</v>
      </c>
      <c r="E9" s="30" t="s">
        <v>214</v>
      </c>
      <c r="F9" s="33">
        <f t="shared" ref="F9:F46" si="0">INDEX(WCAAllocations,IFERROR(MATCH(E9,WCAFactors,0),2),IFERROR(MATCH(E9,WCAStates,0),4))</f>
        <v>0</v>
      </c>
      <c r="G9" s="5">
        <v>0</v>
      </c>
    </row>
    <row r="10" spans="1:7" hidden="1" outlineLevel="1">
      <c r="A10" s="4" t="s">
        <v>839</v>
      </c>
      <c r="B10" s="15" t="str">
        <f t="shared" ref="B10:B77" si="1">MID(A10,1,3)</f>
        <v>500</v>
      </c>
      <c r="C10" s="15" t="s">
        <v>398</v>
      </c>
      <c r="D10" s="32">
        <v>1903.8109867751768</v>
      </c>
      <c r="E10" s="30" t="s">
        <v>203</v>
      </c>
      <c r="F10" s="33">
        <f t="shared" si="0"/>
        <v>0.23084885646883446</v>
      </c>
      <c r="G10" s="5">
        <v>0</v>
      </c>
    </row>
    <row r="11" spans="1:7" hidden="1" outlineLevel="1">
      <c r="A11" s="4" t="s">
        <v>840</v>
      </c>
      <c r="B11" s="15" t="str">
        <f t="shared" si="1"/>
        <v>500</v>
      </c>
      <c r="C11" s="15" t="s">
        <v>398</v>
      </c>
      <c r="D11" s="32">
        <v>476829.52876990824</v>
      </c>
      <c r="E11" s="30" t="s">
        <v>231</v>
      </c>
      <c r="F11" s="33">
        <f t="shared" si="0"/>
        <v>0.22953887558714423</v>
      </c>
      <c r="G11" s="5">
        <v>0</v>
      </c>
    </row>
    <row r="12" spans="1:7" hidden="1" outlineLevel="1">
      <c r="A12" s="4" t="s">
        <v>841</v>
      </c>
      <c r="B12" s="15" t="str">
        <f t="shared" si="1"/>
        <v>501</v>
      </c>
      <c r="C12" s="15" t="s">
        <v>398</v>
      </c>
      <c r="D12" s="32">
        <v>738023.20604971633</v>
      </c>
      <c r="E12" s="30" t="s">
        <v>261</v>
      </c>
      <c r="F12" s="33">
        <f t="shared" si="0"/>
        <v>0</v>
      </c>
      <c r="G12" s="5">
        <v>0</v>
      </c>
    </row>
    <row r="13" spans="1:7" hidden="1" outlineLevel="1">
      <c r="A13" s="4" t="s">
        <v>842</v>
      </c>
      <c r="B13" s="15" t="str">
        <f t="shared" si="1"/>
        <v>501</v>
      </c>
      <c r="C13" s="15" t="s">
        <v>398</v>
      </c>
      <c r="D13" s="32">
        <v>84196.663084943983</v>
      </c>
      <c r="E13" s="30" t="s">
        <v>203</v>
      </c>
      <c r="F13" s="33">
        <f t="shared" si="0"/>
        <v>0.23084885646883446</v>
      </c>
      <c r="G13" s="5">
        <v>0</v>
      </c>
    </row>
    <row r="14" spans="1:7" hidden="1" outlineLevel="1">
      <c r="A14" s="4" t="s">
        <v>843</v>
      </c>
      <c r="B14" s="15" t="str">
        <f t="shared" si="1"/>
        <v>501</v>
      </c>
      <c r="C14" s="15" t="s">
        <v>398</v>
      </c>
      <c r="D14" s="32">
        <v>-34711.086461613544</v>
      </c>
      <c r="E14" s="30" t="s">
        <v>232</v>
      </c>
      <c r="F14" s="33">
        <f t="shared" si="0"/>
        <v>0.22612324164332259</v>
      </c>
      <c r="G14" s="5">
        <v>0</v>
      </c>
    </row>
    <row r="15" spans="1:7" hidden="1" outlineLevel="1">
      <c r="A15" s="4" t="s">
        <v>844</v>
      </c>
      <c r="B15" s="15" t="str">
        <f t="shared" si="1"/>
        <v>501</v>
      </c>
      <c r="C15" s="15" t="s">
        <v>398</v>
      </c>
      <c r="D15" s="32">
        <v>0</v>
      </c>
      <c r="E15" s="30" t="s">
        <v>207</v>
      </c>
      <c r="F15" s="33">
        <f t="shared" si="0"/>
        <v>0.22741372946461591</v>
      </c>
      <c r="G15" s="5">
        <v>0</v>
      </c>
    </row>
    <row r="16" spans="1:7" hidden="1" outlineLevel="1">
      <c r="A16" s="4" t="s">
        <v>845</v>
      </c>
      <c r="B16" s="15" t="str">
        <f t="shared" si="1"/>
        <v>501</v>
      </c>
      <c r="C16" s="15" t="s">
        <v>398</v>
      </c>
      <c r="D16" s="32">
        <v>-12403.157327608134</v>
      </c>
      <c r="E16" s="30" t="s">
        <v>148</v>
      </c>
      <c r="F16" s="33">
        <f t="shared" si="0"/>
        <v>7.5697931989234163E-2</v>
      </c>
      <c r="G16" s="5">
        <v>0</v>
      </c>
    </row>
    <row r="17" spans="1:7" hidden="1" outlineLevel="1">
      <c r="A17" s="4" t="s">
        <v>846</v>
      </c>
      <c r="B17" s="15" t="str">
        <f t="shared" si="1"/>
        <v>501</v>
      </c>
      <c r="C17" s="15" t="s">
        <v>398</v>
      </c>
      <c r="D17" s="32">
        <v>18.22545778229907</v>
      </c>
      <c r="E17" s="30" t="s">
        <v>450</v>
      </c>
      <c r="F17" s="33">
        <f t="shared" si="0"/>
        <v>0</v>
      </c>
      <c r="G17" s="5">
        <v>0</v>
      </c>
    </row>
    <row r="18" spans="1:7" hidden="1" outlineLevel="1">
      <c r="A18" s="4" t="s">
        <v>847</v>
      </c>
      <c r="B18" s="15" t="str">
        <f t="shared" si="1"/>
        <v>502</v>
      </c>
      <c r="C18" s="15" t="s">
        <v>398</v>
      </c>
      <c r="D18" s="32">
        <v>1926844.8430315345</v>
      </c>
      <c r="E18" s="30" t="s">
        <v>214</v>
      </c>
      <c r="F18" s="33">
        <f t="shared" si="0"/>
        <v>0</v>
      </c>
      <c r="G18" s="5">
        <v>0</v>
      </c>
    </row>
    <row r="19" spans="1:7" hidden="1" outlineLevel="1">
      <c r="A19" s="4" t="s">
        <v>848</v>
      </c>
      <c r="B19" s="15" t="str">
        <f t="shared" si="1"/>
        <v>502</v>
      </c>
      <c r="C19" s="15" t="s">
        <v>398</v>
      </c>
      <c r="D19" s="32">
        <v>43066.346604781247</v>
      </c>
      <c r="E19" s="30" t="s">
        <v>203</v>
      </c>
      <c r="F19" s="33">
        <f t="shared" si="0"/>
        <v>0.23084885646883446</v>
      </c>
      <c r="G19" s="5">
        <v>0</v>
      </c>
    </row>
    <row r="20" spans="1:7" hidden="1" outlineLevel="1">
      <c r="A20" s="4" t="s">
        <v>849</v>
      </c>
      <c r="B20" s="15" t="str">
        <f t="shared" si="1"/>
        <v>502</v>
      </c>
      <c r="C20" s="15" t="s">
        <v>398</v>
      </c>
      <c r="D20" s="32">
        <v>208047.34833418092</v>
      </c>
      <c r="E20" s="30" t="s">
        <v>231</v>
      </c>
      <c r="F20" s="33">
        <f t="shared" si="0"/>
        <v>0.22953887558714423</v>
      </c>
      <c r="G20" s="5">
        <v>0</v>
      </c>
    </row>
    <row r="21" spans="1:7" hidden="1" outlineLevel="1">
      <c r="A21" s="4" t="s">
        <v>850</v>
      </c>
      <c r="B21" s="15" t="str">
        <f t="shared" si="1"/>
        <v>505</v>
      </c>
      <c r="C21" s="15" t="s">
        <v>398</v>
      </c>
      <c r="D21" s="32">
        <v>193397.83645727349</v>
      </c>
      <c r="E21" s="30" t="s">
        <v>214</v>
      </c>
      <c r="F21" s="33">
        <f t="shared" si="0"/>
        <v>0</v>
      </c>
      <c r="G21" s="5">
        <v>0</v>
      </c>
    </row>
    <row r="22" spans="1:7" hidden="1" outlineLevel="1">
      <c r="A22" s="4" t="s">
        <v>851</v>
      </c>
      <c r="B22" s="15" t="str">
        <f t="shared" si="1"/>
        <v>505</v>
      </c>
      <c r="C22" s="15" t="s">
        <v>398</v>
      </c>
      <c r="D22" s="32">
        <v>2304.1526322482177</v>
      </c>
      <c r="E22" s="30" t="s">
        <v>203</v>
      </c>
      <c r="F22" s="33">
        <f t="shared" si="0"/>
        <v>0.23084885646883446</v>
      </c>
      <c r="G22" s="5">
        <v>0</v>
      </c>
    </row>
    <row r="23" spans="1:7" hidden="1" outlineLevel="1">
      <c r="A23" s="4" t="s">
        <v>852</v>
      </c>
      <c r="B23" s="15" t="str">
        <f t="shared" si="1"/>
        <v>505</v>
      </c>
      <c r="C23" s="15" t="s">
        <v>398</v>
      </c>
      <c r="D23" s="32">
        <v>145.83193031536103</v>
      </c>
      <c r="E23" s="30" t="s">
        <v>231</v>
      </c>
      <c r="F23" s="33">
        <f t="shared" si="0"/>
        <v>0.22953887558714423</v>
      </c>
      <c r="G23" s="5">
        <v>0</v>
      </c>
    </row>
    <row r="24" spans="1:7" hidden="1" outlineLevel="1">
      <c r="A24" s="4" t="s">
        <v>853</v>
      </c>
      <c r="B24" s="15" t="str">
        <f t="shared" si="1"/>
        <v>506</v>
      </c>
      <c r="C24" s="15" t="s">
        <v>398</v>
      </c>
      <c r="D24" s="32">
        <v>3209207.0393056944</v>
      </c>
      <c r="E24" s="30" t="s">
        <v>214</v>
      </c>
      <c r="F24" s="33">
        <f t="shared" si="0"/>
        <v>0</v>
      </c>
      <c r="G24" s="5">
        <v>0</v>
      </c>
    </row>
    <row r="25" spans="1:7" hidden="1" outlineLevel="1">
      <c r="A25" s="4" t="s">
        <v>854</v>
      </c>
      <c r="B25" s="15" t="str">
        <f t="shared" si="1"/>
        <v>506</v>
      </c>
      <c r="C25" s="15" t="s">
        <v>398</v>
      </c>
      <c r="D25" s="32">
        <v>58098.589127670348</v>
      </c>
      <c r="E25" s="30" t="s">
        <v>203</v>
      </c>
      <c r="F25" s="33">
        <f t="shared" si="0"/>
        <v>0.23084885646883446</v>
      </c>
      <c r="G25" s="5">
        <v>0</v>
      </c>
    </row>
    <row r="26" spans="1:7" hidden="1" outlineLevel="1">
      <c r="A26" s="4" t="s">
        <v>855</v>
      </c>
      <c r="B26" s="15" t="str">
        <f t="shared" si="1"/>
        <v>506</v>
      </c>
      <c r="C26" s="15" t="s">
        <v>398</v>
      </c>
      <c r="D26" s="32">
        <v>-538992.99289165775</v>
      </c>
      <c r="E26" s="30" t="s">
        <v>231</v>
      </c>
      <c r="F26" s="33">
        <f t="shared" si="0"/>
        <v>0.22953887558714423</v>
      </c>
      <c r="G26" s="5">
        <v>0</v>
      </c>
    </row>
    <row r="27" spans="1:7" hidden="1" outlineLevel="1">
      <c r="A27" s="4" t="s">
        <v>856</v>
      </c>
      <c r="B27" s="15" t="str">
        <f t="shared" si="1"/>
        <v>506</v>
      </c>
      <c r="C27" s="15" t="s">
        <v>398</v>
      </c>
      <c r="D27" s="32">
        <v>1293.5081002034578</v>
      </c>
      <c r="E27" s="30" t="s">
        <v>450</v>
      </c>
      <c r="F27" s="33">
        <f t="shared" si="0"/>
        <v>0</v>
      </c>
      <c r="G27" s="5">
        <v>0</v>
      </c>
    </row>
    <row r="28" spans="1:7" hidden="1" outlineLevel="1">
      <c r="A28" s="4" t="s">
        <v>857</v>
      </c>
      <c r="B28" s="15" t="str">
        <f t="shared" si="1"/>
        <v>507</v>
      </c>
      <c r="C28" s="15" t="s">
        <v>398</v>
      </c>
      <c r="D28" s="32">
        <v>5613.792611902335</v>
      </c>
      <c r="E28" s="30" t="s">
        <v>214</v>
      </c>
      <c r="F28" s="33">
        <f t="shared" si="0"/>
        <v>0</v>
      </c>
      <c r="G28" s="5">
        <v>0</v>
      </c>
    </row>
    <row r="29" spans="1:7" hidden="1" outlineLevel="1">
      <c r="A29" s="4" t="s">
        <v>858</v>
      </c>
      <c r="B29" s="15" t="str">
        <f t="shared" si="1"/>
        <v>507</v>
      </c>
      <c r="C29" s="15" t="s">
        <v>398</v>
      </c>
      <c r="D29" s="32">
        <v>1021.4354908443532</v>
      </c>
      <c r="E29" s="30" t="s">
        <v>203</v>
      </c>
      <c r="F29" s="33">
        <f t="shared" si="0"/>
        <v>0.23084885646883446</v>
      </c>
      <c r="G29" s="5">
        <v>0</v>
      </c>
    </row>
    <row r="30" spans="1:7" hidden="1" outlineLevel="1">
      <c r="A30" s="4" t="s">
        <v>859</v>
      </c>
      <c r="B30" s="15" t="str">
        <f t="shared" si="1"/>
        <v>507</v>
      </c>
      <c r="C30" s="15" t="s">
        <v>398</v>
      </c>
      <c r="D30" s="32">
        <v>17965.182871312292</v>
      </c>
      <c r="E30" s="30" t="s">
        <v>231</v>
      </c>
      <c r="F30" s="33">
        <f t="shared" si="0"/>
        <v>0.22953887558714423</v>
      </c>
      <c r="G30" s="5">
        <v>0</v>
      </c>
    </row>
    <row r="31" spans="1:7" hidden="1" outlineLevel="1">
      <c r="A31" s="4" t="s">
        <v>860</v>
      </c>
      <c r="B31" s="15" t="str">
        <f t="shared" si="1"/>
        <v>510</v>
      </c>
      <c r="C31" s="15" t="s">
        <v>398</v>
      </c>
      <c r="D31" s="32">
        <v>244226.57630945675</v>
      </c>
      <c r="E31" s="30" t="s">
        <v>214</v>
      </c>
      <c r="F31" s="33">
        <f t="shared" si="0"/>
        <v>0</v>
      </c>
      <c r="G31" s="5">
        <v>0</v>
      </c>
    </row>
    <row r="32" spans="1:7" hidden="1" outlineLevel="1">
      <c r="A32" s="4" t="s">
        <v>861</v>
      </c>
      <c r="B32" s="15" t="str">
        <f t="shared" si="1"/>
        <v>510</v>
      </c>
      <c r="C32" s="15" t="s">
        <v>398</v>
      </c>
      <c r="D32" s="32">
        <v>9344.6874164779292</v>
      </c>
      <c r="E32" s="30" t="s">
        <v>203</v>
      </c>
      <c r="F32" s="33">
        <f t="shared" si="0"/>
        <v>0.23084885646883446</v>
      </c>
      <c r="G32" s="5">
        <v>0</v>
      </c>
    </row>
    <row r="33" spans="1:7" hidden="1" outlineLevel="1">
      <c r="A33" s="4" t="s">
        <v>862</v>
      </c>
      <c r="B33" s="15" t="str">
        <f t="shared" si="1"/>
        <v>510</v>
      </c>
      <c r="C33" s="15" t="s">
        <v>398</v>
      </c>
      <c r="D33" s="32">
        <v>23538.746458097427</v>
      </c>
      <c r="E33" s="30" t="s">
        <v>231</v>
      </c>
      <c r="F33" s="33">
        <f t="shared" si="0"/>
        <v>0.22953887558714423</v>
      </c>
      <c r="G33" s="5">
        <v>0</v>
      </c>
    </row>
    <row r="34" spans="1:7" hidden="1" outlineLevel="1">
      <c r="A34" s="4" t="s">
        <v>863</v>
      </c>
      <c r="B34" s="15" t="str">
        <f t="shared" si="1"/>
        <v>511</v>
      </c>
      <c r="C34" s="15" t="s">
        <v>398</v>
      </c>
      <c r="D34" s="32">
        <v>702288.65047423658</v>
      </c>
      <c r="E34" s="30" t="s">
        <v>214</v>
      </c>
      <c r="F34" s="33">
        <f t="shared" si="0"/>
        <v>0</v>
      </c>
      <c r="G34" s="5">
        <v>0</v>
      </c>
    </row>
    <row r="35" spans="1:7" hidden="1" outlineLevel="1">
      <c r="A35" s="4" t="s">
        <v>864</v>
      </c>
      <c r="B35" s="15" t="str">
        <f t="shared" si="1"/>
        <v>511</v>
      </c>
      <c r="C35" s="15" t="s">
        <v>398</v>
      </c>
      <c r="D35" s="32">
        <v>14015.77077434883</v>
      </c>
      <c r="E35" s="30" t="s">
        <v>203</v>
      </c>
      <c r="F35" s="33">
        <f t="shared" si="0"/>
        <v>0.23084885646883446</v>
      </c>
      <c r="G35" s="5">
        <v>0</v>
      </c>
    </row>
    <row r="36" spans="1:7" hidden="1" outlineLevel="1">
      <c r="A36" s="4" t="s">
        <v>865</v>
      </c>
      <c r="B36" s="15" t="str">
        <f t="shared" si="1"/>
        <v>511</v>
      </c>
      <c r="C36" s="15" t="s">
        <v>398</v>
      </c>
      <c r="D36" s="32">
        <v>417467.4013462633</v>
      </c>
      <c r="E36" s="30" t="s">
        <v>231</v>
      </c>
      <c r="F36" s="33">
        <f t="shared" si="0"/>
        <v>0.22953887558714423</v>
      </c>
      <c r="G36" s="5">
        <v>0</v>
      </c>
    </row>
    <row r="37" spans="1:7" hidden="1" outlineLevel="1">
      <c r="A37" s="4" t="s">
        <v>866</v>
      </c>
      <c r="B37" s="15" t="str">
        <f t="shared" si="1"/>
        <v>512</v>
      </c>
      <c r="C37" s="15" t="s">
        <v>398</v>
      </c>
      <c r="D37" s="32">
        <v>1660963.12793598</v>
      </c>
      <c r="E37" s="30" t="s">
        <v>214</v>
      </c>
      <c r="F37" s="33">
        <f t="shared" si="0"/>
        <v>0</v>
      </c>
      <c r="G37" s="5">
        <v>0</v>
      </c>
    </row>
    <row r="38" spans="1:7" hidden="1" outlineLevel="1">
      <c r="A38" s="4" t="s">
        <v>867</v>
      </c>
      <c r="B38" s="15" t="str">
        <f t="shared" si="1"/>
        <v>512</v>
      </c>
      <c r="C38" s="15" t="s">
        <v>398</v>
      </c>
      <c r="D38" s="32">
        <v>108927.79990173678</v>
      </c>
      <c r="E38" s="30" t="s">
        <v>203</v>
      </c>
      <c r="F38" s="33">
        <f t="shared" si="0"/>
        <v>0.23084885646883446</v>
      </c>
      <c r="G38" s="5">
        <v>0</v>
      </c>
    </row>
    <row r="39" spans="1:7" hidden="1" outlineLevel="1">
      <c r="A39" s="4" t="s">
        <v>868</v>
      </c>
      <c r="B39" s="15" t="str">
        <f t="shared" si="1"/>
        <v>512</v>
      </c>
      <c r="C39" s="15" t="s">
        <v>398</v>
      </c>
      <c r="D39" s="32">
        <v>257987.45449746001</v>
      </c>
      <c r="E39" s="30" t="s">
        <v>231</v>
      </c>
      <c r="F39" s="33">
        <f t="shared" si="0"/>
        <v>0.22953887558714423</v>
      </c>
      <c r="G39" s="5">
        <v>0</v>
      </c>
    </row>
    <row r="40" spans="1:7" hidden="1" outlineLevel="1">
      <c r="A40" s="4" t="s">
        <v>869</v>
      </c>
      <c r="B40" s="15" t="str">
        <f t="shared" si="1"/>
        <v>512</v>
      </c>
      <c r="C40" s="15" t="s">
        <v>398</v>
      </c>
      <c r="D40" s="32">
        <v>0</v>
      </c>
      <c r="E40" s="30" t="s">
        <v>146</v>
      </c>
      <c r="F40" s="33">
        <f t="shared" si="0"/>
        <v>7.9057273540331513E-2</v>
      </c>
      <c r="G40" s="5">
        <v>0</v>
      </c>
    </row>
    <row r="41" spans="1:7" hidden="1" outlineLevel="1">
      <c r="A41" s="4" t="s">
        <v>870</v>
      </c>
      <c r="B41" s="15" t="str">
        <f t="shared" si="1"/>
        <v>513</v>
      </c>
      <c r="C41" s="15" t="s">
        <v>398</v>
      </c>
      <c r="D41" s="32">
        <v>855568.99584937829</v>
      </c>
      <c r="E41" s="30" t="s">
        <v>214</v>
      </c>
      <c r="F41" s="33">
        <f t="shared" si="0"/>
        <v>0</v>
      </c>
      <c r="G41" s="5">
        <v>0</v>
      </c>
    </row>
    <row r="42" spans="1:7" hidden="1" outlineLevel="1">
      <c r="A42" s="4" t="s">
        <v>871</v>
      </c>
      <c r="B42" s="15" t="str">
        <f t="shared" si="1"/>
        <v>513</v>
      </c>
      <c r="C42" s="15" t="s">
        <v>398</v>
      </c>
      <c r="D42" s="32">
        <v>20345.023539071375</v>
      </c>
      <c r="E42" s="30" t="s">
        <v>203</v>
      </c>
      <c r="F42" s="33">
        <f t="shared" si="0"/>
        <v>0.23084885646883446</v>
      </c>
      <c r="G42" s="5">
        <v>0</v>
      </c>
    </row>
    <row r="43" spans="1:7" hidden="1" outlineLevel="1">
      <c r="A43" s="4" t="s">
        <v>872</v>
      </c>
      <c r="B43" s="15" t="str">
        <f t="shared" si="1"/>
        <v>513</v>
      </c>
      <c r="C43" s="15" t="s">
        <v>398</v>
      </c>
      <c r="D43" s="32">
        <v>299269.48581964936</v>
      </c>
      <c r="E43" s="30" t="s">
        <v>231</v>
      </c>
      <c r="F43" s="33">
        <f t="shared" si="0"/>
        <v>0.22953887558714423</v>
      </c>
      <c r="G43" s="5">
        <v>0</v>
      </c>
    </row>
    <row r="44" spans="1:7" hidden="1" outlineLevel="1">
      <c r="A44" s="4" t="s">
        <v>873</v>
      </c>
      <c r="B44" s="15" t="str">
        <f t="shared" si="1"/>
        <v>514</v>
      </c>
      <c r="C44" s="15" t="s">
        <v>398</v>
      </c>
      <c r="D44" s="32">
        <v>448404.64598952496</v>
      </c>
      <c r="E44" s="30" t="s">
        <v>214</v>
      </c>
      <c r="F44" s="33">
        <f t="shared" si="0"/>
        <v>0</v>
      </c>
      <c r="G44" s="5">
        <v>0</v>
      </c>
    </row>
    <row r="45" spans="1:7" hidden="1" outlineLevel="1">
      <c r="A45" s="4" t="s">
        <v>874</v>
      </c>
      <c r="B45" s="15" t="str">
        <f t="shared" si="1"/>
        <v>514</v>
      </c>
      <c r="C45" s="15" t="s">
        <v>398</v>
      </c>
      <c r="D45" s="32">
        <v>13148.140213759927</v>
      </c>
      <c r="E45" s="30" t="s">
        <v>203</v>
      </c>
      <c r="F45" s="33">
        <f t="shared" si="0"/>
        <v>0.23084885646883446</v>
      </c>
      <c r="G45" s="5">
        <v>0</v>
      </c>
    </row>
    <row r="46" spans="1:7" hidden="1" outlineLevel="1">
      <c r="A46" s="4" t="s">
        <v>875</v>
      </c>
      <c r="B46" s="15" t="str">
        <f t="shared" si="1"/>
        <v>514</v>
      </c>
      <c r="C46" s="15" t="s">
        <v>398</v>
      </c>
      <c r="D46" s="32">
        <v>96994.214847112249</v>
      </c>
      <c r="E46" s="30" t="s">
        <v>231</v>
      </c>
      <c r="F46" s="33">
        <f t="shared" si="0"/>
        <v>0.22953887558714423</v>
      </c>
      <c r="G46" s="5">
        <v>0</v>
      </c>
    </row>
    <row r="47" spans="1:7" hidden="1" outlineLevel="1">
      <c r="A47" s="4"/>
      <c r="B47" s="15"/>
      <c r="C47" s="15"/>
      <c r="D47" s="414">
        <f>SUM(D9:D46)</f>
        <v>8112434.4434205815</v>
      </c>
      <c r="E47" s="405"/>
      <c r="F47" s="412"/>
      <c r="G47" s="414">
        <f>SUM(G9:G46)</f>
        <v>0</v>
      </c>
    </row>
    <row r="48" spans="1:7" hidden="1" outlineLevel="1">
      <c r="A48" s="4"/>
      <c r="B48" s="15"/>
      <c r="C48" s="15"/>
      <c r="D48" s="411"/>
      <c r="E48" s="405"/>
      <c r="F48" s="412"/>
      <c r="G48" s="411"/>
    </row>
    <row r="49" spans="1:7" hidden="1" outlineLevel="1">
      <c r="A49" s="4" t="s">
        <v>876</v>
      </c>
      <c r="B49" s="15" t="str">
        <f t="shared" si="1"/>
        <v>535</v>
      </c>
      <c r="C49" s="15" t="s">
        <v>398</v>
      </c>
      <c r="D49" s="32">
        <v>-242701.51217875117</v>
      </c>
      <c r="E49" s="30" t="s">
        <v>214</v>
      </c>
      <c r="F49" s="33">
        <f t="shared" ref="F49:F68" si="2">INDEX(WCAAllocations,IFERROR(MATCH(E49,WCAFactors,0),2),IFERROR(MATCH(E49,WCAStates,0),4))</f>
        <v>0</v>
      </c>
      <c r="G49" s="5">
        <v>0</v>
      </c>
    </row>
    <row r="50" spans="1:7" hidden="1" outlineLevel="1">
      <c r="A50" s="4" t="s">
        <v>877</v>
      </c>
      <c r="B50" s="15" t="str">
        <f t="shared" si="1"/>
        <v>535</v>
      </c>
      <c r="C50" s="15" t="s">
        <v>398</v>
      </c>
      <c r="D50" s="32">
        <v>-52164.120961770102</v>
      </c>
      <c r="E50" s="30" t="s">
        <v>203</v>
      </c>
      <c r="F50" s="33">
        <f t="shared" si="2"/>
        <v>0.23084885646883446</v>
      </c>
      <c r="G50" s="5">
        <v>0</v>
      </c>
    </row>
    <row r="51" spans="1:7" hidden="1" outlineLevel="1">
      <c r="A51" s="4" t="s">
        <v>878</v>
      </c>
      <c r="B51" s="15" t="str">
        <f t="shared" si="1"/>
        <v>535</v>
      </c>
      <c r="C51" s="15" t="s">
        <v>398</v>
      </c>
      <c r="D51" s="32">
        <v>0</v>
      </c>
      <c r="E51" s="30" t="s">
        <v>146</v>
      </c>
      <c r="F51" s="33">
        <f t="shared" si="2"/>
        <v>7.9057273540331513E-2</v>
      </c>
      <c r="G51" s="5">
        <v>0</v>
      </c>
    </row>
    <row r="52" spans="1:7" hidden="1" outlineLevel="1">
      <c r="A52" s="4" t="s">
        <v>879</v>
      </c>
      <c r="B52" s="15" t="str">
        <f t="shared" si="1"/>
        <v>536</v>
      </c>
      <c r="C52" s="15" t="s">
        <v>398</v>
      </c>
      <c r="D52" s="32">
        <v>860.79618253968499</v>
      </c>
      <c r="E52" s="30" t="s">
        <v>214</v>
      </c>
      <c r="F52" s="33">
        <f t="shared" si="2"/>
        <v>0</v>
      </c>
      <c r="G52" s="5">
        <v>0</v>
      </c>
    </row>
    <row r="53" spans="1:7" hidden="1" outlineLevel="1">
      <c r="A53" s="4" t="s">
        <v>880</v>
      </c>
      <c r="B53" s="15" t="str">
        <f t="shared" si="1"/>
        <v>536</v>
      </c>
      <c r="C53" s="15" t="s">
        <v>398</v>
      </c>
      <c r="D53" s="32">
        <v>7477.1148425926121</v>
      </c>
      <c r="E53" s="30" t="s">
        <v>203</v>
      </c>
      <c r="F53" s="33">
        <f t="shared" si="2"/>
        <v>0.23084885646883446</v>
      </c>
      <c r="G53" s="5">
        <v>0</v>
      </c>
    </row>
    <row r="54" spans="1:7" hidden="1" outlineLevel="1">
      <c r="A54" s="4" t="s">
        <v>881</v>
      </c>
      <c r="B54" s="15" t="str">
        <f t="shared" si="1"/>
        <v>537</v>
      </c>
      <c r="C54" s="15" t="s">
        <v>398</v>
      </c>
      <c r="D54" s="32">
        <v>11736.150511904792</v>
      </c>
      <c r="E54" s="30" t="s">
        <v>214</v>
      </c>
      <c r="F54" s="33">
        <f t="shared" si="2"/>
        <v>0</v>
      </c>
      <c r="G54" s="5">
        <v>0</v>
      </c>
    </row>
    <row r="55" spans="1:7" hidden="1" outlineLevel="1">
      <c r="A55" s="4" t="s">
        <v>882</v>
      </c>
      <c r="B55" s="15" t="str">
        <f t="shared" si="1"/>
        <v>537</v>
      </c>
      <c r="C55" s="15" t="s">
        <v>398</v>
      </c>
      <c r="D55" s="32">
        <v>157459.57262037077</v>
      </c>
      <c r="E55" s="30" t="s">
        <v>203</v>
      </c>
      <c r="F55" s="33">
        <f t="shared" si="2"/>
        <v>0.23084885646883446</v>
      </c>
      <c r="G55" s="5">
        <v>0</v>
      </c>
    </row>
    <row r="56" spans="1:7" hidden="1" outlineLevel="1">
      <c r="A56" s="4" t="s">
        <v>883</v>
      </c>
      <c r="B56" s="15" t="str">
        <f t="shared" si="1"/>
        <v>539</v>
      </c>
      <c r="C56" s="15" t="s">
        <v>398</v>
      </c>
      <c r="D56" s="32">
        <v>229047.47785449793</v>
      </c>
      <c r="E56" s="30" t="s">
        <v>214</v>
      </c>
      <c r="F56" s="33">
        <f t="shared" si="2"/>
        <v>0</v>
      </c>
      <c r="G56" s="5">
        <v>0</v>
      </c>
    </row>
    <row r="57" spans="1:7" hidden="1" outlineLevel="1">
      <c r="A57" s="4" t="s">
        <v>884</v>
      </c>
      <c r="B57" s="15" t="str">
        <f t="shared" si="1"/>
        <v>539</v>
      </c>
      <c r="C57" s="15" t="s">
        <v>398</v>
      </c>
      <c r="D57" s="32">
        <v>490733.46391666797</v>
      </c>
      <c r="E57" s="30" t="s">
        <v>203</v>
      </c>
      <c r="F57" s="33">
        <f t="shared" si="2"/>
        <v>0.23084885646883446</v>
      </c>
      <c r="G57" s="5">
        <v>0</v>
      </c>
    </row>
    <row r="58" spans="1:7" hidden="1" outlineLevel="1">
      <c r="A58" s="4" t="s">
        <v>885</v>
      </c>
      <c r="B58" s="15" t="str">
        <f t="shared" si="1"/>
        <v>540</v>
      </c>
      <c r="C58" s="15" t="s">
        <v>398</v>
      </c>
      <c r="D58" s="32">
        <v>317.77590079365149</v>
      </c>
      <c r="E58" s="30" t="s">
        <v>214</v>
      </c>
      <c r="F58" s="33">
        <f t="shared" si="2"/>
        <v>0</v>
      </c>
      <c r="G58" s="5">
        <v>0</v>
      </c>
    </row>
    <row r="59" spans="1:7" hidden="1" outlineLevel="1">
      <c r="A59" s="4" t="s">
        <v>886</v>
      </c>
      <c r="B59" s="15" t="str">
        <f t="shared" si="1"/>
        <v>540</v>
      </c>
      <c r="C59" s="15" t="s">
        <v>398</v>
      </c>
      <c r="D59" s="32">
        <v>45047.897248677371</v>
      </c>
      <c r="E59" s="30" t="s">
        <v>203</v>
      </c>
      <c r="F59" s="33">
        <f t="shared" si="2"/>
        <v>0.23084885646883446</v>
      </c>
      <c r="G59" s="5">
        <v>0</v>
      </c>
    </row>
    <row r="60" spans="1:7" hidden="1" outlineLevel="1">
      <c r="A60" s="4" t="s">
        <v>887</v>
      </c>
      <c r="B60" s="15" t="str">
        <f t="shared" si="1"/>
        <v>541</v>
      </c>
      <c r="C60" s="15" t="s">
        <v>398</v>
      </c>
      <c r="D60" s="32">
        <v>20.427346153846131</v>
      </c>
      <c r="E60" s="30" t="s">
        <v>203</v>
      </c>
      <c r="F60" s="33">
        <f t="shared" si="2"/>
        <v>0.23084885646883446</v>
      </c>
      <c r="G60" s="5">
        <v>0</v>
      </c>
    </row>
    <row r="61" spans="1:7" hidden="1" outlineLevel="1">
      <c r="A61" s="4" t="s">
        <v>888</v>
      </c>
      <c r="B61" s="15" t="str">
        <f t="shared" si="1"/>
        <v>542</v>
      </c>
      <c r="C61" s="15" t="s">
        <v>398</v>
      </c>
      <c r="D61" s="32">
        <v>13125.403442307679</v>
      </c>
      <c r="E61" s="30" t="s">
        <v>214</v>
      </c>
      <c r="F61" s="33">
        <f t="shared" si="2"/>
        <v>0</v>
      </c>
      <c r="G61" s="5">
        <v>0</v>
      </c>
    </row>
    <row r="62" spans="1:7" hidden="1" outlineLevel="1">
      <c r="A62" s="4" t="s">
        <v>889</v>
      </c>
      <c r="B62" s="15" t="str">
        <f t="shared" si="1"/>
        <v>542</v>
      </c>
      <c r="C62" s="15" t="s">
        <v>398</v>
      </c>
      <c r="D62" s="32">
        <v>33562.203230769199</v>
      </c>
      <c r="E62" s="30" t="s">
        <v>203</v>
      </c>
      <c r="F62" s="33">
        <f t="shared" si="2"/>
        <v>0.23084885646883446</v>
      </c>
      <c r="G62" s="5">
        <v>0</v>
      </c>
    </row>
    <row r="63" spans="1:7" hidden="1" outlineLevel="1">
      <c r="A63" s="4" t="s">
        <v>890</v>
      </c>
      <c r="B63" s="15" t="str">
        <f t="shared" si="1"/>
        <v>543</v>
      </c>
      <c r="C63" s="15" t="s">
        <v>398</v>
      </c>
      <c r="D63" s="32">
        <v>17927.036480769209</v>
      </c>
      <c r="E63" s="30" t="s">
        <v>214</v>
      </c>
      <c r="F63" s="33">
        <f t="shared" si="2"/>
        <v>0</v>
      </c>
      <c r="G63" s="5">
        <v>0</v>
      </c>
    </row>
    <row r="64" spans="1:7" hidden="1" outlineLevel="1">
      <c r="A64" s="4" t="s">
        <v>891</v>
      </c>
      <c r="B64" s="15" t="str">
        <f t="shared" si="1"/>
        <v>543</v>
      </c>
      <c r="C64" s="15" t="s">
        <v>398</v>
      </c>
      <c r="D64" s="32">
        <v>74637.345461538367</v>
      </c>
      <c r="E64" s="30" t="s">
        <v>203</v>
      </c>
      <c r="F64" s="33">
        <f t="shared" si="2"/>
        <v>0.23084885646883446</v>
      </c>
      <c r="G64" s="5">
        <v>0</v>
      </c>
    </row>
    <row r="65" spans="1:7" hidden="1" outlineLevel="1">
      <c r="A65" s="4" t="s">
        <v>892</v>
      </c>
      <c r="B65" s="15" t="str">
        <f t="shared" si="1"/>
        <v>544</v>
      </c>
      <c r="C65" s="15" t="s">
        <v>398</v>
      </c>
      <c r="D65" s="32">
        <v>29410.969269230736</v>
      </c>
      <c r="E65" s="30" t="s">
        <v>214</v>
      </c>
      <c r="F65" s="33">
        <f t="shared" si="2"/>
        <v>0</v>
      </c>
      <c r="G65" s="5">
        <v>0</v>
      </c>
    </row>
    <row r="66" spans="1:7" hidden="1" outlineLevel="1">
      <c r="A66" s="4" t="s">
        <v>893</v>
      </c>
      <c r="B66" s="15" t="str">
        <f t="shared" si="1"/>
        <v>544</v>
      </c>
      <c r="C66" s="15" t="s">
        <v>398</v>
      </c>
      <c r="D66" s="32">
        <v>88026.285980769127</v>
      </c>
      <c r="E66" s="30" t="s">
        <v>203</v>
      </c>
      <c r="F66" s="33">
        <f t="shared" si="2"/>
        <v>0.23084885646883446</v>
      </c>
      <c r="G66" s="5">
        <v>0</v>
      </c>
    </row>
    <row r="67" spans="1:7" hidden="1" outlineLevel="1">
      <c r="A67" s="4" t="s">
        <v>894</v>
      </c>
      <c r="B67" s="15" t="str">
        <f t="shared" si="1"/>
        <v>545</v>
      </c>
      <c r="C67" s="15" t="s">
        <v>398</v>
      </c>
      <c r="D67" s="32">
        <v>-11328.242318888109</v>
      </c>
      <c r="E67" s="30" t="s">
        <v>214</v>
      </c>
      <c r="F67" s="33">
        <f t="shared" si="2"/>
        <v>0</v>
      </c>
      <c r="G67" s="5">
        <v>0</v>
      </c>
    </row>
    <row r="68" spans="1:7" hidden="1" outlineLevel="1">
      <c r="A68" s="4" t="s">
        <v>895</v>
      </c>
      <c r="B68" s="15" t="str">
        <f t="shared" si="1"/>
        <v>545</v>
      </c>
      <c r="C68" s="15" t="s">
        <v>398</v>
      </c>
      <c r="D68" s="32">
        <v>-3273.1938939502056</v>
      </c>
      <c r="E68" s="30" t="s">
        <v>203</v>
      </c>
      <c r="F68" s="33">
        <f t="shared" si="2"/>
        <v>0.23084885646883446</v>
      </c>
      <c r="G68" s="5">
        <v>0</v>
      </c>
    </row>
    <row r="69" spans="1:7" hidden="1" outlineLevel="1">
      <c r="A69" s="4"/>
      <c r="B69" s="15"/>
      <c r="C69" s="15"/>
      <c r="D69" s="414">
        <f>SUM(D49:D68)</f>
        <v>889922.85093622329</v>
      </c>
      <c r="E69" s="405"/>
      <c r="F69" s="412"/>
      <c r="G69" s="414">
        <f>SUM(G49:G68)</f>
        <v>0</v>
      </c>
    </row>
    <row r="70" spans="1:7" hidden="1" outlineLevel="1">
      <c r="A70" s="4"/>
      <c r="B70" s="15"/>
      <c r="C70" s="15"/>
      <c r="D70" s="411"/>
      <c r="E70" s="405"/>
      <c r="F70" s="412"/>
      <c r="G70" s="411"/>
    </row>
    <row r="71" spans="1:7" hidden="1" outlineLevel="1">
      <c r="A71" s="4" t="s">
        <v>896</v>
      </c>
      <c r="B71" s="15" t="str">
        <f t="shared" si="1"/>
        <v>546</v>
      </c>
      <c r="C71" s="15" t="s">
        <v>398</v>
      </c>
      <c r="D71" s="32">
        <v>17908.017874242436</v>
      </c>
      <c r="E71" s="30" t="s">
        <v>214</v>
      </c>
      <c r="F71" s="33">
        <f t="shared" ref="F71:F97" si="3">INDEX(WCAAllocations,IFERROR(MATCH(E71,WCAFactors,0),2),IFERROR(MATCH(E71,WCAStates,0),4))</f>
        <v>0</v>
      </c>
      <c r="G71" s="5">
        <v>0</v>
      </c>
    </row>
    <row r="72" spans="1:7" hidden="1" outlineLevel="1">
      <c r="A72" s="4" t="s">
        <v>897</v>
      </c>
      <c r="B72" s="15" t="str">
        <f t="shared" si="1"/>
        <v>546</v>
      </c>
      <c r="C72" s="15" t="s">
        <v>398</v>
      </c>
      <c r="D72" s="32">
        <v>13433.872478787889</v>
      </c>
      <c r="E72" s="30" t="s">
        <v>203</v>
      </c>
      <c r="F72" s="33">
        <f t="shared" si="3"/>
        <v>0.23084885646883446</v>
      </c>
      <c r="G72" s="5">
        <v>0</v>
      </c>
    </row>
    <row r="73" spans="1:7" hidden="1" outlineLevel="1">
      <c r="A73" s="4" t="s">
        <v>898</v>
      </c>
      <c r="B73" s="15" t="str">
        <f t="shared" si="1"/>
        <v>548</v>
      </c>
      <c r="C73" s="15" t="s">
        <v>398</v>
      </c>
      <c r="D73" s="32">
        <v>74770.80634270524</v>
      </c>
      <c r="E73" s="30" t="s">
        <v>214</v>
      </c>
      <c r="F73" s="33">
        <f t="shared" si="3"/>
        <v>0</v>
      </c>
      <c r="G73" s="5">
        <v>0</v>
      </c>
    </row>
    <row r="74" spans="1:7" hidden="1" outlineLevel="1">
      <c r="A74" s="4" t="s">
        <v>899</v>
      </c>
      <c r="B74" s="15" t="str">
        <f t="shared" si="1"/>
        <v>548</v>
      </c>
      <c r="C74" s="15" t="s">
        <v>398</v>
      </c>
      <c r="D74" s="32">
        <v>526457.98421984853</v>
      </c>
      <c r="E74" s="30" t="s">
        <v>203</v>
      </c>
      <c r="F74" s="33">
        <f t="shared" si="3"/>
        <v>0.23084885646883446</v>
      </c>
      <c r="G74" s="5">
        <v>0</v>
      </c>
    </row>
    <row r="75" spans="1:7" hidden="1" outlineLevel="1">
      <c r="A75" s="4" t="s">
        <v>900</v>
      </c>
      <c r="B75" s="15" t="str">
        <f t="shared" si="1"/>
        <v>548</v>
      </c>
      <c r="C75" s="15" t="s">
        <v>398</v>
      </c>
      <c r="D75" s="32">
        <v>-241.88586631530055</v>
      </c>
      <c r="E75" s="30" t="s">
        <v>171</v>
      </c>
      <c r="F75" s="33">
        <f t="shared" si="3"/>
        <v>0</v>
      </c>
      <c r="G75" s="5">
        <v>0</v>
      </c>
    </row>
    <row r="76" spans="1:7" hidden="1" outlineLevel="1">
      <c r="A76" s="4" t="s">
        <v>901</v>
      </c>
      <c r="B76" s="15" t="str">
        <f t="shared" si="1"/>
        <v>548</v>
      </c>
      <c r="C76" s="15" t="s">
        <v>398</v>
      </c>
      <c r="D76" s="32">
        <v>-136210.30169252912</v>
      </c>
      <c r="E76" s="30" t="s">
        <v>146</v>
      </c>
      <c r="F76" s="33">
        <f t="shared" si="3"/>
        <v>7.9057273540331513E-2</v>
      </c>
      <c r="G76" s="5">
        <v>0</v>
      </c>
    </row>
    <row r="77" spans="1:7" hidden="1" outlineLevel="1">
      <c r="A77" s="4" t="s">
        <v>902</v>
      </c>
      <c r="B77" s="15" t="str">
        <f t="shared" si="1"/>
        <v>549</v>
      </c>
      <c r="C77" s="15" t="s">
        <v>398</v>
      </c>
      <c r="D77" s="32">
        <v>346536.39265909116</v>
      </c>
      <c r="E77" s="30" t="s">
        <v>214</v>
      </c>
      <c r="F77" s="33">
        <f t="shared" si="3"/>
        <v>0</v>
      </c>
      <c r="G77" s="5">
        <v>0</v>
      </c>
    </row>
    <row r="78" spans="1:7" hidden="1" outlineLevel="1">
      <c r="A78" s="4" t="s">
        <v>903</v>
      </c>
      <c r="B78" s="15" t="str">
        <f t="shared" ref="B78:B145" si="4">MID(A78,1,3)</f>
        <v>549</v>
      </c>
      <c r="C78" s="15" t="s">
        <v>398</v>
      </c>
      <c r="D78" s="32">
        <v>260224.51236515166</v>
      </c>
      <c r="E78" s="30" t="s">
        <v>203</v>
      </c>
      <c r="F78" s="33">
        <f t="shared" si="3"/>
        <v>0.23084885646883446</v>
      </c>
      <c r="G78" s="5">
        <v>0</v>
      </c>
    </row>
    <row r="79" spans="1:7" hidden="1" outlineLevel="1">
      <c r="A79" s="4" t="s">
        <v>904</v>
      </c>
      <c r="B79" s="15" t="str">
        <f t="shared" si="4"/>
        <v>549</v>
      </c>
      <c r="C79" s="15" t="s">
        <v>398</v>
      </c>
      <c r="D79" s="32">
        <v>3502.946916666669</v>
      </c>
      <c r="E79" s="30" t="s">
        <v>171</v>
      </c>
      <c r="F79" s="33">
        <f t="shared" si="3"/>
        <v>0</v>
      </c>
      <c r="G79" s="5">
        <v>0</v>
      </c>
    </row>
    <row r="80" spans="1:7" hidden="1" outlineLevel="1">
      <c r="A80" s="4" t="s">
        <v>905</v>
      </c>
      <c r="B80" s="15" t="str">
        <f t="shared" si="4"/>
        <v>549</v>
      </c>
      <c r="C80" s="15" t="s">
        <v>398</v>
      </c>
      <c r="D80" s="32">
        <v>128884.81399696979</v>
      </c>
      <c r="E80" s="30" t="s">
        <v>146</v>
      </c>
      <c r="F80" s="33">
        <f t="shared" si="3"/>
        <v>7.9057273540331513E-2</v>
      </c>
      <c r="G80" s="5">
        <v>0</v>
      </c>
    </row>
    <row r="81" spans="1:7" hidden="1" outlineLevel="1">
      <c r="A81" s="4" t="s">
        <v>906</v>
      </c>
      <c r="B81" s="15" t="str">
        <f t="shared" si="4"/>
        <v>550</v>
      </c>
      <c r="C81" s="15" t="s">
        <v>398</v>
      </c>
      <c r="D81" s="32">
        <v>176117.59716666676</v>
      </c>
      <c r="E81" s="30" t="s">
        <v>214</v>
      </c>
      <c r="F81" s="33">
        <f t="shared" si="3"/>
        <v>0</v>
      </c>
      <c r="G81" s="5">
        <v>0</v>
      </c>
    </row>
    <row r="82" spans="1:7" hidden="1" outlineLevel="1">
      <c r="A82" s="4" t="s">
        <v>907</v>
      </c>
      <c r="B82" s="15" t="str">
        <f t="shared" si="4"/>
        <v>550</v>
      </c>
      <c r="C82" s="15" t="s">
        <v>398</v>
      </c>
      <c r="D82" s="32">
        <v>119814.07392272736</v>
      </c>
      <c r="E82" s="30" t="s">
        <v>203</v>
      </c>
      <c r="F82" s="33">
        <f t="shared" si="3"/>
        <v>0.23084885646883446</v>
      </c>
      <c r="G82" s="5">
        <v>0</v>
      </c>
    </row>
    <row r="83" spans="1:7" hidden="1" outlineLevel="1">
      <c r="A83" s="4" t="s">
        <v>908</v>
      </c>
      <c r="B83" s="15" t="str">
        <f t="shared" si="4"/>
        <v>550</v>
      </c>
      <c r="C83" s="15" t="s">
        <v>398</v>
      </c>
      <c r="D83" s="32">
        <v>28175.666218181839</v>
      </c>
      <c r="E83" s="30" t="s">
        <v>171</v>
      </c>
      <c r="F83" s="33">
        <f t="shared" si="3"/>
        <v>0</v>
      </c>
      <c r="G83" s="5">
        <v>0</v>
      </c>
    </row>
    <row r="84" spans="1:7" hidden="1" outlineLevel="1">
      <c r="A84" s="4" t="s">
        <v>909</v>
      </c>
      <c r="B84" s="15" t="str">
        <f t="shared" si="4"/>
        <v>550</v>
      </c>
      <c r="C84" s="15" t="s">
        <v>398</v>
      </c>
      <c r="D84" s="32">
        <v>656.90823636363677</v>
      </c>
      <c r="E84" s="30" t="s">
        <v>146</v>
      </c>
      <c r="F84" s="33">
        <f t="shared" si="3"/>
        <v>7.9057273540331513E-2</v>
      </c>
      <c r="G84" s="5">
        <v>0</v>
      </c>
    </row>
    <row r="85" spans="1:7" hidden="1" outlineLevel="1">
      <c r="A85" s="4" t="s">
        <v>910</v>
      </c>
      <c r="B85" s="15" t="str">
        <f t="shared" si="4"/>
        <v>552</v>
      </c>
      <c r="C85" s="15" t="s">
        <v>398</v>
      </c>
      <c r="D85" s="32">
        <v>107320.57126847289</v>
      </c>
      <c r="E85" s="30" t="s">
        <v>214</v>
      </c>
      <c r="F85" s="33">
        <f t="shared" si="3"/>
        <v>0</v>
      </c>
      <c r="G85" s="5">
        <v>0</v>
      </c>
    </row>
    <row r="86" spans="1:7" hidden="1" outlineLevel="1">
      <c r="A86" s="4" t="s">
        <v>911</v>
      </c>
      <c r="B86" s="15" t="str">
        <f t="shared" si="4"/>
        <v>552</v>
      </c>
      <c r="C86" s="15" t="s">
        <v>398</v>
      </c>
      <c r="D86" s="32">
        <v>1794.9763208128077</v>
      </c>
      <c r="E86" s="30" t="s">
        <v>203</v>
      </c>
      <c r="F86" s="33">
        <f t="shared" si="3"/>
        <v>0.23084885646883446</v>
      </c>
      <c r="G86" s="5">
        <v>0</v>
      </c>
    </row>
    <row r="87" spans="1:7" hidden="1" outlineLevel="1">
      <c r="A87" s="4" t="s">
        <v>912</v>
      </c>
      <c r="B87" s="15" t="str">
        <f t="shared" si="4"/>
        <v>553</v>
      </c>
      <c r="C87" s="15" t="s">
        <v>398</v>
      </c>
      <c r="D87" s="32">
        <v>353171.12730863201</v>
      </c>
      <c r="E87" s="30" t="s">
        <v>214</v>
      </c>
      <c r="F87" s="33">
        <f t="shared" si="3"/>
        <v>0</v>
      </c>
      <c r="G87" s="5">
        <v>0</v>
      </c>
    </row>
    <row r="88" spans="1:7" hidden="1" outlineLevel="1">
      <c r="A88" s="4" t="s">
        <v>913</v>
      </c>
      <c r="B88" s="15" t="str">
        <f t="shared" si="4"/>
        <v>553</v>
      </c>
      <c r="C88" s="15" t="s">
        <v>398</v>
      </c>
      <c r="D88" s="32">
        <v>195976.9865686947</v>
      </c>
      <c r="E88" s="30" t="s">
        <v>203</v>
      </c>
      <c r="F88" s="33">
        <f t="shared" si="3"/>
        <v>0.23084885646883446</v>
      </c>
      <c r="G88" s="5">
        <v>0</v>
      </c>
    </row>
    <row r="89" spans="1:7" hidden="1" outlineLevel="1">
      <c r="A89" s="4" t="s">
        <v>914</v>
      </c>
      <c r="B89" s="15" t="str">
        <f t="shared" si="4"/>
        <v>554</v>
      </c>
      <c r="C89" s="15" t="s">
        <v>398</v>
      </c>
      <c r="D89" s="32">
        <v>98927.604365763546</v>
      </c>
      <c r="E89" s="30" t="s">
        <v>214</v>
      </c>
      <c r="F89" s="33">
        <f t="shared" si="3"/>
        <v>0</v>
      </c>
      <c r="G89" s="5">
        <v>0</v>
      </c>
    </row>
    <row r="90" spans="1:7" hidden="1" outlineLevel="1">
      <c r="A90" s="4" t="s">
        <v>915</v>
      </c>
      <c r="B90" s="15" t="str">
        <f t="shared" si="4"/>
        <v>554</v>
      </c>
      <c r="C90" s="15" t="s">
        <v>398</v>
      </c>
      <c r="D90" s="32">
        <v>13517.562219827587</v>
      </c>
      <c r="E90" s="30" t="s">
        <v>203</v>
      </c>
      <c r="F90" s="33">
        <f t="shared" si="3"/>
        <v>0.23084885646883446</v>
      </c>
      <c r="G90" s="5">
        <v>0</v>
      </c>
    </row>
    <row r="91" spans="1:7" hidden="1" outlineLevel="1">
      <c r="A91" s="4" t="s">
        <v>916</v>
      </c>
      <c r="B91" s="15" t="str">
        <f t="shared" si="4"/>
        <v>556</v>
      </c>
      <c r="C91" s="15" t="s">
        <v>398</v>
      </c>
      <c r="D91" s="32">
        <v>100561.28202878794</v>
      </c>
      <c r="E91" s="30" t="s">
        <v>146</v>
      </c>
      <c r="F91" s="33">
        <f t="shared" si="3"/>
        <v>7.9057273540331513E-2</v>
      </c>
      <c r="G91" s="5">
        <v>0</v>
      </c>
    </row>
    <row r="92" spans="1:7" hidden="1" outlineLevel="1">
      <c r="A92" s="4" t="s">
        <v>917</v>
      </c>
      <c r="B92" s="15" t="str">
        <f t="shared" si="4"/>
        <v>557</v>
      </c>
      <c r="C92" s="15" t="s">
        <v>398</v>
      </c>
      <c r="D92" s="32">
        <v>248631.40651740067</v>
      </c>
      <c r="E92" s="30" t="s">
        <v>214</v>
      </c>
      <c r="F92" s="33">
        <f t="shared" si="3"/>
        <v>0</v>
      </c>
      <c r="G92" s="5">
        <v>0</v>
      </c>
    </row>
    <row r="93" spans="1:7" hidden="1" outlineLevel="1">
      <c r="A93" s="4" t="s">
        <v>918</v>
      </c>
      <c r="B93" s="15" t="str">
        <f t="shared" si="4"/>
        <v>557</v>
      </c>
      <c r="C93" s="15" t="s">
        <v>398</v>
      </c>
      <c r="D93" s="32">
        <v>88470.395502299158</v>
      </c>
      <c r="E93" s="30" t="s">
        <v>203</v>
      </c>
      <c r="F93" s="33">
        <f t="shared" si="3"/>
        <v>0.23084885646883446</v>
      </c>
      <c r="G93" s="5">
        <v>0</v>
      </c>
    </row>
    <row r="94" spans="1:7" hidden="1" outlineLevel="1">
      <c r="A94" s="4" t="s">
        <v>919</v>
      </c>
      <c r="B94" s="15" t="str">
        <f t="shared" si="4"/>
        <v>557</v>
      </c>
      <c r="C94" s="15" t="s">
        <v>398</v>
      </c>
      <c r="D94" s="32">
        <v>624.72345151515196</v>
      </c>
      <c r="E94" s="30" t="s">
        <v>232</v>
      </c>
      <c r="F94" s="33">
        <f t="shared" si="3"/>
        <v>0.22612324164332259</v>
      </c>
      <c r="G94" s="5">
        <v>0</v>
      </c>
    </row>
    <row r="95" spans="1:7" hidden="1" outlineLevel="1">
      <c r="A95" s="4" t="s">
        <v>920</v>
      </c>
      <c r="B95" s="15" t="str">
        <f t="shared" si="4"/>
        <v>557</v>
      </c>
      <c r="C95" s="15" t="s">
        <v>398</v>
      </c>
      <c r="D95" s="32">
        <v>33967.063713965115</v>
      </c>
      <c r="E95" s="30" t="s">
        <v>231</v>
      </c>
      <c r="F95" s="33">
        <f t="shared" si="3"/>
        <v>0.22953887558714423</v>
      </c>
      <c r="G95" s="5">
        <v>0</v>
      </c>
    </row>
    <row r="96" spans="1:7" hidden="1" outlineLevel="1">
      <c r="A96" s="4" t="s">
        <v>921</v>
      </c>
      <c r="B96" s="15" t="str">
        <f t="shared" si="4"/>
        <v>557</v>
      </c>
      <c r="C96" s="15" t="s">
        <v>398</v>
      </c>
      <c r="D96" s="32">
        <v>1162562.3617093831</v>
      </c>
      <c r="E96" s="30" t="s">
        <v>146</v>
      </c>
      <c r="F96" s="33">
        <f t="shared" si="3"/>
        <v>7.9057273540331513E-2</v>
      </c>
      <c r="G96" s="5">
        <v>0</v>
      </c>
    </row>
    <row r="97" spans="1:7" hidden="1" outlineLevel="1">
      <c r="A97" s="4" t="s">
        <v>922</v>
      </c>
      <c r="B97" s="15" t="str">
        <f t="shared" si="4"/>
        <v>557</v>
      </c>
      <c r="C97" s="15" t="s">
        <v>398</v>
      </c>
      <c r="D97" s="32">
        <v>360185.22035757598</v>
      </c>
      <c r="E97" s="30" t="s">
        <v>141</v>
      </c>
      <c r="F97" s="33">
        <f t="shared" si="3"/>
        <v>1</v>
      </c>
      <c r="G97" s="5">
        <v>0</v>
      </c>
    </row>
    <row r="98" spans="1:7" hidden="1" outlineLevel="1">
      <c r="A98" s="4"/>
      <c r="B98" s="15"/>
      <c r="C98" s="15"/>
      <c r="D98" s="414">
        <f>SUM(D71:D97)</f>
        <v>4325742.6861716891</v>
      </c>
      <c r="E98" s="405"/>
      <c r="F98" s="412"/>
      <c r="G98" s="414">
        <f>SUM(G71:G97)</f>
        <v>0</v>
      </c>
    </row>
    <row r="99" spans="1:7" hidden="1" outlineLevel="1">
      <c r="A99" s="4"/>
      <c r="B99" s="15"/>
      <c r="C99" s="15"/>
      <c r="D99" s="411"/>
      <c r="E99" s="405"/>
      <c r="F99" s="412"/>
      <c r="G99" s="411"/>
    </row>
    <row r="100" spans="1:7" hidden="1" outlineLevel="1">
      <c r="A100" s="4" t="s">
        <v>923</v>
      </c>
      <c r="B100" s="15" t="str">
        <f t="shared" si="4"/>
        <v>560</v>
      </c>
      <c r="C100" s="15" t="s">
        <v>398</v>
      </c>
      <c r="D100" s="32">
        <v>-198379.87481048089</v>
      </c>
      <c r="E100" s="30" t="s">
        <v>214</v>
      </c>
      <c r="F100" s="33">
        <f t="shared" ref="F100:F137" si="5">INDEX(WCAAllocations,IFERROR(MATCH(E100,WCAFactors,0),2),IFERROR(MATCH(E100,WCAStates,0),4))</f>
        <v>0</v>
      </c>
      <c r="G100" s="5">
        <v>0</v>
      </c>
    </row>
    <row r="101" spans="1:7" hidden="1" outlineLevel="1">
      <c r="A101" s="4" t="s">
        <v>924</v>
      </c>
      <c r="B101" s="15" t="str">
        <f t="shared" si="4"/>
        <v>560</v>
      </c>
      <c r="C101" s="15" t="s">
        <v>398</v>
      </c>
      <c r="D101" s="32">
        <v>-4793.0672288922851</v>
      </c>
      <c r="E101" s="30" t="s">
        <v>203</v>
      </c>
      <c r="F101" s="33">
        <f t="shared" si="5"/>
        <v>0.23084885646883446</v>
      </c>
      <c r="G101" s="5">
        <v>0</v>
      </c>
    </row>
    <row r="102" spans="1:7" hidden="1" outlineLevel="1">
      <c r="A102" s="4" t="s">
        <v>925</v>
      </c>
      <c r="B102" s="15" t="str">
        <f t="shared" si="4"/>
        <v>560</v>
      </c>
      <c r="C102" s="15" t="s">
        <v>398</v>
      </c>
      <c r="D102" s="32">
        <v>-1769.7239844200969</v>
      </c>
      <c r="E102" s="30" t="s">
        <v>231</v>
      </c>
      <c r="F102" s="33">
        <f t="shared" si="5"/>
        <v>0.22953887558714423</v>
      </c>
      <c r="G102" s="5">
        <v>0</v>
      </c>
    </row>
    <row r="103" spans="1:7" hidden="1" outlineLevel="1">
      <c r="A103" s="4" t="s">
        <v>926</v>
      </c>
      <c r="B103" s="15" t="str">
        <f t="shared" si="4"/>
        <v>560</v>
      </c>
      <c r="C103" s="15" t="s">
        <v>398</v>
      </c>
      <c r="D103" s="32">
        <v>-601710.95067822444</v>
      </c>
      <c r="E103" s="30" t="s">
        <v>146</v>
      </c>
      <c r="F103" s="33">
        <f t="shared" si="5"/>
        <v>7.9057273540331513E-2</v>
      </c>
      <c r="G103" s="5">
        <v>0</v>
      </c>
    </row>
    <row r="104" spans="1:7" hidden="1" outlineLevel="1">
      <c r="A104" s="4" t="s">
        <v>927</v>
      </c>
      <c r="B104" s="15" t="str">
        <f t="shared" si="4"/>
        <v>561</v>
      </c>
      <c r="C104" s="15" t="s">
        <v>398</v>
      </c>
      <c r="D104" s="32">
        <v>62146.472207147533</v>
      </c>
      <c r="E104" s="30" t="s">
        <v>214</v>
      </c>
      <c r="F104" s="33">
        <f t="shared" si="5"/>
        <v>0</v>
      </c>
      <c r="G104" s="5">
        <v>0</v>
      </c>
    </row>
    <row r="105" spans="1:7" hidden="1" outlineLevel="1">
      <c r="A105" s="4" t="s">
        <v>928</v>
      </c>
      <c r="B105" s="15" t="str">
        <f t="shared" si="4"/>
        <v>561</v>
      </c>
      <c r="C105" s="15" t="s">
        <v>398</v>
      </c>
      <c r="D105" s="32">
        <v>17289.849121442741</v>
      </c>
      <c r="E105" s="30" t="s">
        <v>203</v>
      </c>
      <c r="F105" s="33">
        <f t="shared" si="5"/>
        <v>0.23084885646883446</v>
      </c>
      <c r="G105" s="5">
        <v>0</v>
      </c>
    </row>
    <row r="106" spans="1:7" hidden="1" outlineLevel="1">
      <c r="A106" s="4" t="s">
        <v>929</v>
      </c>
      <c r="B106" s="15" t="str">
        <f t="shared" si="4"/>
        <v>561</v>
      </c>
      <c r="C106" s="15" t="s">
        <v>398</v>
      </c>
      <c r="D106" s="32">
        <v>454567.48604235571</v>
      </c>
      <c r="E106" s="30" t="s">
        <v>146</v>
      </c>
      <c r="F106" s="33">
        <f t="shared" si="5"/>
        <v>7.9057273540331513E-2</v>
      </c>
      <c r="G106" s="5">
        <v>0</v>
      </c>
    </row>
    <row r="107" spans="1:7" hidden="1" outlineLevel="1">
      <c r="A107" s="4" t="s">
        <v>930</v>
      </c>
      <c r="B107" s="15" t="str">
        <f t="shared" si="4"/>
        <v>562</v>
      </c>
      <c r="C107" s="15" t="s">
        <v>398</v>
      </c>
      <c r="D107" s="32">
        <v>87000.407880542625</v>
      </c>
      <c r="E107" s="30" t="s">
        <v>214</v>
      </c>
      <c r="F107" s="33">
        <f t="shared" si="5"/>
        <v>0</v>
      </c>
      <c r="G107" s="5">
        <v>0</v>
      </c>
    </row>
    <row r="108" spans="1:7" hidden="1" outlineLevel="1">
      <c r="A108" s="4" t="s">
        <v>931</v>
      </c>
      <c r="B108" s="15" t="str">
        <f t="shared" si="4"/>
        <v>562</v>
      </c>
      <c r="C108" s="15" t="s">
        <v>398</v>
      </c>
      <c r="D108" s="32">
        <v>24315.31555426868</v>
      </c>
      <c r="E108" s="30" t="s">
        <v>203</v>
      </c>
      <c r="F108" s="33">
        <f t="shared" si="5"/>
        <v>0.23084885646883446</v>
      </c>
      <c r="G108" s="5">
        <v>0</v>
      </c>
    </row>
    <row r="109" spans="1:7" hidden="1" outlineLevel="1">
      <c r="A109" s="4" t="s">
        <v>932</v>
      </c>
      <c r="B109" s="15" t="str">
        <f t="shared" si="4"/>
        <v>562</v>
      </c>
      <c r="C109" s="15" t="s">
        <v>398</v>
      </c>
      <c r="D109" s="32">
        <v>2362.6582677035058</v>
      </c>
      <c r="E109" s="30" t="s">
        <v>231</v>
      </c>
      <c r="F109" s="33">
        <f t="shared" si="5"/>
        <v>0.22953887558714423</v>
      </c>
      <c r="G109" s="5">
        <v>0</v>
      </c>
    </row>
    <row r="110" spans="1:7" hidden="1" outlineLevel="1">
      <c r="A110" s="4" t="s">
        <v>933</v>
      </c>
      <c r="B110" s="15" t="str">
        <f t="shared" si="4"/>
        <v>562</v>
      </c>
      <c r="C110" s="15" t="s">
        <v>398</v>
      </c>
      <c r="D110" s="32">
        <v>55245.011068828549</v>
      </c>
      <c r="E110" s="30" t="s">
        <v>146</v>
      </c>
      <c r="F110" s="33">
        <f t="shared" si="5"/>
        <v>7.9057273540331513E-2</v>
      </c>
      <c r="G110" s="5">
        <v>0</v>
      </c>
    </row>
    <row r="111" spans="1:7" hidden="1" outlineLevel="1">
      <c r="A111" s="4" t="s">
        <v>934</v>
      </c>
      <c r="B111" s="15" t="str">
        <f t="shared" si="4"/>
        <v>563</v>
      </c>
      <c r="C111" s="15" t="s">
        <v>398</v>
      </c>
      <c r="D111" s="32">
        <v>18910.858709463915</v>
      </c>
      <c r="E111" s="30" t="s">
        <v>214</v>
      </c>
      <c r="F111" s="33">
        <f t="shared" si="5"/>
        <v>0</v>
      </c>
      <c r="G111" s="5">
        <v>0</v>
      </c>
    </row>
    <row r="112" spans="1:7" hidden="1" outlineLevel="1">
      <c r="A112" s="4" t="s">
        <v>935</v>
      </c>
      <c r="B112" s="15" t="str">
        <f t="shared" si="4"/>
        <v>563</v>
      </c>
      <c r="C112" s="15" t="s">
        <v>398</v>
      </c>
      <c r="D112" s="32">
        <v>787.74028788881481</v>
      </c>
      <c r="E112" s="30" t="s">
        <v>203</v>
      </c>
      <c r="F112" s="33">
        <f t="shared" si="5"/>
        <v>0.23084885646883446</v>
      </c>
      <c r="G112" s="5">
        <v>0</v>
      </c>
    </row>
    <row r="113" spans="1:7" hidden="1" outlineLevel="1">
      <c r="A113" s="4" t="s">
        <v>936</v>
      </c>
      <c r="B113" s="15" t="str">
        <f t="shared" si="4"/>
        <v>566</v>
      </c>
      <c r="C113" s="15" t="s">
        <v>398</v>
      </c>
      <c r="D113" s="32">
        <v>15244.275848775633</v>
      </c>
      <c r="E113" s="30" t="s">
        <v>214</v>
      </c>
      <c r="F113" s="33">
        <f t="shared" si="5"/>
        <v>0</v>
      </c>
      <c r="G113" s="5">
        <v>0</v>
      </c>
    </row>
    <row r="114" spans="1:7" hidden="1" outlineLevel="1">
      <c r="A114" s="4" t="s">
        <v>937</v>
      </c>
      <c r="B114" s="15" t="str">
        <f t="shared" si="4"/>
        <v>566</v>
      </c>
      <c r="C114" s="15" t="s">
        <v>398</v>
      </c>
      <c r="D114" s="32">
        <v>33089.216494043656</v>
      </c>
      <c r="E114" s="30" t="s">
        <v>203</v>
      </c>
      <c r="F114" s="33">
        <f t="shared" si="5"/>
        <v>0.23084885646883446</v>
      </c>
      <c r="G114" s="5">
        <v>0</v>
      </c>
    </row>
    <row r="115" spans="1:7" hidden="1" outlineLevel="1">
      <c r="A115" s="4" t="s">
        <v>938</v>
      </c>
      <c r="B115" s="15" t="str">
        <f t="shared" si="4"/>
        <v>566</v>
      </c>
      <c r="C115" s="15" t="s">
        <v>398</v>
      </c>
      <c r="D115" s="32">
        <v>101943.11891131694</v>
      </c>
      <c r="E115" s="30" t="s">
        <v>146</v>
      </c>
      <c r="F115" s="33">
        <f t="shared" si="5"/>
        <v>7.9057273540331513E-2</v>
      </c>
      <c r="G115" s="5">
        <v>0</v>
      </c>
    </row>
    <row r="116" spans="1:7" hidden="1" outlineLevel="1">
      <c r="A116" s="4" t="s">
        <v>939</v>
      </c>
      <c r="B116" s="15" t="str">
        <f t="shared" si="4"/>
        <v>566</v>
      </c>
      <c r="C116" s="15" t="s">
        <v>398</v>
      </c>
      <c r="D116" s="32">
        <v>2059.0036482461933</v>
      </c>
      <c r="E116" s="30" t="s">
        <v>715</v>
      </c>
      <c r="F116" s="33">
        <f t="shared" si="5"/>
        <v>1</v>
      </c>
      <c r="G116" s="5">
        <v>0</v>
      </c>
    </row>
    <row r="117" spans="1:7" hidden="1" outlineLevel="1">
      <c r="A117" s="4" t="s">
        <v>940</v>
      </c>
      <c r="B117" s="15" t="str">
        <f t="shared" si="4"/>
        <v>567</v>
      </c>
      <c r="C117" s="15" t="s">
        <v>398</v>
      </c>
      <c r="D117" s="32">
        <v>76642.318673064132</v>
      </c>
      <c r="E117" s="30" t="s">
        <v>214</v>
      </c>
      <c r="F117" s="33">
        <f t="shared" si="5"/>
        <v>0</v>
      </c>
      <c r="G117" s="5">
        <v>0</v>
      </c>
    </row>
    <row r="118" spans="1:7" hidden="1" outlineLevel="1">
      <c r="A118" s="4" t="s">
        <v>941</v>
      </c>
      <c r="B118" s="15" t="str">
        <f t="shared" si="4"/>
        <v>567</v>
      </c>
      <c r="C118" s="15" t="s">
        <v>398</v>
      </c>
      <c r="D118" s="32">
        <v>76988.544354731916</v>
      </c>
      <c r="E118" s="30" t="s">
        <v>203</v>
      </c>
      <c r="F118" s="33">
        <f t="shared" si="5"/>
        <v>0.23084885646883446</v>
      </c>
      <c r="G118" s="5">
        <v>0</v>
      </c>
    </row>
    <row r="119" spans="1:7" hidden="1" outlineLevel="1">
      <c r="A119" s="4" t="s">
        <v>942</v>
      </c>
      <c r="B119" s="15" t="str">
        <f t="shared" si="4"/>
        <v>567</v>
      </c>
      <c r="C119" s="15" t="s">
        <v>398</v>
      </c>
      <c r="D119" s="32">
        <v>-6.1333553937789498</v>
      </c>
      <c r="E119" s="30" t="s">
        <v>146</v>
      </c>
      <c r="F119" s="33">
        <f t="shared" si="5"/>
        <v>7.9057273540331513E-2</v>
      </c>
      <c r="G119" s="5">
        <v>0</v>
      </c>
    </row>
    <row r="120" spans="1:7" hidden="1" outlineLevel="1">
      <c r="A120" s="4" t="s">
        <v>943</v>
      </c>
      <c r="B120" s="15" t="str">
        <f t="shared" si="4"/>
        <v>568</v>
      </c>
      <c r="C120" s="15" t="s">
        <v>398</v>
      </c>
      <c r="D120" s="32">
        <v>16492.364240044884</v>
      </c>
      <c r="E120" s="30" t="s">
        <v>214</v>
      </c>
      <c r="F120" s="33">
        <f t="shared" si="5"/>
        <v>0</v>
      </c>
      <c r="G120" s="5">
        <v>0</v>
      </c>
    </row>
    <row r="121" spans="1:7" hidden="1" outlineLevel="1">
      <c r="A121" s="4" t="s">
        <v>944</v>
      </c>
      <c r="B121" s="15" t="str">
        <f t="shared" si="4"/>
        <v>568</v>
      </c>
      <c r="C121" s="15" t="s">
        <v>398</v>
      </c>
      <c r="D121" s="32">
        <v>12527.933595064511</v>
      </c>
      <c r="E121" s="30" t="s">
        <v>203</v>
      </c>
      <c r="F121" s="33">
        <f t="shared" si="5"/>
        <v>0.23084885646883446</v>
      </c>
      <c r="G121" s="5">
        <v>0</v>
      </c>
    </row>
    <row r="122" spans="1:7" hidden="1" outlineLevel="1">
      <c r="A122" s="4" t="s">
        <v>945</v>
      </c>
      <c r="B122" s="15" t="str">
        <f t="shared" si="4"/>
        <v>568</v>
      </c>
      <c r="C122" s="15" t="s">
        <v>398</v>
      </c>
      <c r="D122" s="32">
        <v>28703.868625911411</v>
      </c>
      <c r="E122" s="30" t="s">
        <v>146</v>
      </c>
      <c r="F122" s="33">
        <f t="shared" si="5"/>
        <v>7.9057273540331513E-2</v>
      </c>
      <c r="G122" s="5">
        <v>0</v>
      </c>
    </row>
    <row r="123" spans="1:7" hidden="1" outlineLevel="1">
      <c r="A123" s="4" t="s">
        <v>946</v>
      </c>
      <c r="B123" s="15" t="str">
        <f t="shared" si="4"/>
        <v>569</v>
      </c>
      <c r="C123" s="15" t="s">
        <v>398</v>
      </c>
      <c r="D123" s="32">
        <v>1510.0597195737535</v>
      </c>
      <c r="E123" s="30" t="s">
        <v>214</v>
      </c>
      <c r="F123" s="33">
        <f t="shared" si="5"/>
        <v>0</v>
      </c>
      <c r="G123" s="5">
        <v>0</v>
      </c>
    </row>
    <row r="124" spans="1:7" hidden="1" outlineLevel="1">
      <c r="A124" s="4" t="s">
        <v>947</v>
      </c>
      <c r="B124" s="15" t="str">
        <f t="shared" si="4"/>
        <v>569</v>
      </c>
      <c r="C124" s="15" t="s">
        <v>398</v>
      </c>
      <c r="D124" s="32">
        <v>30.280291643297844</v>
      </c>
      <c r="E124" s="30" t="s">
        <v>203</v>
      </c>
      <c r="F124" s="33">
        <f t="shared" si="5"/>
        <v>0.23084885646883446</v>
      </c>
      <c r="G124" s="5">
        <v>0</v>
      </c>
    </row>
    <row r="125" spans="1:7" hidden="1" outlineLevel="1">
      <c r="A125" s="4" t="s">
        <v>948</v>
      </c>
      <c r="B125" s="15" t="str">
        <f t="shared" si="4"/>
        <v>569</v>
      </c>
      <c r="C125" s="15" t="s">
        <v>398</v>
      </c>
      <c r="D125" s="32">
        <v>153959.68035894574</v>
      </c>
      <c r="E125" s="30" t="s">
        <v>146</v>
      </c>
      <c r="F125" s="33">
        <f t="shared" si="5"/>
        <v>7.9057273540331513E-2</v>
      </c>
      <c r="G125" s="5">
        <v>0</v>
      </c>
    </row>
    <row r="126" spans="1:7" hidden="1" outlineLevel="1">
      <c r="A126" s="4" t="s">
        <v>949</v>
      </c>
      <c r="B126" s="15" t="str">
        <f t="shared" si="4"/>
        <v>570</v>
      </c>
      <c r="C126" s="15" t="s">
        <v>398</v>
      </c>
      <c r="D126" s="32">
        <v>234396.17220415056</v>
      </c>
      <c r="E126" s="30" t="s">
        <v>214</v>
      </c>
      <c r="F126" s="33">
        <f t="shared" si="5"/>
        <v>0</v>
      </c>
      <c r="G126" s="5">
        <v>0</v>
      </c>
    </row>
    <row r="127" spans="1:7" hidden="1" outlineLevel="1">
      <c r="A127" s="4" t="s">
        <v>950</v>
      </c>
      <c r="B127" s="15" t="str">
        <f t="shared" si="4"/>
        <v>570</v>
      </c>
      <c r="C127" s="15" t="s">
        <v>398</v>
      </c>
      <c r="D127" s="32">
        <v>109378.38662927662</v>
      </c>
      <c r="E127" s="30" t="s">
        <v>203</v>
      </c>
      <c r="F127" s="33">
        <f t="shared" si="5"/>
        <v>0.23084885646883446</v>
      </c>
      <c r="G127" s="5">
        <v>0</v>
      </c>
    </row>
    <row r="128" spans="1:7" hidden="1" outlineLevel="1">
      <c r="A128" s="4" t="s">
        <v>951</v>
      </c>
      <c r="B128" s="15" t="str">
        <f t="shared" si="4"/>
        <v>570</v>
      </c>
      <c r="C128" s="15" t="s">
        <v>398</v>
      </c>
      <c r="D128" s="32">
        <v>3127.3023892316351</v>
      </c>
      <c r="E128" s="30" t="s">
        <v>231</v>
      </c>
      <c r="F128" s="33">
        <f t="shared" si="5"/>
        <v>0.22953887558714423</v>
      </c>
      <c r="G128" s="5">
        <v>0</v>
      </c>
    </row>
    <row r="129" spans="1:7" hidden="1" outlineLevel="1">
      <c r="A129" s="4" t="s">
        <v>952</v>
      </c>
      <c r="B129" s="15" t="str">
        <f t="shared" si="4"/>
        <v>570</v>
      </c>
      <c r="C129" s="15" t="s">
        <v>398</v>
      </c>
      <c r="D129" s="32">
        <v>17131.880381379713</v>
      </c>
      <c r="E129" s="30" t="s">
        <v>146</v>
      </c>
      <c r="F129" s="33">
        <f t="shared" si="5"/>
        <v>7.9057273540331513E-2</v>
      </c>
      <c r="G129" s="5">
        <v>0</v>
      </c>
    </row>
    <row r="130" spans="1:7" hidden="1" outlineLevel="1">
      <c r="A130" s="4" t="s">
        <v>953</v>
      </c>
      <c r="B130" s="15" t="str">
        <f t="shared" si="4"/>
        <v>571</v>
      </c>
      <c r="C130" s="15" t="s">
        <v>398</v>
      </c>
      <c r="D130" s="32">
        <v>396556.13277979451</v>
      </c>
      <c r="E130" s="30" t="s">
        <v>214</v>
      </c>
      <c r="F130" s="33">
        <f t="shared" si="5"/>
        <v>0</v>
      </c>
      <c r="G130" s="5">
        <v>0</v>
      </c>
    </row>
    <row r="131" spans="1:7" hidden="1" outlineLevel="1">
      <c r="A131" s="4" t="s">
        <v>954</v>
      </c>
      <c r="B131" s="15" t="str">
        <f t="shared" si="4"/>
        <v>571</v>
      </c>
      <c r="C131" s="15" t="s">
        <v>398</v>
      </c>
      <c r="D131" s="32">
        <v>300019.68461530382</v>
      </c>
      <c r="E131" s="30" t="s">
        <v>203</v>
      </c>
      <c r="F131" s="33">
        <f t="shared" si="5"/>
        <v>0.23084885646883446</v>
      </c>
      <c r="G131" s="5">
        <v>0</v>
      </c>
    </row>
    <row r="132" spans="1:7" hidden="1" outlineLevel="1">
      <c r="A132" s="4" t="s">
        <v>955</v>
      </c>
      <c r="B132" s="15" t="str">
        <f t="shared" si="4"/>
        <v>571</v>
      </c>
      <c r="C132" s="15" t="s">
        <v>398</v>
      </c>
      <c r="D132" s="32">
        <v>-3151.0551047279564</v>
      </c>
      <c r="E132" s="30" t="s">
        <v>231</v>
      </c>
      <c r="F132" s="33">
        <f t="shared" si="5"/>
        <v>0.22953887558714423</v>
      </c>
      <c r="G132" s="5">
        <v>0</v>
      </c>
    </row>
    <row r="133" spans="1:7" hidden="1" outlineLevel="1">
      <c r="A133" s="4" t="s">
        <v>956</v>
      </c>
      <c r="B133" s="15" t="str">
        <f t="shared" si="4"/>
        <v>571</v>
      </c>
      <c r="C133" s="15" t="s">
        <v>398</v>
      </c>
      <c r="D133" s="32">
        <v>-22343.738989023634</v>
      </c>
      <c r="E133" s="30" t="s">
        <v>146</v>
      </c>
      <c r="F133" s="33">
        <f t="shared" si="5"/>
        <v>7.9057273540331513E-2</v>
      </c>
      <c r="G133" s="5">
        <v>0</v>
      </c>
    </row>
    <row r="134" spans="1:7" hidden="1" outlineLevel="1">
      <c r="A134" s="4" t="s">
        <v>957</v>
      </c>
      <c r="B134" s="15" t="str">
        <f t="shared" si="4"/>
        <v>572</v>
      </c>
      <c r="C134" s="15" t="s">
        <v>398</v>
      </c>
      <c r="D134" s="32">
        <v>2250.1186763881124</v>
      </c>
      <c r="E134" s="30" t="s">
        <v>214</v>
      </c>
      <c r="F134" s="33">
        <f t="shared" si="5"/>
        <v>0</v>
      </c>
      <c r="G134" s="5">
        <v>0</v>
      </c>
    </row>
    <row r="135" spans="1:7" hidden="1" outlineLevel="1">
      <c r="A135" s="4" t="s">
        <v>958</v>
      </c>
      <c r="B135" s="15" t="str">
        <f t="shared" si="4"/>
        <v>572</v>
      </c>
      <c r="C135" s="15" t="s">
        <v>398</v>
      </c>
      <c r="D135" s="32">
        <v>352.15542344363467</v>
      </c>
      <c r="E135" s="30" t="s">
        <v>203</v>
      </c>
      <c r="F135" s="33">
        <f t="shared" si="5"/>
        <v>0.23084885646883446</v>
      </c>
      <c r="G135" s="5">
        <v>0</v>
      </c>
    </row>
    <row r="136" spans="1:7" hidden="1" outlineLevel="1">
      <c r="A136" s="4" t="s">
        <v>959</v>
      </c>
      <c r="B136" s="15" t="str">
        <f t="shared" si="4"/>
        <v>573</v>
      </c>
      <c r="C136" s="15" t="s">
        <v>398</v>
      </c>
      <c r="D136" s="32">
        <v>761.12906337633285</v>
      </c>
      <c r="E136" s="30" t="s">
        <v>214</v>
      </c>
      <c r="F136" s="33">
        <f t="shared" si="5"/>
        <v>0</v>
      </c>
      <c r="G136" s="5">
        <v>0</v>
      </c>
    </row>
    <row r="137" spans="1:7" hidden="1" outlineLevel="1">
      <c r="A137" s="4" t="s">
        <v>960</v>
      </c>
      <c r="B137" s="15" t="str">
        <f t="shared" si="4"/>
        <v>573</v>
      </c>
      <c r="C137" s="15" t="s">
        <v>398</v>
      </c>
      <c r="D137" s="32">
        <v>17763.706831183415</v>
      </c>
      <c r="E137" s="30" t="s">
        <v>146</v>
      </c>
      <c r="F137" s="33">
        <f t="shared" si="5"/>
        <v>7.9057273540331513E-2</v>
      </c>
      <c r="G137" s="5">
        <v>0</v>
      </c>
    </row>
    <row r="138" spans="1:7" hidden="1" outlineLevel="1">
      <c r="A138" s="4"/>
      <c r="B138" s="15"/>
      <c r="C138" s="15"/>
      <c r="D138" s="414">
        <f>SUM(D100:D137)</f>
        <v>1491398.5887433693</v>
      </c>
      <c r="E138" s="405"/>
      <c r="F138" s="412"/>
      <c r="G138" s="414">
        <f>SUM(G100:G137)</f>
        <v>0</v>
      </c>
    </row>
    <row r="139" spans="1:7" hidden="1" outlineLevel="1">
      <c r="A139" s="4"/>
      <c r="B139" s="15"/>
      <c r="C139" s="15"/>
      <c r="D139" s="411"/>
      <c r="E139" s="405"/>
      <c r="F139" s="412"/>
      <c r="G139" s="411"/>
    </row>
    <row r="140" spans="1:7" hidden="1" outlineLevel="1">
      <c r="A140" s="4" t="s">
        <v>961</v>
      </c>
      <c r="B140" s="15" t="str">
        <f t="shared" si="4"/>
        <v>580</v>
      </c>
      <c r="C140" s="15" t="s">
        <v>398</v>
      </c>
      <c r="D140" s="32">
        <v>-884572.98199326522</v>
      </c>
      <c r="E140" s="30" t="s">
        <v>151</v>
      </c>
      <c r="F140" s="33">
        <f t="shared" ref="F140:F173" si="6">INDEX(WCAAllocations,IFERROR(MATCH(E140,WCAFactors,0),2),IFERROR(MATCH(E140,WCAStates,0),4))</f>
        <v>6.2803307592478125E-2</v>
      </c>
      <c r="G140" s="5">
        <v>0</v>
      </c>
    </row>
    <row r="141" spans="1:7" hidden="1" outlineLevel="1">
      <c r="A141" s="4" t="s">
        <v>962</v>
      </c>
      <c r="B141" s="15" t="str">
        <f t="shared" si="4"/>
        <v>580</v>
      </c>
      <c r="C141" s="15" t="s">
        <v>398</v>
      </c>
      <c r="D141" s="32">
        <v>-1069719.0148387582</v>
      </c>
      <c r="E141" s="30" t="s">
        <v>141</v>
      </c>
      <c r="F141" s="33">
        <f t="shared" si="6"/>
        <v>1</v>
      </c>
      <c r="G141" s="5">
        <v>0</v>
      </c>
    </row>
    <row r="142" spans="1:7" hidden="1" outlineLevel="1">
      <c r="A142" s="4" t="s">
        <v>963</v>
      </c>
      <c r="B142" s="15" t="str">
        <f t="shared" si="4"/>
        <v>581</v>
      </c>
      <c r="C142" s="15" t="s">
        <v>398</v>
      </c>
      <c r="D142" s="32">
        <v>560018.26713114697</v>
      </c>
      <c r="E142" s="30" t="s">
        <v>151</v>
      </c>
      <c r="F142" s="33">
        <f t="shared" si="6"/>
        <v>6.2803307592478125E-2</v>
      </c>
      <c r="G142" s="5">
        <v>0</v>
      </c>
    </row>
    <row r="143" spans="1:7" hidden="1" outlineLevel="1">
      <c r="A143" s="4" t="s">
        <v>964</v>
      </c>
      <c r="B143" s="15" t="str">
        <f t="shared" si="4"/>
        <v>581</v>
      </c>
      <c r="C143" s="15" t="s">
        <v>398</v>
      </c>
      <c r="D143" s="32">
        <v>0</v>
      </c>
      <c r="E143" s="30" t="s">
        <v>141</v>
      </c>
      <c r="F143" s="33">
        <f t="shared" si="6"/>
        <v>1</v>
      </c>
      <c r="G143" s="5">
        <v>0</v>
      </c>
    </row>
    <row r="144" spans="1:7" hidden="1" outlineLevel="1">
      <c r="A144" s="4" t="s">
        <v>965</v>
      </c>
      <c r="B144" s="15" t="str">
        <f t="shared" si="4"/>
        <v>582</v>
      </c>
      <c r="C144" s="15" t="s">
        <v>398</v>
      </c>
      <c r="D144" s="32">
        <v>2185.4020081967192</v>
      </c>
      <c r="E144" s="30" t="s">
        <v>151</v>
      </c>
      <c r="F144" s="33">
        <f t="shared" si="6"/>
        <v>6.2803307592478125E-2</v>
      </c>
      <c r="G144" s="5">
        <v>0</v>
      </c>
    </row>
    <row r="145" spans="1:7" hidden="1" outlineLevel="1">
      <c r="A145" s="4" t="s">
        <v>966</v>
      </c>
      <c r="B145" s="15" t="str">
        <f t="shared" si="4"/>
        <v>582</v>
      </c>
      <c r="C145" s="15" t="s">
        <v>398</v>
      </c>
      <c r="D145" s="32">
        <v>190054.36504098342</v>
      </c>
      <c r="E145" s="30" t="s">
        <v>141</v>
      </c>
      <c r="F145" s="33">
        <f t="shared" si="6"/>
        <v>1</v>
      </c>
      <c r="G145" s="5">
        <v>0</v>
      </c>
    </row>
    <row r="146" spans="1:7" hidden="1" outlineLevel="1">
      <c r="A146" s="4" t="s">
        <v>967</v>
      </c>
      <c r="B146" s="15" t="str">
        <f t="shared" ref="B146:B215" si="7">MID(A146,1,3)</f>
        <v>583</v>
      </c>
      <c r="C146" s="15" t="s">
        <v>398</v>
      </c>
      <c r="D146" s="32">
        <v>1369.0568442622937</v>
      </c>
      <c r="E146" s="30" t="s">
        <v>151</v>
      </c>
      <c r="F146" s="33">
        <f t="shared" si="6"/>
        <v>6.2803307592478125E-2</v>
      </c>
      <c r="G146" s="5">
        <v>0</v>
      </c>
    </row>
    <row r="147" spans="1:7" hidden="1" outlineLevel="1">
      <c r="A147" s="4" t="s">
        <v>968</v>
      </c>
      <c r="B147" s="15" t="str">
        <f t="shared" si="7"/>
        <v>583</v>
      </c>
      <c r="C147" s="15" t="s">
        <v>398</v>
      </c>
      <c r="D147" s="32">
        <v>272908.98069672106</v>
      </c>
      <c r="E147" s="30" t="s">
        <v>141</v>
      </c>
      <c r="F147" s="33">
        <f t="shared" si="6"/>
        <v>1</v>
      </c>
      <c r="G147" s="5">
        <v>0</v>
      </c>
    </row>
    <row r="148" spans="1:7" hidden="1" outlineLevel="1">
      <c r="A148" s="4" t="s">
        <v>969</v>
      </c>
      <c r="B148" s="15" t="str">
        <f t="shared" si="7"/>
        <v>584</v>
      </c>
      <c r="C148" s="15" t="s">
        <v>398</v>
      </c>
      <c r="D148" s="32">
        <v>22.3462295081967</v>
      </c>
      <c r="E148" s="30" t="s">
        <v>172</v>
      </c>
      <c r="F148" s="33">
        <f t="shared" si="6"/>
        <v>0</v>
      </c>
      <c r="G148" s="5">
        <v>0</v>
      </c>
    </row>
    <row r="149" spans="1:7" hidden="1" outlineLevel="1">
      <c r="A149" s="4" t="s">
        <v>970</v>
      </c>
      <c r="B149" s="15" t="str">
        <f t="shared" si="7"/>
        <v>585</v>
      </c>
      <c r="C149" s="15" t="s">
        <v>398</v>
      </c>
      <c r="D149" s="32">
        <v>9113.1050819672037</v>
      </c>
      <c r="E149" s="30" t="s">
        <v>151</v>
      </c>
      <c r="F149" s="33">
        <f t="shared" si="6"/>
        <v>6.2803307592478125E-2</v>
      </c>
      <c r="G149" s="5">
        <v>0</v>
      </c>
    </row>
    <row r="150" spans="1:7" hidden="1" outlineLevel="1">
      <c r="A150" s="4" t="s">
        <v>971</v>
      </c>
      <c r="B150" s="15" t="str">
        <f t="shared" si="7"/>
        <v>586</v>
      </c>
      <c r="C150" s="15" t="s">
        <v>398</v>
      </c>
      <c r="D150" s="32">
        <v>17662.451598360636</v>
      </c>
      <c r="E150" s="30" t="s">
        <v>151</v>
      </c>
      <c r="F150" s="33">
        <f t="shared" si="6"/>
        <v>6.2803307592478125E-2</v>
      </c>
      <c r="G150" s="5">
        <v>0</v>
      </c>
    </row>
    <row r="151" spans="1:7" hidden="1" outlineLevel="1">
      <c r="A151" s="4" t="s">
        <v>972</v>
      </c>
      <c r="B151" s="15" t="str">
        <f t="shared" si="7"/>
        <v>586</v>
      </c>
      <c r="C151" s="15" t="s">
        <v>398</v>
      </c>
      <c r="D151" s="32">
        <v>301201.57127049152</v>
      </c>
      <c r="E151" s="30" t="s">
        <v>141</v>
      </c>
      <c r="F151" s="33">
        <f t="shared" si="6"/>
        <v>1</v>
      </c>
      <c r="G151" s="5">
        <v>0</v>
      </c>
    </row>
    <row r="152" spans="1:7" hidden="1" outlineLevel="1">
      <c r="A152" s="4" t="s">
        <v>973</v>
      </c>
      <c r="B152" s="15" t="str">
        <f t="shared" si="7"/>
        <v>587</v>
      </c>
      <c r="C152" s="15" t="s">
        <v>398</v>
      </c>
      <c r="D152" s="32">
        <v>500292.64954917983</v>
      </c>
      <c r="E152" s="30" t="s">
        <v>141</v>
      </c>
      <c r="F152" s="33">
        <f t="shared" si="6"/>
        <v>1</v>
      </c>
      <c r="G152" s="5">
        <v>0</v>
      </c>
    </row>
    <row r="153" spans="1:7" hidden="1" outlineLevel="1">
      <c r="A153" s="4" t="s">
        <v>974</v>
      </c>
      <c r="B153" s="15" t="str">
        <f t="shared" si="7"/>
        <v>588</v>
      </c>
      <c r="C153" s="15" t="s">
        <v>398</v>
      </c>
      <c r="D153" s="32">
        <v>179163.15098360638</v>
      </c>
      <c r="E153" s="30" t="s">
        <v>151</v>
      </c>
      <c r="F153" s="33">
        <f t="shared" si="6"/>
        <v>6.2803307592478125E-2</v>
      </c>
      <c r="G153" s="5">
        <v>0</v>
      </c>
    </row>
    <row r="154" spans="1:7" hidden="1" outlineLevel="1">
      <c r="A154" s="4" t="s">
        <v>975</v>
      </c>
      <c r="B154" s="15" t="str">
        <f t="shared" si="7"/>
        <v>588</v>
      </c>
      <c r="C154" s="15" t="s">
        <v>398</v>
      </c>
      <c r="D154" s="32">
        <v>35042.113032786845</v>
      </c>
      <c r="E154" s="30" t="s">
        <v>141</v>
      </c>
      <c r="F154" s="33">
        <f t="shared" si="6"/>
        <v>1</v>
      </c>
      <c r="G154" s="5">
        <v>0</v>
      </c>
    </row>
    <row r="155" spans="1:7" hidden="1" outlineLevel="1">
      <c r="A155" s="4" t="s">
        <v>976</v>
      </c>
      <c r="B155" s="15" t="str">
        <f t="shared" si="7"/>
        <v>589</v>
      </c>
      <c r="C155" s="15" t="s">
        <v>398</v>
      </c>
      <c r="D155" s="32">
        <v>4205.2765573770448</v>
      </c>
      <c r="E155" s="30" t="s">
        <v>151</v>
      </c>
      <c r="F155" s="33">
        <f t="shared" si="6"/>
        <v>6.2803307592478125E-2</v>
      </c>
      <c r="G155" s="5">
        <v>0</v>
      </c>
    </row>
    <row r="156" spans="1:7" hidden="1" outlineLevel="1">
      <c r="A156" s="4" t="s">
        <v>977</v>
      </c>
      <c r="B156" s="15" t="str">
        <f t="shared" si="7"/>
        <v>589</v>
      </c>
      <c r="C156" s="15" t="s">
        <v>398</v>
      </c>
      <c r="D156" s="32">
        <v>162547.91471311459</v>
      </c>
      <c r="E156" s="30" t="s">
        <v>141</v>
      </c>
      <c r="F156" s="33">
        <f t="shared" si="6"/>
        <v>1</v>
      </c>
      <c r="G156" s="5">
        <v>0</v>
      </c>
    </row>
    <row r="157" spans="1:7" hidden="1" outlineLevel="1">
      <c r="A157" s="4" t="s">
        <v>978</v>
      </c>
      <c r="B157" s="15" t="str">
        <f t="shared" si="7"/>
        <v>590</v>
      </c>
      <c r="C157" s="15" t="s">
        <v>398</v>
      </c>
      <c r="D157" s="32">
        <v>112251.28637787068</v>
      </c>
      <c r="E157" s="30" t="s">
        <v>151</v>
      </c>
      <c r="F157" s="33">
        <f t="shared" si="6"/>
        <v>6.2803307592478125E-2</v>
      </c>
      <c r="G157" s="5">
        <v>0</v>
      </c>
    </row>
    <row r="158" spans="1:7" hidden="1" outlineLevel="1">
      <c r="A158" s="4" t="s">
        <v>979</v>
      </c>
      <c r="B158" s="15" t="str">
        <f t="shared" si="7"/>
        <v>590</v>
      </c>
      <c r="C158" s="15" t="s">
        <v>398</v>
      </c>
      <c r="D158" s="32">
        <v>87952.487453027235</v>
      </c>
      <c r="E158" s="30" t="s">
        <v>141</v>
      </c>
      <c r="F158" s="33">
        <f t="shared" si="6"/>
        <v>1</v>
      </c>
      <c r="G158" s="5">
        <v>0</v>
      </c>
    </row>
    <row r="159" spans="1:7" hidden="1" outlineLevel="1">
      <c r="A159" s="4" t="s">
        <v>980</v>
      </c>
      <c r="B159" s="15" t="str">
        <f t="shared" si="7"/>
        <v>591</v>
      </c>
      <c r="C159" s="15" t="s">
        <v>398</v>
      </c>
      <c r="D159" s="32">
        <v>1673.8721816283942</v>
      </c>
      <c r="E159" s="30" t="s">
        <v>151</v>
      </c>
      <c r="F159" s="33">
        <f t="shared" si="6"/>
        <v>6.2803307592478125E-2</v>
      </c>
      <c r="G159" s="5">
        <v>0</v>
      </c>
    </row>
    <row r="160" spans="1:7" hidden="1" outlineLevel="1">
      <c r="A160" s="4" t="s">
        <v>981</v>
      </c>
      <c r="B160" s="15" t="str">
        <f t="shared" si="7"/>
        <v>591</v>
      </c>
      <c r="C160" s="15" t="s">
        <v>398</v>
      </c>
      <c r="D160" s="32">
        <v>53684.808841336184</v>
      </c>
      <c r="E160" s="30" t="s">
        <v>141</v>
      </c>
      <c r="F160" s="33">
        <f t="shared" si="6"/>
        <v>1</v>
      </c>
      <c r="G160" s="5">
        <v>0</v>
      </c>
    </row>
    <row r="161" spans="1:7" hidden="1" outlineLevel="1">
      <c r="A161" s="4" t="s">
        <v>982</v>
      </c>
      <c r="B161" s="15" t="str">
        <f t="shared" si="7"/>
        <v>592</v>
      </c>
      <c r="C161" s="15" t="s">
        <v>398</v>
      </c>
      <c r="D161" s="32">
        <v>61407.01206680591</v>
      </c>
      <c r="E161" s="30" t="s">
        <v>151</v>
      </c>
      <c r="F161" s="33">
        <f t="shared" si="6"/>
        <v>6.2803307592478125E-2</v>
      </c>
      <c r="G161" s="5">
        <v>0</v>
      </c>
    </row>
    <row r="162" spans="1:7" hidden="1" outlineLevel="1">
      <c r="A162" s="4" t="s">
        <v>983</v>
      </c>
      <c r="B162" s="15" t="str">
        <f t="shared" si="7"/>
        <v>592</v>
      </c>
      <c r="C162" s="15" t="s">
        <v>398</v>
      </c>
      <c r="D162" s="32">
        <v>323579.8253757832</v>
      </c>
      <c r="E162" s="30" t="s">
        <v>141</v>
      </c>
      <c r="F162" s="33">
        <f t="shared" si="6"/>
        <v>1</v>
      </c>
      <c r="G162" s="5">
        <v>0</v>
      </c>
    </row>
    <row r="163" spans="1:7" hidden="1" outlineLevel="1">
      <c r="A163" s="4" t="s">
        <v>984</v>
      </c>
      <c r="B163" s="15" t="str">
        <f t="shared" si="7"/>
        <v>593</v>
      </c>
      <c r="C163" s="15" t="s">
        <v>398</v>
      </c>
      <c r="D163" s="32">
        <v>-151840.31689662678</v>
      </c>
      <c r="E163" s="30" t="s">
        <v>151</v>
      </c>
      <c r="F163" s="33">
        <f t="shared" si="6"/>
        <v>6.2803307592478125E-2</v>
      </c>
      <c r="G163" s="5">
        <v>0</v>
      </c>
    </row>
    <row r="164" spans="1:7" hidden="1" outlineLevel="1">
      <c r="A164" s="4" t="s">
        <v>985</v>
      </c>
      <c r="B164" s="15" t="str">
        <f t="shared" si="7"/>
        <v>593</v>
      </c>
      <c r="C164" s="15" t="s">
        <v>398</v>
      </c>
      <c r="D164" s="32">
        <v>1530825.3749264346</v>
      </c>
      <c r="E164" s="30" t="s">
        <v>141</v>
      </c>
      <c r="F164" s="33">
        <f t="shared" si="6"/>
        <v>1</v>
      </c>
      <c r="G164" s="5">
        <v>0</v>
      </c>
    </row>
    <row r="165" spans="1:7" hidden="1" outlineLevel="1">
      <c r="A165" s="4" t="s">
        <v>986</v>
      </c>
      <c r="B165" s="15" t="str">
        <f t="shared" si="7"/>
        <v>594</v>
      </c>
      <c r="C165" s="15" t="s">
        <v>398</v>
      </c>
      <c r="D165" s="32">
        <v>1266.3318789144062</v>
      </c>
      <c r="E165" s="30" t="s">
        <v>151</v>
      </c>
      <c r="F165" s="33">
        <f t="shared" si="6"/>
        <v>6.2803307592478125E-2</v>
      </c>
      <c r="G165" s="5">
        <v>0</v>
      </c>
    </row>
    <row r="166" spans="1:7" hidden="1" outlineLevel="1">
      <c r="A166" s="4" t="s">
        <v>987</v>
      </c>
      <c r="B166" s="15" t="str">
        <f t="shared" si="7"/>
        <v>594</v>
      </c>
      <c r="C166" s="15" t="s">
        <v>398</v>
      </c>
      <c r="D166" s="32">
        <v>690043.4946033411</v>
      </c>
      <c r="E166" s="30" t="s">
        <v>141</v>
      </c>
      <c r="F166" s="33">
        <f t="shared" si="6"/>
        <v>1</v>
      </c>
      <c r="G166" s="5">
        <v>0</v>
      </c>
    </row>
    <row r="167" spans="1:7" hidden="1" outlineLevel="1">
      <c r="A167" s="4" t="s">
        <v>988</v>
      </c>
      <c r="B167" s="15" t="str">
        <f t="shared" si="7"/>
        <v>595</v>
      </c>
      <c r="C167" s="15" t="s">
        <v>398</v>
      </c>
      <c r="D167" s="32">
        <v>33198.860093945754</v>
      </c>
      <c r="E167" s="30" t="s">
        <v>151</v>
      </c>
      <c r="F167" s="33">
        <f t="shared" si="6"/>
        <v>6.2803307592478125E-2</v>
      </c>
      <c r="G167" s="5">
        <v>0</v>
      </c>
    </row>
    <row r="168" spans="1:7" hidden="1" outlineLevel="1">
      <c r="A168" s="4" t="s">
        <v>989</v>
      </c>
      <c r="B168" s="15" t="str">
        <f t="shared" si="7"/>
        <v>595</v>
      </c>
      <c r="C168" s="15" t="s">
        <v>398</v>
      </c>
      <c r="D168" s="32">
        <v>-54.828903966597139</v>
      </c>
      <c r="E168" s="30" t="s">
        <v>141</v>
      </c>
      <c r="F168" s="33">
        <f t="shared" si="6"/>
        <v>1</v>
      </c>
      <c r="G168" s="5">
        <v>0</v>
      </c>
    </row>
    <row r="169" spans="1:7" hidden="1" outlineLevel="1">
      <c r="A169" s="4" t="s">
        <v>990</v>
      </c>
      <c r="B169" s="15" t="str">
        <f t="shared" si="7"/>
        <v>596</v>
      </c>
      <c r="C169" s="15" t="s">
        <v>398</v>
      </c>
      <c r="D169" s="32">
        <v>116218.65375782893</v>
      </c>
      <c r="E169" s="30" t="s">
        <v>141</v>
      </c>
      <c r="F169" s="33">
        <f t="shared" si="6"/>
        <v>1</v>
      </c>
      <c r="G169" s="5">
        <v>0</v>
      </c>
    </row>
    <row r="170" spans="1:7" hidden="1" outlineLevel="1">
      <c r="A170" s="4" t="s">
        <v>991</v>
      </c>
      <c r="B170" s="15" t="str">
        <f t="shared" si="7"/>
        <v>597</v>
      </c>
      <c r="C170" s="15" t="s">
        <v>398</v>
      </c>
      <c r="D170" s="32">
        <v>59325.198653444735</v>
      </c>
      <c r="E170" s="30" t="s">
        <v>151</v>
      </c>
      <c r="F170" s="33">
        <f t="shared" si="6"/>
        <v>6.2803307592478125E-2</v>
      </c>
      <c r="G170" s="5">
        <v>0</v>
      </c>
    </row>
    <row r="171" spans="1:7" hidden="1" outlineLevel="1">
      <c r="A171" s="4" t="s">
        <v>992</v>
      </c>
      <c r="B171" s="15" t="str">
        <f t="shared" si="7"/>
        <v>597</v>
      </c>
      <c r="C171" s="15" t="s">
        <v>398</v>
      </c>
      <c r="D171" s="32">
        <v>156403.93531315253</v>
      </c>
      <c r="E171" s="30" t="s">
        <v>141</v>
      </c>
      <c r="F171" s="33">
        <f t="shared" si="6"/>
        <v>1</v>
      </c>
      <c r="G171" s="5">
        <v>0</v>
      </c>
    </row>
    <row r="172" spans="1:7" hidden="1" outlineLevel="1">
      <c r="A172" s="4" t="s">
        <v>993</v>
      </c>
      <c r="B172" s="15" t="str">
        <f t="shared" si="7"/>
        <v>598</v>
      </c>
      <c r="C172" s="15" t="s">
        <v>398</v>
      </c>
      <c r="D172" s="32">
        <v>55903.511200417597</v>
      </c>
      <c r="E172" s="30" t="s">
        <v>151</v>
      </c>
      <c r="F172" s="33">
        <f t="shared" si="6"/>
        <v>6.2803307592478125E-2</v>
      </c>
      <c r="G172" s="5">
        <v>0</v>
      </c>
    </row>
    <row r="173" spans="1:7" hidden="1" outlineLevel="1">
      <c r="A173" s="4" t="s">
        <v>994</v>
      </c>
      <c r="B173" s="15" t="str">
        <f t="shared" si="7"/>
        <v>598</v>
      </c>
      <c r="C173" s="15" t="s">
        <v>398</v>
      </c>
      <c r="D173" s="32">
        <v>54234.823267223437</v>
      </c>
      <c r="E173" s="30" t="s">
        <v>141</v>
      </c>
      <c r="F173" s="33">
        <f t="shared" si="6"/>
        <v>1</v>
      </c>
      <c r="G173" s="5">
        <v>0</v>
      </c>
    </row>
    <row r="174" spans="1:7" hidden="1" outlineLevel="1">
      <c r="A174" s="4"/>
      <c r="B174" s="15"/>
      <c r="C174" s="15"/>
      <c r="D174" s="414">
        <f>SUM(D140:D173)</f>
        <v>3467568.9840962407</v>
      </c>
      <c r="E174" s="405"/>
      <c r="F174" s="412"/>
      <c r="G174" s="414">
        <f>SUM(G140:G173)</f>
        <v>0</v>
      </c>
    </row>
    <row r="175" spans="1:7" hidden="1" outlineLevel="1">
      <c r="A175" s="4"/>
      <c r="B175" s="15"/>
      <c r="C175" s="15"/>
      <c r="D175" s="411"/>
      <c r="E175" s="405"/>
      <c r="F175" s="412"/>
      <c r="G175" s="411"/>
    </row>
    <row r="176" spans="1:7" hidden="1" outlineLevel="1">
      <c r="A176" s="4" t="s">
        <v>995</v>
      </c>
      <c r="B176" s="15" t="str">
        <f t="shared" si="7"/>
        <v>901</v>
      </c>
      <c r="C176" s="15" t="s">
        <v>398</v>
      </c>
      <c r="D176" s="32">
        <v>92957.769312929333</v>
      </c>
      <c r="E176" s="30" t="s">
        <v>152</v>
      </c>
      <c r="F176" s="33">
        <f t="shared" ref="F176:F186" si="8">INDEX(WCAAllocations,IFERROR(MATCH(E176,WCAFactors,0),2),IFERROR(MATCH(E176,WCAStates,0),4))</f>
        <v>6.9173575695716499E-2</v>
      </c>
      <c r="G176" s="5">
        <v>0</v>
      </c>
    </row>
    <row r="177" spans="1:7" hidden="1" outlineLevel="1">
      <c r="A177" s="4" t="s">
        <v>996</v>
      </c>
      <c r="B177" s="15" t="str">
        <f t="shared" si="7"/>
        <v>901</v>
      </c>
      <c r="C177" s="15" t="s">
        <v>398</v>
      </c>
      <c r="D177" s="32">
        <v>84.970599625234158</v>
      </c>
      <c r="E177" s="30" t="s">
        <v>141</v>
      </c>
      <c r="F177" s="33">
        <f t="shared" si="8"/>
        <v>1</v>
      </c>
      <c r="G177" s="5">
        <v>0</v>
      </c>
    </row>
    <row r="178" spans="1:7" hidden="1" outlineLevel="1">
      <c r="A178" s="4" t="s">
        <v>997</v>
      </c>
      <c r="B178" s="15" t="str">
        <f t="shared" si="7"/>
        <v>902</v>
      </c>
      <c r="C178" s="15" t="s">
        <v>398</v>
      </c>
      <c r="D178" s="32">
        <v>81679.338338538335</v>
      </c>
      <c r="E178" s="30" t="s">
        <v>152</v>
      </c>
      <c r="F178" s="33">
        <f t="shared" si="8"/>
        <v>6.9173575695716499E-2</v>
      </c>
      <c r="G178" s="5">
        <v>0</v>
      </c>
    </row>
    <row r="179" spans="1:7" hidden="1" outlineLevel="1">
      <c r="A179" s="4" t="s">
        <v>998</v>
      </c>
      <c r="B179" s="15" t="str">
        <f t="shared" si="7"/>
        <v>902</v>
      </c>
      <c r="C179" s="15" t="s">
        <v>398</v>
      </c>
      <c r="D179" s="32">
        <v>667468.90584009921</v>
      </c>
      <c r="E179" s="30" t="s">
        <v>141</v>
      </c>
      <c r="F179" s="33">
        <f t="shared" si="8"/>
        <v>1</v>
      </c>
      <c r="G179" s="5">
        <v>0</v>
      </c>
    </row>
    <row r="180" spans="1:7" hidden="1" outlineLevel="1">
      <c r="A180" s="4" t="s">
        <v>999</v>
      </c>
      <c r="B180" s="15" t="str">
        <f t="shared" si="7"/>
        <v>903</v>
      </c>
      <c r="C180" s="15" t="s">
        <v>398</v>
      </c>
      <c r="D180" s="32">
        <v>342035.97275869083</v>
      </c>
      <c r="E180" s="30" t="s">
        <v>152</v>
      </c>
      <c r="F180" s="33">
        <f t="shared" si="8"/>
        <v>6.9173575695716499E-2</v>
      </c>
      <c r="G180" s="5">
        <v>0</v>
      </c>
    </row>
    <row r="181" spans="1:7" hidden="1" outlineLevel="1">
      <c r="A181" s="4" t="s">
        <v>1000</v>
      </c>
      <c r="B181" s="15" t="str">
        <f t="shared" si="7"/>
        <v>903</v>
      </c>
      <c r="C181" s="15" t="s">
        <v>398</v>
      </c>
      <c r="D181" s="32">
        <v>-466467.12361504277</v>
      </c>
      <c r="E181" s="30" t="s">
        <v>141</v>
      </c>
      <c r="F181" s="33">
        <f t="shared" si="8"/>
        <v>1</v>
      </c>
      <c r="G181" s="5">
        <v>0</v>
      </c>
    </row>
    <row r="182" spans="1:7" hidden="1" outlineLevel="1">
      <c r="A182" s="4" t="s">
        <v>1001</v>
      </c>
      <c r="B182" s="15" t="str">
        <f t="shared" si="7"/>
        <v>904</v>
      </c>
      <c r="C182" s="15" t="s">
        <v>398</v>
      </c>
      <c r="D182" s="32">
        <v>656.04871330418428</v>
      </c>
      <c r="E182" s="30" t="s">
        <v>152</v>
      </c>
      <c r="F182" s="33">
        <f t="shared" si="8"/>
        <v>6.9173575695716499E-2</v>
      </c>
      <c r="G182" s="5">
        <v>0</v>
      </c>
    </row>
    <row r="183" spans="1:7" hidden="1" outlineLevel="1">
      <c r="A183" s="4" t="s">
        <v>1002</v>
      </c>
      <c r="B183" s="15" t="str">
        <f t="shared" si="7"/>
        <v>904</v>
      </c>
      <c r="C183" s="15" t="s">
        <v>398</v>
      </c>
      <c r="D183" s="32">
        <v>507872.101450558</v>
      </c>
      <c r="E183" s="30" t="s">
        <v>141</v>
      </c>
      <c r="F183" s="33">
        <f t="shared" si="8"/>
        <v>1</v>
      </c>
      <c r="G183" s="5">
        <v>0</v>
      </c>
    </row>
    <row r="184" spans="1:7" hidden="1" outlineLevel="1">
      <c r="A184" s="4" t="s">
        <v>1003</v>
      </c>
      <c r="B184" s="15" t="str">
        <f t="shared" si="7"/>
        <v>905</v>
      </c>
      <c r="C184" s="15" t="s">
        <v>398</v>
      </c>
      <c r="D184" s="32">
        <v>68.846177389131739</v>
      </c>
      <c r="E184" s="30" t="s">
        <v>214</v>
      </c>
      <c r="F184" s="33">
        <f t="shared" si="8"/>
        <v>0</v>
      </c>
      <c r="G184" s="5">
        <v>0</v>
      </c>
    </row>
    <row r="185" spans="1:7" hidden="1" outlineLevel="1">
      <c r="A185" s="4" t="s">
        <v>1004</v>
      </c>
      <c r="B185" s="15" t="str">
        <f t="shared" si="7"/>
        <v>905</v>
      </c>
      <c r="C185" s="15" t="s">
        <v>398</v>
      </c>
      <c r="D185" s="32">
        <v>2790.9957526545877</v>
      </c>
      <c r="E185" s="30" t="s">
        <v>152</v>
      </c>
      <c r="F185" s="33">
        <f t="shared" si="8"/>
        <v>6.9173575695716499E-2</v>
      </c>
      <c r="G185" s="5">
        <v>0</v>
      </c>
    </row>
    <row r="186" spans="1:7" hidden="1" outlineLevel="1">
      <c r="A186" s="4" t="s">
        <v>1005</v>
      </c>
      <c r="B186" s="15" t="str">
        <f t="shared" si="7"/>
        <v>905</v>
      </c>
      <c r="C186" s="15" t="s">
        <v>398</v>
      </c>
      <c r="D186" s="32">
        <v>72.940911930043654</v>
      </c>
      <c r="E186" s="30" t="s">
        <v>141</v>
      </c>
      <c r="F186" s="33">
        <f t="shared" si="8"/>
        <v>1</v>
      </c>
      <c r="G186" s="5">
        <v>0</v>
      </c>
    </row>
    <row r="187" spans="1:7" hidden="1" outlineLevel="1">
      <c r="A187" s="4"/>
      <c r="B187" s="15"/>
      <c r="C187" s="15"/>
      <c r="D187" s="414">
        <f>SUM(D176:D186)</f>
        <v>1229220.7662406759</v>
      </c>
      <c r="E187" s="405"/>
      <c r="F187" s="412"/>
      <c r="G187" s="414">
        <f>SUM(G176:G186)</f>
        <v>0</v>
      </c>
    </row>
    <row r="188" spans="1:7" hidden="1" outlineLevel="1">
      <c r="A188" s="4"/>
      <c r="B188" s="15"/>
      <c r="C188" s="15"/>
      <c r="D188" s="411"/>
      <c r="E188" s="405"/>
      <c r="F188" s="412"/>
      <c r="G188" s="411"/>
    </row>
    <row r="189" spans="1:7" hidden="1" outlineLevel="1">
      <c r="A189" s="4" t="s">
        <v>1006</v>
      </c>
      <c r="B189" s="15" t="str">
        <f t="shared" si="7"/>
        <v>907</v>
      </c>
      <c r="C189" s="15" t="s">
        <v>398</v>
      </c>
      <c r="D189" s="32">
        <v>11209.668720790891</v>
      </c>
      <c r="E189" s="30" t="s">
        <v>152</v>
      </c>
      <c r="F189" s="33">
        <f t="shared" ref="F189:F196" si="9">INDEX(WCAAllocations,IFERROR(MATCH(E189,WCAFactors,0),2),IFERROR(MATCH(E189,WCAStates,0),4))</f>
        <v>6.9173575695716499E-2</v>
      </c>
      <c r="G189" s="5">
        <v>0</v>
      </c>
    </row>
    <row r="190" spans="1:7" hidden="1" outlineLevel="1">
      <c r="A190" s="4" t="s">
        <v>1007</v>
      </c>
      <c r="B190" s="15" t="str">
        <f t="shared" si="7"/>
        <v>907</v>
      </c>
      <c r="C190" s="15" t="s">
        <v>398</v>
      </c>
      <c r="D190" s="32">
        <v>0</v>
      </c>
      <c r="E190" s="30" t="s">
        <v>171</v>
      </c>
      <c r="F190" s="33">
        <f t="shared" si="9"/>
        <v>0</v>
      </c>
      <c r="G190" s="5">
        <v>0</v>
      </c>
    </row>
    <row r="191" spans="1:7" hidden="1" outlineLevel="1">
      <c r="A191" s="4" t="s">
        <v>1008</v>
      </c>
      <c r="B191" s="15" t="str">
        <f t="shared" si="7"/>
        <v>908</v>
      </c>
      <c r="C191" s="15" t="s">
        <v>398</v>
      </c>
      <c r="D191" s="32">
        <v>-43322.01343502383</v>
      </c>
      <c r="E191" s="30" t="s">
        <v>152</v>
      </c>
      <c r="F191" s="33">
        <f t="shared" si="9"/>
        <v>6.9173575695716499E-2</v>
      </c>
      <c r="G191" s="5">
        <v>0</v>
      </c>
    </row>
    <row r="192" spans="1:7" hidden="1" outlineLevel="1">
      <c r="A192" s="4" t="s">
        <v>1009</v>
      </c>
      <c r="B192" s="15" t="str">
        <f t="shared" si="7"/>
        <v>908</v>
      </c>
      <c r="C192" s="15" t="s">
        <v>398</v>
      </c>
      <c r="D192" s="32">
        <v>302051.6122807528</v>
      </c>
      <c r="E192" s="30" t="s">
        <v>164</v>
      </c>
      <c r="F192" s="33">
        <f t="shared" si="9"/>
        <v>0</v>
      </c>
      <c r="G192" s="5">
        <v>0</v>
      </c>
    </row>
    <row r="193" spans="1:7" hidden="1" outlineLevel="1">
      <c r="A193" s="4" t="s">
        <v>1010</v>
      </c>
      <c r="B193" s="15" t="str">
        <f t="shared" si="7"/>
        <v>908</v>
      </c>
      <c r="C193" s="15" t="s">
        <v>398</v>
      </c>
      <c r="D193" s="32">
        <v>32746.438069661312</v>
      </c>
      <c r="E193" s="30" t="s">
        <v>141</v>
      </c>
      <c r="F193" s="33">
        <f t="shared" si="9"/>
        <v>1</v>
      </c>
      <c r="G193" s="5">
        <v>0</v>
      </c>
    </row>
    <row r="194" spans="1:7" hidden="1" outlineLevel="1">
      <c r="A194" s="4" t="s">
        <v>805</v>
      </c>
      <c r="B194" s="15" t="str">
        <f t="shared" si="7"/>
        <v>909</v>
      </c>
      <c r="C194" s="15" t="s">
        <v>398</v>
      </c>
      <c r="D194" s="32">
        <v>59097.804664469739</v>
      </c>
      <c r="E194" s="30" t="s">
        <v>152</v>
      </c>
      <c r="F194" s="33">
        <f t="shared" si="9"/>
        <v>6.9173575695716499E-2</v>
      </c>
      <c r="G194" s="5">
        <v>0</v>
      </c>
    </row>
    <row r="195" spans="1:7" hidden="1" outlineLevel="1">
      <c r="A195" s="4" t="s">
        <v>806</v>
      </c>
      <c r="B195" s="15" t="str">
        <f t="shared" si="7"/>
        <v>909</v>
      </c>
      <c r="C195" s="15" t="s">
        <v>398</v>
      </c>
      <c r="D195" s="32">
        <v>57120.262348711796</v>
      </c>
      <c r="E195" s="30" t="s">
        <v>141</v>
      </c>
      <c r="F195" s="33">
        <f t="shared" si="9"/>
        <v>1</v>
      </c>
      <c r="G195" s="5">
        <v>0</v>
      </c>
    </row>
    <row r="196" spans="1:7" hidden="1" outlineLevel="1">
      <c r="A196" s="4" t="s">
        <v>807</v>
      </c>
      <c r="B196" s="15" t="str">
        <f t="shared" si="7"/>
        <v>910</v>
      </c>
      <c r="C196" s="15" t="s">
        <v>398</v>
      </c>
      <c r="D196" s="32">
        <v>3961.744116237267</v>
      </c>
      <c r="E196" s="30" t="s">
        <v>152</v>
      </c>
      <c r="F196" s="33">
        <f t="shared" si="9"/>
        <v>6.9173575695716499E-2</v>
      </c>
      <c r="G196" s="5">
        <v>0</v>
      </c>
    </row>
    <row r="197" spans="1:7" hidden="1" outlineLevel="1">
      <c r="A197" s="4"/>
      <c r="B197" s="15"/>
      <c r="C197" s="15"/>
      <c r="D197" s="414">
        <f>SUM(D189:D196)</f>
        <v>422865.51676559995</v>
      </c>
      <c r="E197" s="405"/>
      <c r="F197" s="412"/>
      <c r="G197" s="414">
        <f>SUM(G189:G196)</f>
        <v>0</v>
      </c>
    </row>
    <row r="198" spans="1:7" hidden="1" outlineLevel="1">
      <c r="A198" s="4"/>
      <c r="B198" s="15"/>
      <c r="C198" s="15"/>
      <c r="D198" s="411"/>
      <c r="E198" s="405"/>
      <c r="F198" s="412"/>
      <c r="G198" s="411"/>
    </row>
    <row r="199" spans="1:7" hidden="1" outlineLevel="1">
      <c r="A199" s="4" t="s">
        <v>808</v>
      </c>
      <c r="B199" s="15" t="str">
        <f t="shared" si="7"/>
        <v>920</v>
      </c>
      <c r="C199" s="15" t="s">
        <v>398</v>
      </c>
      <c r="D199" s="32">
        <v>-1372510.7472204382</v>
      </c>
      <c r="E199" s="30" t="s">
        <v>130</v>
      </c>
      <c r="F199" s="33">
        <f t="shared" ref="F199:F228" si="10">INDEX(WCAAllocations,IFERROR(MATCH(E199,WCAFactors,0),2),IFERROR(MATCH(E199,WCAStates,0),4))</f>
        <v>6.8539355270203509E-2</v>
      </c>
      <c r="G199" s="5">
        <v>0</v>
      </c>
    </row>
    <row r="200" spans="1:7" hidden="1" outlineLevel="1">
      <c r="A200" s="4" t="s">
        <v>809</v>
      </c>
      <c r="B200" s="15" t="str">
        <f t="shared" si="7"/>
        <v>920</v>
      </c>
      <c r="C200" s="15" t="s">
        <v>398</v>
      </c>
      <c r="D200" s="32">
        <v>-178353.17857515076</v>
      </c>
      <c r="E200" s="30" t="s">
        <v>141</v>
      </c>
      <c r="F200" s="33">
        <f t="shared" si="10"/>
        <v>1</v>
      </c>
      <c r="G200" s="5">
        <v>0</v>
      </c>
    </row>
    <row r="201" spans="1:7" hidden="1" outlineLevel="1">
      <c r="A201" s="4" t="s">
        <v>810</v>
      </c>
      <c r="B201" s="15" t="str">
        <f t="shared" si="7"/>
        <v>921</v>
      </c>
      <c r="C201" s="15" t="s">
        <v>398</v>
      </c>
      <c r="D201" s="32">
        <v>7772.5457957354911</v>
      </c>
      <c r="E201" s="30" t="s">
        <v>152</v>
      </c>
      <c r="F201" s="33">
        <f t="shared" si="10"/>
        <v>6.9173575695716499E-2</v>
      </c>
      <c r="G201" s="5">
        <v>0</v>
      </c>
    </row>
    <row r="202" spans="1:7" hidden="1" outlineLevel="1">
      <c r="A202" s="4" t="s">
        <v>811</v>
      </c>
      <c r="B202" s="15" t="str">
        <f t="shared" si="7"/>
        <v>921</v>
      </c>
      <c r="C202" s="15" t="s">
        <v>398</v>
      </c>
      <c r="D202" s="32">
        <v>335807.79350896238</v>
      </c>
      <c r="E202" s="30" t="s">
        <v>130</v>
      </c>
      <c r="F202" s="33">
        <f t="shared" si="10"/>
        <v>6.8539355270203509E-2</v>
      </c>
      <c r="G202" s="5">
        <v>0</v>
      </c>
    </row>
    <row r="203" spans="1:7" hidden="1" outlineLevel="1">
      <c r="A203" s="4" t="s">
        <v>812</v>
      </c>
      <c r="B203" s="15" t="str">
        <f t="shared" si="7"/>
        <v>921</v>
      </c>
      <c r="C203" s="15" t="s">
        <v>398</v>
      </c>
      <c r="D203" s="32">
        <v>8389.5591192830834</v>
      </c>
      <c r="E203" s="30" t="s">
        <v>141</v>
      </c>
      <c r="F203" s="33">
        <f t="shared" si="10"/>
        <v>1</v>
      </c>
      <c r="G203" s="5">
        <v>0</v>
      </c>
    </row>
    <row r="204" spans="1:7" hidden="1" outlineLevel="1">
      <c r="A204" s="4" t="s">
        <v>813</v>
      </c>
      <c r="B204" s="15" t="str">
        <f t="shared" si="7"/>
        <v>922</v>
      </c>
      <c r="C204" s="15" t="s">
        <v>398</v>
      </c>
      <c r="D204" s="32">
        <v>-1867319.1427951409</v>
      </c>
      <c r="E204" s="30" t="s">
        <v>130</v>
      </c>
      <c r="F204" s="33">
        <f t="shared" si="10"/>
        <v>6.8539355270203509E-2</v>
      </c>
      <c r="G204" s="5">
        <v>0</v>
      </c>
    </row>
    <row r="205" spans="1:7" hidden="1" outlineLevel="1">
      <c r="A205" s="4" t="s">
        <v>814</v>
      </c>
      <c r="B205" s="15" t="str">
        <f t="shared" si="7"/>
        <v>923</v>
      </c>
      <c r="C205" s="15" t="s">
        <v>398</v>
      </c>
      <c r="D205" s="32">
        <v>1376.0062337662298</v>
      </c>
      <c r="E205" s="30" t="s">
        <v>214</v>
      </c>
      <c r="F205" s="33">
        <f t="shared" si="10"/>
        <v>0</v>
      </c>
      <c r="G205" s="5">
        <v>0</v>
      </c>
    </row>
    <row r="206" spans="1:7" hidden="1" outlineLevel="1">
      <c r="A206" s="4" t="s">
        <v>815</v>
      </c>
      <c r="B206" s="15" t="str">
        <f t="shared" si="7"/>
        <v>923</v>
      </c>
      <c r="C206" s="15" t="s">
        <v>398</v>
      </c>
      <c r="D206" s="32">
        <v>43689.965714285638</v>
      </c>
      <c r="E206" s="30" t="s">
        <v>203</v>
      </c>
      <c r="F206" s="33">
        <f t="shared" si="10"/>
        <v>0.23084885646883446</v>
      </c>
      <c r="G206" s="5">
        <v>0</v>
      </c>
    </row>
    <row r="207" spans="1:7" hidden="1" outlineLevel="1">
      <c r="A207" s="4" t="s">
        <v>816</v>
      </c>
      <c r="B207" s="15" t="str">
        <f t="shared" si="7"/>
        <v>923</v>
      </c>
      <c r="C207" s="15" t="s">
        <v>398</v>
      </c>
      <c r="D207" s="32">
        <v>744361.61662337545</v>
      </c>
      <c r="E207" s="30" t="s">
        <v>130</v>
      </c>
      <c r="F207" s="33">
        <f t="shared" si="10"/>
        <v>6.8539355270203509E-2</v>
      </c>
      <c r="G207" s="5">
        <v>0</v>
      </c>
    </row>
    <row r="208" spans="1:7" hidden="1" outlineLevel="1">
      <c r="A208" s="4" t="s">
        <v>817</v>
      </c>
      <c r="B208" s="15" t="str">
        <f t="shared" si="7"/>
        <v>923</v>
      </c>
      <c r="C208" s="15" t="s">
        <v>398</v>
      </c>
      <c r="D208" s="32">
        <v>46476.582337662265</v>
      </c>
      <c r="E208" s="30" t="s">
        <v>141</v>
      </c>
      <c r="F208" s="33">
        <f t="shared" si="10"/>
        <v>1</v>
      </c>
      <c r="G208" s="5">
        <v>0</v>
      </c>
    </row>
    <row r="209" spans="1:7" hidden="1" outlineLevel="1">
      <c r="A209" s="4" t="s">
        <v>818</v>
      </c>
      <c r="B209" s="15" t="str">
        <f t="shared" si="7"/>
        <v>928</v>
      </c>
      <c r="C209" s="15" t="s">
        <v>398</v>
      </c>
      <c r="D209" s="32">
        <v>7872.6942403958201</v>
      </c>
      <c r="E209" s="30" t="s">
        <v>214</v>
      </c>
      <c r="F209" s="33">
        <f t="shared" si="10"/>
        <v>0</v>
      </c>
      <c r="G209" s="5">
        <v>0</v>
      </c>
    </row>
    <row r="210" spans="1:7" hidden="1" outlineLevel="1">
      <c r="A210" s="4" t="s">
        <v>819</v>
      </c>
      <c r="B210" s="15" t="str">
        <f t="shared" si="7"/>
        <v>928</v>
      </c>
      <c r="C210" s="15" t="s">
        <v>398</v>
      </c>
      <c r="D210" s="32">
        <v>93907.450884749836</v>
      </c>
      <c r="E210" s="30" t="s">
        <v>203</v>
      </c>
      <c r="F210" s="33">
        <f t="shared" si="10"/>
        <v>0.23084885646883446</v>
      </c>
      <c r="G210" s="5">
        <v>0</v>
      </c>
    </row>
    <row r="211" spans="1:7" hidden="1" outlineLevel="1">
      <c r="A211" s="4" t="s">
        <v>820</v>
      </c>
      <c r="B211" s="15" t="str">
        <f t="shared" si="7"/>
        <v>928</v>
      </c>
      <c r="C211" s="15" t="s">
        <v>398</v>
      </c>
      <c r="D211" s="32">
        <v>87364.256062281827</v>
      </c>
      <c r="E211" s="30" t="s">
        <v>146</v>
      </c>
      <c r="F211" s="33">
        <f t="shared" si="10"/>
        <v>7.9057273540331513E-2</v>
      </c>
      <c r="G211" s="5">
        <v>0</v>
      </c>
    </row>
    <row r="212" spans="1:7" hidden="1" outlineLevel="1">
      <c r="A212" s="4" t="s">
        <v>821</v>
      </c>
      <c r="B212" s="15" t="str">
        <f t="shared" si="7"/>
        <v>928</v>
      </c>
      <c r="C212" s="15" t="s">
        <v>398</v>
      </c>
      <c r="D212" s="32">
        <v>102531.12645227023</v>
      </c>
      <c r="E212" s="30" t="s">
        <v>130</v>
      </c>
      <c r="F212" s="33">
        <f t="shared" si="10"/>
        <v>6.8539355270203509E-2</v>
      </c>
      <c r="G212" s="5">
        <v>0</v>
      </c>
    </row>
    <row r="213" spans="1:7" hidden="1" outlineLevel="1">
      <c r="A213" s="4" t="s">
        <v>822</v>
      </c>
      <c r="B213" s="15" t="str">
        <f t="shared" si="7"/>
        <v>928</v>
      </c>
      <c r="C213" s="15" t="s">
        <v>398</v>
      </c>
      <c r="D213" s="32">
        <v>718262.94910215458</v>
      </c>
      <c r="E213" s="30" t="s">
        <v>141</v>
      </c>
      <c r="F213" s="33">
        <f t="shared" si="10"/>
        <v>1</v>
      </c>
      <c r="G213" s="5">
        <v>0</v>
      </c>
    </row>
    <row r="214" spans="1:7" hidden="1" outlineLevel="1">
      <c r="A214" s="4" t="s">
        <v>823</v>
      </c>
      <c r="B214" s="15" t="str">
        <f t="shared" si="7"/>
        <v>929</v>
      </c>
      <c r="C214" s="15" t="s">
        <v>398</v>
      </c>
      <c r="D214" s="32">
        <v>-23267.391536458334</v>
      </c>
      <c r="E214" s="30" t="s">
        <v>214</v>
      </c>
      <c r="F214" s="33">
        <f t="shared" si="10"/>
        <v>0</v>
      </c>
      <c r="G214" s="5">
        <v>0</v>
      </c>
    </row>
    <row r="215" spans="1:7" hidden="1" outlineLevel="1">
      <c r="A215" s="4" t="s">
        <v>824</v>
      </c>
      <c r="B215" s="15" t="str">
        <f t="shared" si="7"/>
        <v>929</v>
      </c>
      <c r="C215" s="15" t="s">
        <v>398</v>
      </c>
      <c r="D215" s="32">
        <v>213009.23557787732</v>
      </c>
      <c r="E215" s="30" t="s">
        <v>203</v>
      </c>
      <c r="F215" s="33">
        <f t="shared" si="10"/>
        <v>0.23084885646883446</v>
      </c>
      <c r="G215" s="5">
        <v>0</v>
      </c>
    </row>
    <row r="216" spans="1:7" hidden="1" outlineLevel="1">
      <c r="A216" s="4" t="s">
        <v>825</v>
      </c>
      <c r="B216" s="15" t="str">
        <f t="shared" ref="B216:B228" si="11">MID(A216,1,3)</f>
        <v>929</v>
      </c>
      <c r="C216" s="15" t="s">
        <v>398</v>
      </c>
      <c r="D216" s="32">
        <v>-99.627976190476289</v>
      </c>
      <c r="E216" s="30" t="s">
        <v>152</v>
      </c>
      <c r="F216" s="33">
        <f t="shared" si="10"/>
        <v>6.9173575695716499E-2</v>
      </c>
      <c r="G216" s="5">
        <v>0</v>
      </c>
    </row>
    <row r="217" spans="1:7" hidden="1" outlineLevel="1">
      <c r="A217" s="4" t="s">
        <v>826</v>
      </c>
      <c r="B217" s="15" t="str">
        <f t="shared" si="11"/>
        <v>929</v>
      </c>
      <c r="C217" s="15" t="s">
        <v>398</v>
      </c>
      <c r="D217" s="32">
        <v>-14549.868898809538</v>
      </c>
      <c r="E217" s="30" t="s">
        <v>165</v>
      </c>
      <c r="F217" s="33">
        <f t="shared" si="10"/>
        <v>0</v>
      </c>
      <c r="G217" s="5">
        <v>0</v>
      </c>
    </row>
    <row r="218" spans="1:7" hidden="1" outlineLevel="1">
      <c r="A218" s="4" t="s">
        <v>827</v>
      </c>
      <c r="B218" s="15" t="str">
        <f t="shared" si="11"/>
        <v>929</v>
      </c>
      <c r="C218" s="15" t="s">
        <v>398</v>
      </c>
      <c r="D218" s="32">
        <v>315867.47710193461</v>
      </c>
      <c r="E218" s="30" t="s">
        <v>146</v>
      </c>
      <c r="F218" s="33">
        <f t="shared" si="10"/>
        <v>7.9057273540331513E-2</v>
      </c>
      <c r="G218" s="5">
        <v>0</v>
      </c>
    </row>
    <row r="219" spans="1:7" hidden="1" outlineLevel="1">
      <c r="A219" s="4" t="s">
        <v>828</v>
      </c>
      <c r="B219" s="15" t="str">
        <f t="shared" si="11"/>
        <v>929</v>
      </c>
      <c r="C219" s="15" t="s">
        <v>398</v>
      </c>
      <c r="D219" s="32">
        <v>-818.82700892857235</v>
      </c>
      <c r="E219" s="30" t="s">
        <v>151</v>
      </c>
      <c r="F219" s="33">
        <f t="shared" si="10"/>
        <v>6.2803307592478125E-2</v>
      </c>
      <c r="G219" s="5">
        <v>0</v>
      </c>
    </row>
    <row r="220" spans="1:7" hidden="1" outlineLevel="1">
      <c r="A220" s="4" t="s">
        <v>829</v>
      </c>
      <c r="B220" s="15" t="str">
        <f t="shared" si="11"/>
        <v>929</v>
      </c>
      <c r="C220" s="15" t="s">
        <v>398</v>
      </c>
      <c r="D220" s="32">
        <v>-548046.9477616573</v>
      </c>
      <c r="E220" s="30" t="s">
        <v>130</v>
      </c>
      <c r="F220" s="33">
        <f t="shared" si="10"/>
        <v>6.8539355270203509E-2</v>
      </c>
      <c r="G220" s="5">
        <v>0</v>
      </c>
    </row>
    <row r="221" spans="1:7" hidden="1" outlineLevel="1">
      <c r="A221" s="4" t="s">
        <v>830</v>
      </c>
      <c r="B221" s="15" t="str">
        <f t="shared" si="11"/>
        <v>929</v>
      </c>
      <c r="C221" s="15" t="s">
        <v>398</v>
      </c>
      <c r="D221" s="32">
        <v>-164168.61025545653</v>
      </c>
      <c r="E221" s="30" t="s">
        <v>141</v>
      </c>
      <c r="F221" s="33">
        <f t="shared" si="10"/>
        <v>1</v>
      </c>
      <c r="G221" s="5">
        <v>0</v>
      </c>
    </row>
    <row r="222" spans="1:7" hidden="1" outlineLevel="1">
      <c r="A222" s="4" t="s">
        <v>831</v>
      </c>
      <c r="B222" s="15" t="str">
        <f t="shared" si="11"/>
        <v>930</v>
      </c>
      <c r="C222" s="15" t="s">
        <v>398</v>
      </c>
      <c r="D222" s="32">
        <v>297908.17377818358</v>
      </c>
      <c r="E222" s="30" t="s">
        <v>130</v>
      </c>
      <c r="F222" s="33">
        <f t="shared" si="10"/>
        <v>6.8539355270203509E-2</v>
      </c>
      <c r="G222" s="5">
        <v>0</v>
      </c>
    </row>
    <row r="223" spans="1:7" hidden="1" outlineLevel="1">
      <c r="A223" s="4" t="s">
        <v>832</v>
      </c>
      <c r="B223" s="15" t="str">
        <f t="shared" si="11"/>
        <v>930</v>
      </c>
      <c r="C223" s="15" t="s">
        <v>398</v>
      </c>
      <c r="D223" s="32">
        <v>20843.622178549635</v>
      </c>
      <c r="E223" s="30" t="s">
        <v>141</v>
      </c>
      <c r="F223" s="33">
        <f t="shared" si="10"/>
        <v>1</v>
      </c>
      <c r="G223" s="5">
        <v>0</v>
      </c>
    </row>
    <row r="224" spans="1:7" hidden="1" outlineLevel="1">
      <c r="A224" s="4" t="s">
        <v>833</v>
      </c>
      <c r="B224" s="15" t="str">
        <f t="shared" si="11"/>
        <v>931</v>
      </c>
      <c r="C224" s="15" t="s">
        <v>398</v>
      </c>
      <c r="D224" s="32">
        <v>532887.79413943272</v>
      </c>
      <c r="E224" s="30" t="s">
        <v>130</v>
      </c>
      <c r="F224" s="33">
        <f t="shared" si="10"/>
        <v>6.8539355270203509E-2</v>
      </c>
      <c r="G224" s="5">
        <v>0</v>
      </c>
    </row>
    <row r="225" spans="1:7" hidden="1" outlineLevel="1">
      <c r="A225" s="4" t="s">
        <v>834</v>
      </c>
      <c r="B225" s="15" t="str">
        <f t="shared" si="11"/>
        <v>931</v>
      </c>
      <c r="C225" s="15" t="s">
        <v>398</v>
      </c>
      <c r="D225" s="32">
        <v>93465.761971677406</v>
      </c>
      <c r="E225" s="30" t="s">
        <v>141</v>
      </c>
      <c r="F225" s="33">
        <f t="shared" si="10"/>
        <v>1</v>
      </c>
      <c r="G225" s="5">
        <v>0</v>
      </c>
    </row>
    <row r="226" spans="1:7" hidden="1" outlineLevel="1">
      <c r="A226" s="4" t="s">
        <v>835</v>
      </c>
      <c r="B226" s="15" t="str">
        <f t="shared" si="11"/>
        <v>935</v>
      </c>
      <c r="C226" s="15" t="s">
        <v>398</v>
      </c>
      <c r="D226" s="32">
        <v>1139.7197164751042</v>
      </c>
      <c r="E226" s="30" t="s">
        <v>152</v>
      </c>
      <c r="F226" s="33">
        <f t="shared" si="10"/>
        <v>6.9173575695716499E-2</v>
      </c>
      <c r="G226" s="5">
        <v>0</v>
      </c>
    </row>
    <row r="227" spans="1:7" hidden="1" outlineLevel="1">
      <c r="A227" s="4" t="s">
        <v>836</v>
      </c>
      <c r="B227" s="15" t="str">
        <f t="shared" si="11"/>
        <v>935</v>
      </c>
      <c r="C227" s="15" t="s">
        <v>398</v>
      </c>
      <c r="D227" s="32">
        <v>372753.32375207637</v>
      </c>
      <c r="E227" s="30" t="s">
        <v>130</v>
      </c>
      <c r="F227" s="33">
        <f t="shared" si="10"/>
        <v>6.8539355270203509E-2</v>
      </c>
      <c r="G227" s="5">
        <v>0</v>
      </c>
    </row>
    <row r="228" spans="1:7" hidden="1" outlineLevel="1">
      <c r="A228" s="4" t="s">
        <v>837</v>
      </c>
      <c r="B228" s="15" t="str">
        <f t="shared" si="11"/>
        <v>935</v>
      </c>
      <c r="C228" s="15" t="s">
        <v>398</v>
      </c>
      <c r="D228" s="32">
        <v>3435.2272794566015</v>
      </c>
      <c r="E228" s="30" t="s">
        <v>141</v>
      </c>
      <c r="F228" s="33">
        <f t="shared" si="10"/>
        <v>1</v>
      </c>
      <c r="G228" s="5">
        <v>0</v>
      </c>
    </row>
    <row r="229" spans="1:7" hidden="1" outlineLevel="1">
      <c r="A229" s="4"/>
      <c r="B229" s="15"/>
      <c r="C229" s="15"/>
      <c r="D229" s="414">
        <f>SUM(D199:D228)</f>
        <v>-120011.46045764416</v>
      </c>
      <c r="E229" s="405"/>
      <c r="F229" s="412"/>
      <c r="G229" s="414">
        <f>SUM(G199:G228)</f>
        <v>0</v>
      </c>
    </row>
    <row r="230" spans="1:7" hidden="1" outlineLevel="1">
      <c r="A230" s="4"/>
      <c r="B230" s="15"/>
      <c r="C230" s="15"/>
      <c r="D230" s="411"/>
      <c r="E230" s="405"/>
      <c r="F230" s="412"/>
      <c r="G230" s="411"/>
    </row>
    <row r="231" spans="1:7" ht="13.5" collapsed="1" thickBot="1">
      <c r="A231" s="872"/>
      <c r="B231" s="871"/>
      <c r="C231" s="871"/>
      <c r="D231" s="873">
        <f>D229+D197+D187+D174+D138+D98+D69+D47</f>
        <v>19819142.375916734</v>
      </c>
      <c r="E231" s="871"/>
      <c r="F231" s="874"/>
      <c r="G231" s="873">
        <f>G229+G197+G187+G174+G138+G98+G69+G47</f>
        <v>0</v>
      </c>
    </row>
    <row r="232" spans="1:7" ht="13.5" thickTop="1"/>
    <row r="233" spans="1:7">
      <c r="A233" s="875" t="s">
        <v>652</v>
      </c>
    </row>
    <row r="234" spans="1:7">
      <c r="A234" s="1401" t="s">
        <v>1064</v>
      </c>
      <c r="B234" s="1401"/>
      <c r="C234" s="1401"/>
      <c r="D234" s="1401"/>
      <c r="E234" s="1401"/>
      <c r="F234" s="1401"/>
      <c r="G234" s="1401"/>
    </row>
    <row r="235" spans="1:7">
      <c r="A235" s="1401"/>
      <c r="B235" s="1401"/>
      <c r="C235" s="1401"/>
      <c r="D235" s="1401"/>
      <c r="E235" s="1401"/>
      <c r="F235" s="1401"/>
      <c r="G235" s="1401"/>
    </row>
    <row r="237" spans="1:7">
      <c r="A237" s="1399" t="s">
        <v>1062</v>
      </c>
      <c r="B237" s="1399"/>
      <c r="C237" s="1399"/>
      <c r="D237" s="1399"/>
      <c r="E237" s="1399"/>
      <c r="F237" s="1399"/>
      <c r="G237" s="1399"/>
    </row>
    <row r="238" spans="1:7">
      <c r="A238" s="1399"/>
      <c r="B238" s="1399"/>
      <c r="C238" s="1399"/>
      <c r="D238" s="1399"/>
      <c r="E238" s="1399"/>
      <c r="F238" s="1399"/>
      <c r="G238" s="1399"/>
    </row>
    <row r="239" spans="1:7">
      <c r="A239" s="1399"/>
      <c r="B239" s="1399"/>
      <c r="C239" s="1399"/>
      <c r="D239" s="1399"/>
      <c r="E239" s="1399"/>
      <c r="F239" s="1399"/>
      <c r="G239" s="1399"/>
    </row>
    <row r="240" spans="1:7">
      <c r="A240" s="1399"/>
      <c r="B240" s="1399"/>
      <c r="C240" s="1399"/>
      <c r="D240" s="1399"/>
      <c r="E240" s="1399"/>
      <c r="F240" s="1399"/>
      <c r="G240" s="1399"/>
    </row>
    <row r="241" spans="1:7">
      <c r="A241" s="1399"/>
      <c r="B241" s="1399"/>
      <c r="C241" s="1399"/>
      <c r="D241" s="1399"/>
      <c r="E241" s="1399"/>
      <c r="F241" s="1399"/>
      <c r="G241" s="1399"/>
    </row>
    <row r="242" spans="1:7">
      <c r="A242" s="1399"/>
      <c r="B242" s="1399"/>
      <c r="C242" s="1399"/>
      <c r="D242" s="1399"/>
      <c r="E242" s="1399"/>
      <c r="F242" s="1399"/>
      <c r="G242" s="1399"/>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50"/>
  <sheetViews>
    <sheetView workbookViewId="0">
      <selection activeCell="F16" sqref="F16"/>
    </sheetView>
  </sheetViews>
  <sheetFormatPr defaultRowHeight="12.75"/>
  <cols>
    <col min="1" max="1" width="31.85546875" style="141" customWidth="1"/>
    <col min="2" max="2" width="13.28515625" style="141" customWidth="1"/>
    <col min="3" max="3" width="7.28515625" style="141" customWidth="1"/>
    <col min="4" max="4" width="14.42578125" style="2" customWidth="1"/>
    <col min="5" max="5" width="9.7109375" style="147" customWidth="1"/>
    <col min="6" max="6" width="12.85546875" style="141" customWidth="1"/>
    <col min="7" max="7" width="13.5703125" style="141" bestFit="1" customWidth="1"/>
    <col min="8" max="8" width="13.28515625" style="141" bestFit="1" customWidth="1"/>
    <col min="9" max="253" width="9.140625" style="141"/>
    <col min="254" max="254" width="4.140625" style="141" customWidth="1"/>
    <col min="255" max="255" width="6.85546875" style="141" customWidth="1"/>
    <col min="256" max="256" width="28.140625" style="141" customWidth="1"/>
    <col min="257" max="257" width="10.5703125" style="141" customWidth="1"/>
    <col min="258" max="258" width="9.140625" style="141"/>
    <col min="259" max="259" width="14.5703125" style="141" customWidth="1"/>
    <col min="260" max="260" width="9.140625" style="141" customWidth="1"/>
    <col min="261" max="261" width="9.28515625" style="141" bestFit="1" customWidth="1"/>
    <col min="262" max="262" width="17.7109375" style="141" customWidth="1"/>
    <col min="263" max="264" width="13.28515625" style="141" bestFit="1" customWidth="1"/>
    <col min="265" max="509" width="9.140625" style="141"/>
    <col min="510" max="510" width="4.140625" style="141" customWidth="1"/>
    <col min="511" max="511" width="6.85546875" style="141" customWidth="1"/>
    <col min="512" max="512" width="28.140625" style="141" customWidth="1"/>
    <col min="513" max="513" width="10.5703125" style="141" customWidth="1"/>
    <col min="514" max="514" width="9.140625" style="141"/>
    <col min="515" max="515" width="14.5703125" style="141" customWidth="1"/>
    <col min="516" max="516" width="9.140625" style="141" customWidth="1"/>
    <col min="517" max="517" width="9.28515625" style="141" bestFit="1" customWidth="1"/>
    <col min="518" max="518" width="17.7109375" style="141" customWidth="1"/>
    <col min="519" max="520" width="13.28515625" style="141" bestFit="1" customWidth="1"/>
    <col min="521" max="765" width="9.140625" style="141"/>
    <col min="766" max="766" width="4.140625" style="141" customWidth="1"/>
    <col min="767" max="767" width="6.85546875" style="141" customWidth="1"/>
    <col min="768" max="768" width="28.140625" style="141" customWidth="1"/>
    <col min="769" max="769" width="10.5703125" style="141" customWidth="1"/>
    <col min="770" max="770" width="9.140625" style="141"/>
    <col min="771" max="771" width="14.5703125" style="141" customWidth="1"/>
    <col min="772" max="772" width="9.140625" style="141" customWidth="1"/>
    <col min="773" max="773" width="9.28515625" style="141" bestFit="1" customWidth="1"/>
    <col min="774" max="774" width="17.7109375" style="141" customWidth="1"/>
    <col min="775" max="776" width="13.28515625" style="141" bestFit="1" customWidth="1"/>
    <col min="777" max="1021" width="9.140625" style="141"/>
    <col min="1022" max="1022" width="4.140625" style="141" customWidth="1"/>
    <col min="1023" max="1023" width="6.85546875" style="141" customWidth="1"/>
    <col min="1024" max="1024" width="28.140625" style="141" customWidth="1"/>
    <col min="1025" max="1025" width="10.5703125" style="141" customWidth="1"/>
    <col min="1026" max="1026" width="9.140625" style="141"/>
    <col min="1027" max="1027" width="14.5703125" style="141" customWidth="1"/>
    <col min="1028" max="1028" width="9.140625" style="141" customWidth="1"/>
    <col min="1029" max="1029" width="9.28515625" style="141" bestFit="1" customWidth="1"/>
    <col min="1030" max="1030" width="17.7109375" style="141" customWidth="1"/>
    <col min="1031" max="1032" width="13.28515625" style="141" bestFit="1" customWidth="1"/>
    <col min="1033" max="1277" width="9.140625" style="141"/>
    <col min="1278" max="1278" width="4.140625" style="141" customWidth="1"/>
    <col min="1279" max="1279" width="6.85546875" style="141" customWidth="1"/>
    <col min="1280" max="1280" width="28.140625" style="141" customWidth="1"/>
    <col min="1281" max="1281" width="10.5703125" style="141" customWidth="1"/>
    <col min="1282" max="1282" width="9.140625" style="141"/>
    <col min="1283" max="1283" width="14.5703125" style="141" customWidth="1"/>
    <col min="1284" max="1284" width="9.140625" style="141" customWidth="1"/>
    <col min="1285" max="1285" width="9.28515625" style="141" bestFit="1" customWidth="1"/>
    <col min="1286" max="1286" width="17.7109375" style="141" customWidth="1"/>
    <col min="1287" max="1288" width="13.28515625" style="141" bestFit="1" customWidth="1"/>
    <col min="1289" max="1533" width="9.140625" style="141"/>
    <col min="1534" max="1534" width="4.140625" style="141" customWidth="1"/>
    <col min="1535" max="1535" width="6.85546875" style="141" customWidth="1"/>
    <col min="1536" max="1536" width="28.140625" style="141" customWidth="1"/>
    <col min="1537" max="1537" width="10.5703125" style="141" customWidth="1"/>
    <col min="1538" max="1538" width="9.140625" style="141"/>
    <col min="1539" max="1539" width="14.5703125" style="141" customWidth="1"/>
    <col min="1540" max="1540" width="9.140625" style="141" customWidth="1"/>
    <col min="1541" max="1541" width="9.28515625" style="141" bestFit="1" customWidth="1"/>
    <col min="1542" max="1542" width="17.7109375" style="141" customWidth="1"/>
    <col min="1543" max="1544" width="13.28515625" style="141" bestFit="1" customWidth="1"/>
    <col min="1545" max="1789" width="9.140625" style="141"/>
    <col min="1790" max="1790" width="4.140625" style="141" customWidth="1"/>
    <col min="1791" max="1791" width="6.85546875" style="141" customWidth="1"/>
    <col min="1792" max="1792" width="28.140625" style="141" customWidth="1"/>
    <col min="1793" max="1793" width="10.5703125" style="141" customWidth="1"/>
    <col min="1794" max="1794" width="9.140625" style="141"/>
    <col min="1795" max="1795" width="14.5703125" style="141" customWidth="1"/>
    <col min="1796" max="1796" width="9.140625" style="141" customWidth="1"/>
    <col min="1797" max="1797" width="9.28515625" style="141" bestFit="1" customWidth="1"/>
    <col min="1798" max="1798" width="17.7109375" style="141" customWidth="1"/>
    <col min="1799" max="1800" width="13.28515625" style="141" bestFit="1" customWidth="1"/>
    <col min="1801" max="2045" width="9.140625" style="141"/>
    <col min="2046" max="2046" width="4.140625" style="141" customWidth="1"/>
    <col min="2047" max="2047" width="6.85546875" style="141" customWidth="1"/>
    <col min="2048" max="2048" width="28.140625" style="141" customWidth="1"/>
    <col min="2049" max="2049" width="10.5703125" style="141" customWidth="1"/>
    <col min="2050" max="2050" width="9.140625" style="141"/>
    <col min="2051" max="2051" width="14.5703125" style="141" customWidth="1"/>
    <col min="2052" max="2052" width="9.140625" style="141" customWidth="1"/>
    <col min="2053" max="2053" width="9.28515625" style="141" bestFit="1" customWidth="1"/>
    <col min="2054" max="2054" width="17.7109375" style="141" customWidth="1"/>
    <col min="2055" max="2056" width="13.28515625" style="141" bestFit="1" customWidth="1"/>
    <col min="2057" max="2301" width="9.140625" style="141"/>
    <col min="2302" max="2302" width="4.140625" style="141" customWidth="1"/>
    <col min="2303" max="2303" width="6.85546875" style="141" customWidth="1"/>
    <col min="2304" max="2304" width="28.140625" style="141" customWidth="1"/>
    <col min="2305" max="2305" width="10.5703125" style="141" customWidth="1"/>
    <col min="2306" max="2306" width="9.140625" style="141"/>
    <col min="2307" max="2307" width="14.5703125" style="141" customWidth="1"/>
    <col min="2308" max="2308" width="9.140625" style="141" customWidth="1"/>
    <col min="2309" max="2309" width="9.28515625" style="141" bestFit="1" customWidth="1"/>
    <col min="2310" max="2310" width="17.7109375" style="141" customWidth="1"/>
    <col min="2311" max="2312" width="13.28515625" style="141" bestFit="1" customWidth="1"/>
    <col min="2313" max="2557" width="9.140625" style="141"/>
    <col min="2558" max="2558" width="4.140625" style="141" customWidth="1"/>
    <col min="2559" max="2559" width="6.85546875" style="141" customWidth="1"/>
    <col min="2560" max="2560" width="28.140625" style="141" customWidth="1"/>
    <col min="2561" max="2561" width="10.5703125" style="141" customWidth="1"/>
    <col min="2562" max="2562" width="9.140625" style="141"/>
    <col min="2563" max="2563" width="14.5703125" style="141" customWidth="1"/>
    <col min="2564" max="2564" width="9.140625" style="141" customWidth="1"/>
    <col min="2565" max="2565" width="9.28515625" style="141" bestFit="1" customWidth="1"/>
    <col min="2566" max="2566" width="17.7109375" style="141" customWidth="1"/>
    <col min="2567" max="2568" width="13.28515625" style="141" bestFit="1" customWidth="1"/>
    <col min="2569" max="2813" width="9.140625" style="141"/>
    <col min="2814" max="2814" width="4.140625" style="141" customWidth="1"/>
    <col min="2815" max="2815" width="6.85546875" style="141" customWidth="1"/>
    <col min="2816" max="2816" width="28.140625" style="141" customWidth="1"/>
    <col min="2817" max="2817" width="10.5703125" style="141" customWidth="1"/>
    <col min="2818" max="2818" width="9.140625" style="141"/>
    <col min="2819" max="2819" width="14.5703125" style="141" customWidth="1"/>
    <col min="2820" max="2820" width="9.140625" style="141" customWidth="1"/>
    <col min="2821" max="2821" width="9.28515625" style="141" bestFit="1" customWidth="1"/>
    <col min="2822" max="2822" width="17.7109375" style="141" customWidth="1"/>
    <col min="2823" max="2824" width="13.28515625" style="141" bestFit="1" customWidth="1"/>
    <col min="2825" max="3069" width="9.140625" style="141"/>
    <col min="3070" max="3070" width="4.140625" style="141" customWidth="1"/>
    <col min="3071" max="3071" width="6.85546875" style="141" customWidth="1"/>
    <col min="3072" max="3072" width="28.140625" style="141" customWidth="1"/>
    <col min="3073" max="3073" width="10.5703125" style="141" customWidth="1"/>
    <col min="3074" max="3074" width="9.140625" style="141"/>
    <col min="3075" max="3075" width="14.5703125" style="141" customWidth="1"/>
    <col min="3076" max="3076" width="9.140625" style="141" customWidth="1"/>
    <col min="3077" max="3077" width="9.28515625" style="141" bestFit="1" customWidth="1"/>
    <col min="3078" max="3078" width="17.7109375" style="141" customWidth="1"/>
    <col min="3079" max="3080" width="13.28515625" style="141" bestFit="1" customWidth="1"/>
    <col min="3081" max="3325" width="9.140625" style="141"/>
    <col min="3326" max="3326" width="4.140625" style="141" customWidth="1"/>
    <col min="3327" max="3327" width="6.85546875" style="141" customWidth="1"/>
    <col min="3328" max="3328" width="28.140625" style="141" customWidth="1"/>
    <col min="3329" max="3329" width="10.5703125" style="141" customWidth="1"/>
    <col min="3330" max="3330" width="9.140625" style="141"/>
    <col min="3331" max="3331" width="14.5703125" style="141" customWidth="1"/>
    <col min="3332" max="3332" width="9.140625" style="141" customWidth="1"/>
    <col min="3333" max="3333" width="9.28515625" style="141" bestFit="1" customWidth="1"/>
    <col min="3334" max="3334" width="17.7109375" style="141" customWidth="1"/>
    <col min="3335" max="3336" width="13.28515625" style="141" bestFit="1" customWidth="1"/>
    <col min="3337" max="3581" width="9.140625" style="141"/>
    <col min="3582" max="3582" width="4.140625" style="141" customWidth="1"/>
    <col min="3583" max="3583" width="6.85546875" style="141" customWidth="1"/>
    <col min="3584" max="3584" width="28.140625" style="141" customWidth="1"/>
    <col min="3585" max="3585" width="10.5703125" style="141" customWidth="1"/>
    <col min="3586" max="3586" width="9.140625" style="141"/>
    <col min="3587" max="3587" width="14.5703125" style="141" customWidth="1"/>
    <col min="3588" max="3588" width="9.140625" style="141" customWidth="1"/>
    <col min="3589" max="3589" width="9.28515625" style="141" bestFit="1" customWidth="1"/>
    <col min="3590" max="3590" width="17.7109375" style="141" customWidth="1"/>
    <col min="3591" max="3592" width="13.28515625" style="141" bestFit="1" customWidth="1"/>
    <col min="3593" max="3837" width="9.140625" style="141"/>
    <col min="3838" max="3838" width="4.140625" style="141" customWidth="1"/>
    <col min="3839" max="3839" width="6.85546875" style="141" customWidth="1"/>
    <col min="3840" max="3840" width="28.140625" style="141" customWidth="1"/>
    <col min="3841" max="3841" width="10.5703125" style="141" customWidth="1"/>
    <col min="3842" max="3842" width="9.140625" style="141"/>
    <col min="3843" max="3843" width="14.5703125" style="141" customWidth="1"/>
    <col min="3844" max="3844" width="9.140625" style="141" customWidth="1"/>
    <col min="3845" max="3845" width="9.28515625" style="141" bestFit="1" customWidth="1"/>
    <col min="3846" max="3846" width="17.7109375" style="141" customWidth="1"/>
    <col min="3847" max="3848" width="13.28515625" style="141" bestFit="1" customWidth="1"/>
    <col min="3849" max="4093" width="9.140625" style="141"/>
    <col min="4094" max="4094" width="4.140625" style="141" customWidth="1"/>
    <col min="4095" max="4095" width="6.85546875" style="141" customWidth="1"/>
    <col min="4096" max="4096" width="28.140625" style="141" customWidth="1"/>
    <col min="4097" max="4097" width="10.5703125" style="141" customWidth="1"/>
    <col min="4098" max="4098" width="9.140625" style="141"/>
    <col min="4099" max="4099" width="14.5703125" style="141" customWidth="1"/>
    <col min="4100" max="4100" width="9.140625" style="141" customWidth="1"/>
    <col min="4101" max="4101" width="9.28515625" style="141" bestFit="1" customWidth="1"/>
    <col min="4102" max="4102" width="17.7109375" style="141" customWidth="1"/>
    <col min="4103" max="4104" width="13.28515625" style="141" bestFit="1" customWidth="1"/>
    <col min="4105" max="4349" width="9.140625" style="141"/>
    <col min="4350" max="4350" width="4.140625" style="141" customWidth="1"/>
    <col min="4351" max="4351" width="6.85546875" style="141" customWidth="1"/>
    <col min="4352" max="4352" width="28.140625" style="141" customWidth="1"/>
    <col min="4353" max="4353" width="10.5703125" style="141" customWidth="1"/>
    <col min="4354" max="4354" width="9.140625" style="141"/>
    <col min="4355" max="4355" width="14.5703125" style="141" customWidth="1"/>
    <col min="4356" max="4356" width="9.140625" style="141" customWidth="1"/>
    <col min="4357" max="4357" width="9.28515625" style="141" bestFit="1" customWidth="1"/>
    <col min="4358" max="4358" width="17.7109375" style="141" customWidth="1"/>
    <col min="4359" max="4360" width="13.28515625" style="141" bestFit="1" customWidth="1"/>
    <col min="4361" max="4605" width="9.140625" style="141"/>
    <col min="4606" max="4606" width="4.140625" style="141" customWidth="1"/>
    <col min="4607" max="4607" width="6.85546875" style="141" customWidth="1"/>
    <col min="4608" max="4608" width="28.140625" style="141" customWidth="1"/>
    <col min="4609" max="4609" width="10.5703125" style="141" customWidth="1"/>
    <col min="4610" max="4610" width="9.140625" style="141"/>
    <col min="4611" max="4611" width="14.5703125" style="141" customWidth="1"/>
    <col min="4612" max="4612" width="9.140625" style="141" customWidth="1"/>
    <col min="4613" max="4613" width="9.28515625" style="141" bestFit="1" customWidth="1"/>
    <col min="4614" max="4614" width="17.7109375" style="141" customWidth="1"/>
    <col min="4615" max="4616" width="13.28515625" style="141" bestFit="1" customWidth="1"/>
    <col min="4617" max="4861" width="9.140625" style="141"/>
    <col min="4862" max="4862" width="4.140625" style="141" customWidth="1"/>
    <col min="4863" max="4863" width="6.85546875" style="141" customWidth="1"/>
    <col min="4864" max="4864" width="28.140625" style="141" customWidth="1"/>
    <col min="4865" max="4865" width="10.5703125" style="141" customWidth="1"/>
    <col min="4866" max="4866" width="9.140625" style="141"/>
    <col min="4867" max="4867" width="14.5703125" style="141" customWidth="1"/>
    <col min="4868" max="4868" width="9.140625" style="141" customWidth="1"/>
    <col min="4869" max="4869" width="9.28515625" style="141" bestFit="1" customWidth="1"/>
    <col min="4870" max="4870" width="17.7109375" style="141" customWidth="1"/>
    <col min="4871" max="4872" width="13.28515625" style="141" bestFit="1" customWidth="1"/>
    <col min="4873" max="5117" width="9.140625" style="141"/>
    <col min="5118" max="5118" width="4.140625" style="141" customWidth="1"/>
    <col min="5119" max="5119" width="6.85546875" style="141" customWidth="1"/>
    <col min="5120" max="5120" width="28.140625" style="141" customWidth="1"/>
    <col min="5121" max="5121" width="10.5703125" style="141" customWidth="1"/>
    <col min="5122" max="5122" width="9.140625" style="141"/>
    <col min="5123" max="5123" width="14.5703125" style="141" customWidth="1"/>
    <col min="5124" max="5124" width="9.140625" style="141" customWidth="1"/>
    <col min="5125" max="5125" width="9.28515625" style="141" bestFit="1" customWidth="1"/>
    <col min="5126" max="5126" width="17.7109375" style="141" customWidth="1"/>
    <col min="5127" max="5128" width="13.28515625" style="141" bestFit="1" customWidth="1"/>
    <col min="5129" max="5373" width="9.140625" style="141"/>
    <col min="5374" max="5374" width="4.140625" style="141" customWidth="1"/>
    <col min="5375" max="5375" width="6.85546875" style="141" customWidth="1"/>
    <col min="5376" max="5376" width="28.140625" style="141" customWidth="1"/>
    <col min="5377" max="5377" width="10.5703125" style="141" customWidth="1"/>
    <col min="5378" max="5378" width="9.140625" style="141"/>
    <col min="5379" max="5379" width="14.5703125" style="141" customWidth="1"/>
    <col min="5380" max="5380" width="9.140625" style="141" customWidth="1"/>
    <col min="5381" max="5381" width="9.28515625" style="141" bestFit="1" customWidth="1"/>
    <col min="5382" max="5382" width="17.7109375" style="141" customWidth="1"/>
    <col min="5383" max="5384" width="13.28515625" style="141" bestFit="1" customWidth="1"/>
    <col min="5385" max="5629" width="9.140625" style="141"/>
    <col min="5630" max="5630" width="4.140625" style="141" customWidth="1"/>
    <col min="5631" max="5631" width="6.85546875" style="141" customWidth="1"/>
    <col min="5632" max="5632" width="28.140625" style="141" customWidth="1"/>
    <col min="5633" max="5633" width="10.5703125" style="141" customWidth="1"/>
    <col min="5634" max="5634" width="9.140625" style="141"/>
    <col min="5635" max="5635" width="14.5703125" style="141" customWidth="1"/>
    <col min="5636" max="5636" width="9.140625" style="141" customWidth="1"/>
    <col min="5637" max="5637" width="9.28515625" style="141" bestFit="1" customWidth="1"/>
    <col min="5638" max="5638" width="17.7109375" style="141" customWidth="1"/>
    <col min="5639" max="5640" width="13.28515625" style="141" bestFit="1" customWidth="1"/>
    <col min="5641" max="5885" width="9.140625" style="141"/>
    <col min="5886" max="5886" width="4.140625" style="141" customWidth="1"/>
    <col min="5887" max="5887" width="6.85546875" style="141" customWidth="1"/>
    <col min="5888" max="5888" width="28.140625" style="141" customWidth="1"/>
    <col min="5889" max="5889" width="10.5703125" style="141" customWidth="1"/>
    <col min="5890" max="5890" width="9.140625" style="141"/>
    <col min="5891" max="5891" width="14.5703125" style="141" customWidth="1"/>
    <col min="5892" max="5892" width="9.140625" style="141" customWidth="1"/>
    <col min="5893" max="5893" width="9.28515625" style="141" bestFit="1" customWidth="1"/>
    <col min="5894" max="5894" width="17.7109375" style="141" customWidth="1"/>
    <col min="5895" max="5896" width="13.28515625" style="141" bestFit="1" customWidth="1"/>
    <col min="5897" max="6141" width="9.140625" style="141"/>
    <col min="6142" max="6142" width="4.140625" style="141" customWidth="1"/>
    <col min="6143" max="6143" width="6.85546875" style="141" customWidth="1"/>
    <col min="6144" max="6144" width="28.140625" style="141" customWidth="1"/>
    <col min="6145" max="6145" width="10.5703125" style="141" customWidth="1"/>
    <col min="6146" max="6146" width="9.140625" style="141"/>
    <col min="6147" max="6147" width="14.5703125" style="141" customWidth="1"/>
    <col min="6148" max="6148" width="9.140625" style="141" customWidth="1"/>
    <col min="6149" max="6149" width="9.28515625" style="141" bestFit="1" customWidth="1"/>
    <col min="6150" max="6150" width="17.7109375" style="141" customWidth="1"/>
    <col min="6151" max="6152" width="13.28515625" style="141" bestFit="1" customWidth="1"/>
    <col min="6153" max="6397" width="9.140625" style="141"/>
    <col min="6398" max="6398" width="4.140625" style="141" customWidth="1"/>
    <col min="6399" max="6399" width="6.85546875" style="141" customWidth="1"/>
    <col min="6400" max="6400" width="28.140625" style="141" customWidth="1"/>
    <col min="6401" max="6401" width="10.5703125" style="141" customWidth="1"/>
    <col min="6402" max="6402" width="9.140625" style="141"/>
    <col min="6403" max="6403" width="14.5703125" style="141" customWidth="1"/>
    <col min="6404" max="6404" width="9.140625" style="141" customWidth="1"/>
    <col min="6405" max="6405" width="9.28515625" style="141" bestFit="1" customWidth="1"/>
    <col min="6406" max="6406" width="17.7109375" style="141" customWidth="1"/>
    <col min="6407" max="6408" width="13.28515625" style="141" bestFit="1" customWidth="1"/>
    <col min="6409" max="6653" width="9.140625" style="141"/>
    <col min="6654" max="6654" width="4.140625" style="141" customWidth="1"/>
    <col min="6655" max="6655" width="6.85546875" style="141" customWidth="1"/>
    <col min="6656" max="6656" width="28.140625" style="141" customWidth="1"/>
    <col min="6657" max="6657" width="10.5703125" style="141" customWidth="1"/>
    <col min="6658" max="6658" width="9.140625" style="141"/>
    <col min="6659" max="6659" width="14.5703125" style="141" customWidth="1"/>
    <col min="6660" max="6660" width="9.140625" style="141" customWidth="1"/>
    <col min="6661" max="6661" width="9.28515625" style="141" bestFit="1" customWidth="1"/>
    <col min="6662" max="6662" width="17.7109375" style="141" customWidth="1"/>
    <col min="6663" max="6664" width="13.28515625" style="141" bestFit="1" customWidth="1"/>
    <col min="6665" max="6909" width="9.140625" style="141"/>
    <col min="6910" max="6910" width="4.140625" style="141" customWidth="1"/>
    <col min="6911" max="6911" width="6.85546875" style="141" customWidth="1"/>
    <col min="6912" max="6912" width="28.140625" style="141" customWidth="1"/>
    <col min="6913" max="6913" width="10.5703125" style="141" customWidth="1"/>
    <col min="6914" max="6914" width="9.140625" style="141"/>
    <col min="6915" max="6915" width="14.5703125" style="141" customWidth="1"/>
    <col min="6916" max="6916" width="9.140625" style="141" customWidth="1"/>
    <col min="6917" max="6917" width="9.28515625" style="141" bestFit="1" customWidth="1"/>
    <col min="6918" max="6918" width="17.7109375" style="141" customWidth="1"/>
    <col min="6919" max="6920" width="13.28515625" style="141" bestFit="1" customWidth="1"/>
    <col min="6921" max="7165" width="9.140625" style="141"/>
    <col min="7166" max="7166" width="4.140625" style="141" customWidth="1"/>
    <col min="7167" max="7167" width="6.85546875" style="141" customWidth="1"/>
    <col min="7168" max="7168" width="28.140625" style="141" customWidth="1"/>
    <col min="7169" max="7169" width="10.5703125" style="141" customWidth="1"/>
    <col min="7170" max="7170" width="9.140625" style="141"/>
    <col min="7171" max="7171" width="14.5703125" style="141" customWidth="1"/>
    <col min="7172" max="7172" width="9.140625" style="141" customWidth="1"/>
    <col min="7173" max="7173" width="9.28515625" style="141" bestFit="1" customWidth="1"/>
    <col min="7174" max="7174" width="17.7109375" style="141" customWidth="1"/>
    <col min="7175" max="7176" width="13.28515625" style="141" bestFit="1" customWidth="1"/>
    <col min="7177" max="7421" width="9.140625" style="141"/>
    <col min="7422" max="7422" width="4.140625" style="141" customWidth="1"/>
    <col min="7423" max="7423" width="6.85546875" style="141" customWidth="1"/>
    <col min="7424" max="7424" width="28.140625" style="141" customWidth="1"/>
    <col min="7425" max="7425" width="10.5703125" style="141" customWidth="1"/>
    <col min="7426" max="7426" width="9.140625" style="141"/>
    <col min="7427" max="7427" width="14.5703125" style="141" customWidth="1"/>
    <col min="7428" max="7428" width="9.140625" style="141" customWidth="1"/>
    <col min="7429" max="7429" width="9.28515625" style="141" bestFit="1" customWidth="1"/>
    <col min="7430" max="7430" width="17.7109375" style="141" customWidth="1"/>
    <col min="7431" max="7432" width="13.28515625" style="141" bestFit="1" customWidth="1"/>
    <col min="7433" max="7677" width="9.140625" style="141"/>
    <col min="7678" max="7678" width="4.140625" style="141" customWidth="1"/>
    <col min="7679" max="7679" width="6.85546875" style="141" customWidth="1"/>
    <col min="7680" max="7680" width="28.140625" style="141" customWidth="1"/>
    <col min="7681" max="7681" width="10.5703125" style="141" customWidth="1"/>
    <col min="7682" max="7682" width="9.140625" style="141"/>
    <col min="7683" max="7683" width="14.5703125" style="141" customWidth="1"/>
    <col min="7684" max="7684" width="9.140625" style="141" customWidth="1"/>
    <col min="7685" max="7685" width="9.28515625" style="141" bestFit="1" customWidth="1"/>
    <col min="7686" max="7686" width="17.7109375" style="141" customWidth="1"/>
    <col min="7687" max="7688" width="13.28515625" style="141" bestFit="1" customWidth="1"/>
    <col min="7689" max="7933" width="9.140625" style="141"/>
    <col min="7934" max="7934" width="4.140625" style="141" customWidth="1"/>
    <col min="7935" max="7935" width="6.85546875" style="141" customWidth="1"/>
    <col min="7936" max="7936" width="28.140625" style="141" customWidth="1"/>
    <col min="7937" max="7937" width="10.5703125" style="141" customWidth="1"/>
    <col min="7938" max="7938" width="9.140625" style="141"/>
    <col min="7939" max="7939" width="14.5703125" style="141" customWidth="1"/>
    <col min="7940" max="7940" width="9.140625" style="141" customWidth="1"/>
    <col min="7941" max="7941" width="9.28515625" style="141" bestFit="1" customWidth="1"/>
    <col min="7942" max="7942" width="17.7109375" style="141" customWidth="1"/>
    <col min="7943" max="7944" width="13.28515625" style="141" bestFit="1" customWidth="1"/>
    <col min="7945" max="8189" width="9.140625" style="141"/>
    <col min="8190" max="8190" width="4.140625" style="141" customWidth="1"/>
    <col min="8191" max="8191" width="6.85546875" style="141" customWidth="1"/>
    <col min="8192" max="8192" width="28.140625" style="141" customWidth="1"/>
    <col min="8193" max="8193" width="10.5703125" style="141" customWidth="1"/>
    <col min="8194" max="8194" width="9.140625" style="141"/>
    <col min="8195" max="8195" width="14.5703125" style="141" customWidth="1"/>
    <col min="8196" max="8196" width="9.140625" style="141" customWidth="1"/>
    <col min="8197" max="8197" width="9.28515625" style="141" bestFit="1" customWidth="1"/>
    <col min="8198" max="8198" width="17.7109375" style="141" customWidth="1"/>
    <col min="8199" max="8200" width="13.28515625" style="141" bestFit="1" customWidth="1"/>
    <col min="8201" max="8445" width="9.140625" style="141"/>
    <col min="8446" max="8446" width="4.140625" style="141" customWidth="1"/>
    <col min="8447" max="8447" width="6.85546875" style="141" customWidth="1"/>
    <col min="8448" max="8448" width="28.140625" style="141" customWidth="1"/>
    <col min="8449" max="8449" width="10.5703125" style="141" customWidth="1"/>
    <col min="8450" max="8450" width="9.140625" style="141"/>
    <col min="8451" max="8451" width="14.5703125" style="141" customWidth="1"/>
    <col min="8452" max="8452" width="9.140625" style="141" customWidth="1"/>
    <col min="8453" max="8453" width="9.28515625" style="141" bestFit="1" customWidth="1"/>
    <col min="8454" max="8454" width="17.7109375" style="141" customWidth="1"/>
    <col min="8455" max="8456" width="13.28515625" style="141" bestFit="1" customWidth="1"/>
    <col min="8457" max="8701" width="9.140625" style="141"/>
    <col min="8702" max="8702" width="4.140625" style="141" customWidth="1"/>
    <col min="8703" max="8703" width="6.85546875" style="141" customWidth="1"/>
    <col min="8704" max="8704" width="28.140625" style="141" customWidth="1"/>
    <col min="8705" max="8705" width="10.5703125" style="141" customWidth="1"/>
    <col min="8706" max="8706" width="9.140625" style="141"/>
    <col min="8707" max="8707" width="14.5703125" style="141" customWidth="1"/>
    <col min="8708" max="8708" width="9.140625" style="141" customWidth="1"/>
    <col min="8709" max="8709" width="9.28515625" style="141" bestFit="1" customWidth="1"/>
    <col min="8710" max="8710" width="17.7109375" style="141" customWidth="1"/>
    <col min="8711" max="8712" width="13.28515625" style="141" bestFit="1" customWidth="1"/>
    <col min="8713" max="8957" width="9.140625" style="141"/>
    <col min="8958" max="8958" width="4.140625" style="141" customWidth="1"/>
    <col min="8959" max="8959" width="6.85546875" style="141" customWidth="1"/>
    <col min="8960" max="8960" width="28.140625" style="141" customWidth="1"/>
    <col min="8961" max="8961" width="10.5703125" style="141" customWidth="1"/>
    <col min="8962" max="8962" width="9.140625" style="141"/>
    <col min="8963" max="8963" width="14.5703125" style="141" customWidth="1"/>
    <col min="8964" max="8964" width="9.140625" style="141" customWidth="1"/>
    <col min="8965" max="8965" width="9.28515625" style="141" bestFit="1" customWidth="1"/>
    <col min="8966" max="8966" width="17.7109375" style="141" customWidth="1"/>
    <col min="8967" max="8968" width="13.28515625" style="141" bestFit="1" customWidth="1"/>
    <col min="8969" max="9213" width="9.140625" style="141"/>
    <col min="9214" max="9214" width="4.140625" style="141" customWidth="1"/>
    <col min="9215" max="9215" width="6.85546875" style="141" customWidth="1"/>
    <col min="9216" max="9216" width="28.140625" style="141" customWidth="1"/>
    <col min="9217" max="9217" width="10.5703125" style="141" customWidth="1"/>
    <col min="9218" max="9218" width="9.140625" style="141"/>
    <col min="9219" max="9219" width="14.5703125" style="141" customWidth="1"/>
    <col min="9220" max="9220" width="9.140625" style="141" customWidth="1"/>
    <col min="9221" max="9221" width="9.28515625" style="141" bestFit="1" customWidth="1"/>
    <col min="9222" max="9222" width="17.7109375" style="141" customWidth="1"/>
    <col min="9223" max="9224" width="13.28515625" style="141" bestFit="1" customWidth="1"/>
    <col min="9225" max="9469" width="9.140625" style="141"/>
    <col min="9470" max="9470" width="4.140625" style="141" customWidth="1"/>
    <col min="9471" max="9471" width="6.85546875" style="141" customWidth="1"/>
    <col min="9472" max="9472" width="28.140625" style="141" customWidth="1"/>
    <col min="9473" max="9473" width="10.5703125" style="141" customWidth="1"/>
    <col min="9474" max="9474" width="9.140625" style="141"/>
    <col min="9475" max="9475" width="14.5703125" style="141" customWidth="1"/>
    <col min="9476" max="9476" width="9.140625" style="141" customWidth="1"/>
    <col min="9477" max="9477" width="9.28515625" style="141" bestFit="1" customWidth="1"/>
    <col min="9478" max="9478" width="17.7109375" style="141" customWidth="1"/>
    <col min="9479" max="9480" width="13.28515625" style="141" bestFit="1" customWidth="1"/>
    <col min="9481" max="9725" width="9.140625" style="141"/>
    <col min="9726" max="9726" width="4.140625" style="141" customWidth="1"/>
    <col min="9727" max="9727" width="6.85546875" style="141" customWidth="1"/>
    <col min="9728" max="9728" width="28.140625" style="141" customWidth="1"/>
    <col min="9729" max="9729" width="10.5703125" style="141" customWidth="1"/>
    <col min="9730" max="9730" width="9.140625" style="141"/>
    <col min="9731" max="9731" width="14.5703125" style="141" customWidth="1"/>
    <col min="9732" max="9732" width="9.140625" style="141" customWidth="1"/>
    <col min="9733" max="9733" width="9.28515625" style="141" bestFit="1" customWidth="1"/>
    <col min="9734" max="9734" width="17.7109375" style="141" customWidth="1"/>
    <col min="9735" max="9736" width="13.28515625" style="141" bestFit="1" customWidth="1"/>
    <col min="9737" max="9981" width="9.140625" style="141"/>
    <col min="9982" max="9982" width="4.140625" style="141" customWidth="1"/>
    <col min="9983" max="9983" width="6.85546875" style="141" customWidth="1"/>
    <col min="9984" max="9984" width="28.140625" style="141" customWidth="1"/>
    <col min="9985" max="9985" width="10.5703125" style="141" customWidth="1"/>
    <col min="9986" max="9986" width="9.140625" style="141"/>
    <col min="9987" max="9987" width="14.5703125" style="141" customWidth="1"/>
    <col min="9988" max="9988" width="9.140625" style="141" customWidth="1"/>
    <col min="9989" max="9989" width="9.28515625" style="141" bestFit="1" customWidth="1"/>
    <col min="9990" max="9990" width="17.7109375" style="141" customWidth="1"/>
    <col min="9991" max="9992" width="13.28515625" style="141" bestFit="1" customWidth="1"/>
    <col min="9993" max="10237" width="9.140625" style="141"/>
    <col min="10238" max="10238" width="4.140625" style="141" customWidth="1"/>
    <col min="10239" max="10239" width="6.85546875" style="141" customWidth="1"/>
    <col min="10240" max="10240" width="28.140625" style="141" customWidth="1"/>
    <col min="10241" max="10241" width="10.5703125" style="141" customWidth="1"/>
    <col min="10242" max="10242" width="9.140625" style="141"/>
    <col min="10243" max="10243" width="14.5703125" style="141" customWidth="1"/>
    <col min="10244" max="10244" width="9.140625" style="141" customWidth="1"/>
    <col min="10245" max="10245" width="9.28515625" style="141" bestFit="1" customWidth="1"/>
    <col min="10246" max="10246" width="17.7109375" style="141" customWidth="1"/>
    <col min="10247" max="10248" width="13.28515625" style="141" bestFit="1" customWidth="1"/>
    <col min="10249" max="10493" width="9.140625" style="141"/>
    <col min="10494" max="10494" width="4.140625" style="141" customWidth="1"/>
    <col min="10495" max="10495" width="6.85546875" style="141" customWidth="1"/>
    <col min="10496" max="10496" width="28.140625" style="141" customWidth="1"/>
    <col min="10497" max="10497" width="10.5703125" style="141" customWidth="1"/>
    <col min="10498" max="10498" width="9.140625" style="141"/>
    <col min="10499" max="10499" width="14.5703125" style="141" customWidth="1"/>
    <col min="10500" max="10500" width="9.140625" style="141" customWidth="1"/>
    <col min="10501" max="10501" width="9.28515625" style="141" bestFit="1" customWidth="1"/>
    <col min="10502" max="10502" width="17.7109375" style="141" customWidth="1"/>
    <col min="10503" max="10504" width="13.28515625" style="141" bestFit="1" customWidth="1"/>
    <col min="10505" max="10749" width="9.140625" style="141"/>
    <col min="10750" max="10750" width="4.140625" style="141" customWidth="1"/>
    <col min="10751" max="10751" width="6.85546875" style="141" customWidth="1"/>
    <col min="10752" max="10752" width="28.140625" style="141" customWidth="1"/>
    <col min="10753" max="10753" width="10.5703125" style="141" customWidth="1"/>
    <col min="10754" max="10754" width="9.140625" style="141"/>
    <col min="10755" max="10755" width="14.5703125" style="141" customWidth="1"/>
    <col min="10756" max="10756" width="9.140625" style="141" customWidth="1"/>
    <col min="10757" max="10757" width="9.28515625" style="141" bestFit="1" customWidth="1"/>
    <col min="10758" max="10758" width="17.7109375" style="141" customWidth="1"/>
    <col min="10759" max="10760" width="13.28515625" style="141" bestFit="1" customWidth="1"/>
    <col min="10761" max="11005" width="9.140625" style="141"/>
    <col min="11006" max="11006" width="4.140625" style="141" customWidth="1"/>
    <col min="11007" max="11007" width="6.85546875" style="141" customWidth="1"/>
    <col min="11008" max="11008" width="28.140625" style="141" customWidth="1"/>
    <col min="11009" max="11009" width="10.5703125" style="141" customWidth="1"/>
    <col min="11010" max="11010" width="9.140625" style="141"/>
    <col min="11011" max="11011" width="14.5703125" style="141" customWidth="1"/>
    <col min="11012" max="11012" width="9.140625" style="141" customWidth="1"/>
    <col min="11013" max="11013" width="9.28515625" style="141" bestFit="1" customWidth="1"/>
    <col min="11014" max="11014" width="17.7109375" style="141" customWidth="1"/>
    <col min="11015" max="11016" width="13.28515625" style="141" bestFit="1" customWidth="1"/>
    <col min="11017" max="11261" width="9.140625" style="141"/>
    <col min="11262" max="11262" width="4.140625" style="141" customWidth="1"/>
    <col min="11263" max="11263" width="6.85546875" style="141" customWidth="1"/>
    <col min="11264" max="11264" width="28.140625" style="141" customWidth="1"/>
    <col min="11265" max="11265" width="10.5703125" style="141" customWidth="1"/>
    <col min="11266" max="11266" width="9.140625" style="141"/>
    <col min="11267" max="11267" width="14.5703125" style="141" customWidth="1"/>
    <col min="11268" max="11268" width="9.140625" style="141" customWidth="1"/>
    <col min="11269" max="11269" width="9.28515625" style="141" bestFit="1" customWidth="1"/>
    <col min="11270" max="11270" width="17.7109375" style="141" customWidth="1"/>
    <col min="11271" max="11272" width="13.28515625" style="141" bestFit="1" customWidth="1"/>
    <col min="11273" max="11517" width="9.140625" style="141"/>
    <col min="11518" max="11518" width="4.140625" style="141" customWidth="1"/>
    <col min="11519" max="11519" width="6.85546875" style="141" customWidth="1"/>
    <col min="11520" max="11520" width="28.140625" style="141" customWidth="1"/>
    <col min="11521" max="11521" width="10.5703125" style="141" customWidth="1"/>
    <col min="11522" max="11522" width="9.140625" style="141"/>
    <col min="11523" max="11523" width="14.5703125" style="141" customWidth="1"/>
    <col min="11524" max="11524" width="9.140625" style="141" customWidth="1"/>
    <col min="11525" max="11525" width="9.28515625" style="141" bestFit="1" customWidth="1"/>
    <col min="11526" max="11526" width="17.7109375" style="141" customWidth="1"/>
    <col min="11527" max="11528" width="13.28515625" style="141" bestFit="1" customWidth="1"/>
    <col min="11529" max="11773" width="9.140625" style="141"/>
    <col min="11774" max="11774" width="4.140625" style="141" customWidth="1"/>
    <col min="11775" max="11775" width="6.85546875" style="141" customWidth="1"/>
    <col min="11776" max="11776" width="28.140625" style="141" customWidth="1"/>
    <col min="11777" max="11777" width="10.5703125" style="141" customWidth="1"/>
    <col min="11778" max="11778" width="9.140625" style="141"/>
    <col min="11779" max="11779" width="14.5703125" style="141" customWidth="1"/>
    <col min="11780" max="11780" width="9.140625" style="141" customWidth="1"/>
    <col min="11781" max="11781" width="9.28515625" style="141" bestFit="1" customWidth="1"/>
    <col min="11782" max="11782" width="17.7109375" style="141" customWidth="1"/>
    <col min="11783" max="11784" width="13.28515625" style="141" bestFit="1" customWidth="1"/>
    <col min="11785" max="12029" width="9.140625" style="141"/>
    <col min="12030" max="12030" width="4.140625" style="141" customWidth="1"/>
    <col min="12031" max="12031" width="6.85546875" style="141" customWidth="1"/>
    <col min="12032" max="12032" width="28.140625" style="141" customWidth="1"/>
    <col min="12033" max="12033" width="10.5703125" style="141" customWidth="1"/>
    <col min="12034" max="12034" width="9.140625" style="141"/>
    <col min="12035" max="12035" width="14.5703125" style="141" customWidth="1"/>
    <col min="12036" max="12036" width="9.140625" style="141" customWidth="1"/>
    <col min="12037" max="12037" width="9.28515625" style="141" bestFit="1" customWidth="1"/>
    <col min="12038" max="12038" width="17.7109375" style="141" customWidth="1"/>
    <col min="12039" max="12040" width="13.28515625" style="141" bestFit="1" customWidth="1"/>
    <col min="12041" max="12285" width="9.140625" style="141"/>
    <col min="12286" max="12286" width="4.140625" style="141" customWidth="1"/>
    <col min="12287" max="12287" width="6.85546875" style="141" customWidth="1"/>
    <col min="12288" max="12288" width="28.140625" style="141" customWidth="1"/>
    <col min="12289" max="12289" width="10.5703125" style="141" customWidth="1"/>
    <col min="12290" max="12290" width="9.140625" style="141"/>
    <col min="12291" max="12291" width="14.5703125" style="141" customWidth="1"/>
    <col min="12292" max="12292" width="9.140625" style="141" customWidth="1"/>
    <col min="12293" max="12293" width="9.28515625" style="141" bestFit="1" customWidth="1"/>
    <col min="12294" max="12294" width="17.7109375" style="141" customWidth="1"/>
    <col min="12295" max="12296" width="13.28515625" style="141" bestFit="1" customWidth="1"/>
    <col min="12297" max="12541" width="9.140625" style="141"/>
    <col min="12542" max="12542" width="4.140625" style="141" customWidth="1"/>
    <col min="12543" max="12543" width="6.85546875" style="141" customWidth="1"/>
    <col min="12544" max="12544" width="28.140625" style="141" customWidth="1"/>
    <col min="12545" max="12545" width="10.5703125" style="141" customWidth="1"/>
    <col min="12546" max="12546" width="9.140625" style="141"/>
    <col min="12547" max="12547" width="14.5703125" style="141" customWidth="1"/>
    <col min="12548" max="12548" width="9.140625" style="141" customWidth="1"/>
    <col min="12549" max="12549" width="9.28515625" style="141" bestFit="1" customWidth="1"/>
    <col min="12550" max="12550" width="17.7109375" style="141" customWidth="1"/>
    <col min="12551" max="12552" width="13.28515625" style="141" bestFit="1" customWidth="1"/>
    <col min="12553" max="12797" width="9.140625" style="141"/>
    <col min="12798" max="12798" width="4.140625" style="141" customWidth="1"/>
    <col min="12799" max="12799" width="6.85546875" style="141" customWidth="1"/>
    <col min="12800" max="12800" width="28.140625" style="141" customWidth="1"/>
    <col min="12801" max="12801" width="10.5703125" style="141" customWidth="1"/>
    <col min="12802" max="12802" width="9.140625" style="141"/>
    <col min="12803" max="12803" width="14.5703125" style="141" customWidth="1"/>
    <col min="12804" max="12804" width="9.140625" style="141" customWidth="1"/>
    <col min="12805" max="12805" width="9.28515625" style="141" bestFit="1" customWidth="1"/>
    <col min="12806" max="12806" width="17.7109375" style="141" customWidth="1"/>
    <col min="12807" max="12808" width="13.28515625" style="141" bestFit="1" customWidth="1"/>
    <col min="12809" max="13053" width="9.140625" style="141"/>
    <col min="13054" max="13054" width="4.140625" style="141" customWidth="1"/>
    <col min="13055" max="13055" width="6.85546875" style="141" customWidth="1"/>
    <col min="13056" max="13056" width="28.140625" style="141" customWidth="1"/>
    <col min="13057" max="13057" width="10.5703125" style="141" customWidth="1"/>
    <col min="13058" max="13058" width="9.140625" style="141"/>
    <col min="13059" max="13059" width="14.5703125" style="141" customWidth="1"/>
    <col min="13060" max="13060" width="9.140625" style="141" customWidth="1"/>
    <col min="13061" max="13061" width="9.28515625" style="141" bestFit="1" customWidth="1"/>
    <col min="13062" max="13062" width="17.7109375" style="141" customWidth="1"/>
    <col min="13063" max="13064" width="13.28515625" style="141" bestFit="1" customWidth="1"/>
    <col min="13065" max="13309" width="9.140625" style="141"/>
    <col min="13310" max="13310" width="4.140625" style="141" customWidth="1"/>
    <col min="13311" max="13311" width="6.85546875" style="141" customWidth="1"/>
    <col min="13312" max="13312" width="28.140625" style="141" customWidth="1"/>
    <col min="13313" max="13313" width="10.5703125" style="141" customWidth="1"/>
    <col min="13314" max="13314" width="9.140625" style="141"/>
    <col min="13315" max="13315" width="14.5703125" style="141" customWidth="1"/>
    <col min="13316" max="13316" width="9.140625" style="141" customWidth="1"/>
    <col min="13317" max="13317" width="9.28515625" style="141" bestFit="1" customWidth="1"/>
    <col min="13318" max="13318" width="17.7109375" style="141" customWidth="1"/>
    <col min="13319" max="13320" width="13.28515625" style="141" bestFit="1" customWidth="1"/>
    <col min="13321" max="13565" width="9.140625" style="141"/>
    <col min="13566" max="13566" width="4.140625" style="141" customWidth="1"/>
    <col min="13567" max="13567" width="6.85546875" style="141" customWidth="1"/>
    <col min="13568" max="13568" width="28.140625" style="141" customWidth="1"/>
    <col min="13569" max="13569" width="10.5703125" style="141" customWidth="1"/>
    <col min="13570" max="13570" width="9.140625" style="141"/>
    <col min="13571" max="13571" width="14.5703125" style="141" customWidth="1"/>
    <col min="13572" max="13572" width="9.140625" style="141" customWidth="1"/>
    <col min="13573" max="13573" width="9.28515625" style="141" bestFit="1" customWidth="1"/>
    <col min="13574" max="13574" width="17.7109375" style="141" customWidth="1"/>
    <col min="13575" max="13576" width="13.28515625" style="141" bestFit="1" customWidth="1"/>
    <col min="13577" max="13821" width="9.140625" style="141"/>
    <col min="13822" max="13822" width="4.140625" style="141" customWidth="1"/>
    <col min="13823" max="13823" width="6.85546875" style="141" customWidth="1"/>
    <col min="13824" max="13824" width="28.140625" style="141" customWidth="1"/>
    <col min="13825" max="13825" width="10.5703125" style="141" customWidth="1"/>
    <col min="13826" max="13826" width="9.140625" style="141"/>
    <col min="13827" max="13827" width="14.5703125" style="141" customWidth="1"/>
    <col min="13828" max="13828" width="9.140625" style="141" customWidth="1"/>
    <col min="13829" max="13829" width="9.28515625" style="141" bestFit="1" customWidth="1"/>
    <col min="13830" max="13830" width="17.7109375" style="141" customWidth="1"/>
    <col min="13831" max="13832" width="13.28515625" style="141" bestFit="1" customWidth="1"/>
    <col min="13833" max="14077" width="9.140625" style="141"/>
    <col min="14078" max="14078" width="4.140625" style="141" customWidth="1"/>
    <col min="14079" max="14079" width="6.85546875" style="141" customWidth="1"/>
    <col min="14080" max="14080" width="28.140625" style="141" customWidth="1"/>
    <col min="14081" max="14081" width="10.5703125" style="141" customWidth="1"/>
    <col min="14082" max="14082" width="9.140625" style="141"/>
    <col min="14083" max="14083" width="14.5703125" style="141" customWidth="1"/>
    <col min="14084" max="14084" width="9.140625" style="141" customWidth="1"/>
    <col min="14085" max="14085" width="9.28515625" style="141" bestFit="1" customWidth="1"/>
    <col min="14086" max="14086" width="17.7109375" style="141" customWidth="1"/>
    <col min="14087" max="14088" width="13.28515625" style="141" bestFit="1" customWidth="1"/>
    <col min="14089" max="14333" width="9.140625" style="141"/>
    <col min="14334" max="14334" width="4.140625" style="141" customWidth="1"/>
    <col min="14335" max="14335" width="6.85546875" style="141" customWidth="1"/>
    <col min="14336" max="14336" width="28.140625" style="141" customWidth="1"/>
    <col min="14337" max="14337" width="10.5703125" style="141" customWidth="1"/>
    <col min="14338" max="14338" width="9.140625" style="141"/>
    <col min="14339" max="14339" width="14.5703125" style="141" customWidth="1"/>
    <col min="14340" max="14340" width="9.140625" style="141" customWidth="1"/>
    <col min="14341" max="14341" width="9.28515625" style="141" bestFit="1" customWidth="1"/>
    <col min="14342" max="14342" width="17.7109375" style="141" customWidth="1"/>
    <col min="14343" max="14344" width="13.28515625" style="141" bestFit="1" customWidth="1"/>
    <col min="14345" max="14589" width="9.140625" style="141"/>
    <col min="14590" max="14590" width="4.140625" style="141" customWidth="1"/>
    <col min="14591" max="14591" width="6.85546875" style="141" customWidth="1"/>
    <col min="14592" max="14592" width="28.140625" style="141" customWidth="1"/>
    <col min="14593" max="14593" width="10.5703125" style="141" customWidth="1"/>
    <col min="14594" max="14594" width="9.140625" style="141"/>
    <col min="14595" max="14595" width="14.5703125" style="141" customWidth="1"/>
    <col min="14596" max="14596" width="9.140625" style="141" customWidth="1"/>
    <col min="14597" max="14597" width="9.28515625" style="141" bestFit="1" customWidth="1"/>
    <col min="14598" max="14598" width="17.7109375" style="141" customWidth="1"/>
    <col min="14599" max="14600" width="13.28515625" style="141" bestFit="1" customWidth="1"/>
    <col min="14601" max="14845" width="9.140625" style="141"/>
    <col min="14846" max="14846" width="4.140625" style="141" customWidth="1"/>
    <col min="14847" max="14847" width="6.85546875" style="141" customWidth="1"/>
    <col min="14848" max="14848" width="28.140625" style="141" customWidth="1"/>
    <col min="14849" max="14849" width="10.5703125" style="141" customWidth="1"/>
    <col min="14850" max="14850" width="9.140625" style="141"/>
    <col min="14851" max="14851" width="14.5703125" style="141" customWidth="1"/>
    <col min="14852" max="14852" width="9.140625" style="141" customWidth="1"/>
    <col min="14853" max="14853" width="9.28515625" style="141" bestFit="1" customWidth="1"/>
    <col min="14854" max="14854" width="17.7109375" style="141" customWidth="1"/>
    <col min="14855" max="14856" width="13.28515625" style="141" bestFit="1" customWidth="1"/>
    <col min="14857" max="15101" width="9.140625" style="141"/>
    <col min="15102" max="15102" width="4.140625" style="141" customWidth="1"/>
    <col min="15103" max="15103" width="6.85546875" style="141" customWidth="1"/>
    <col min="15104" max="15104" width="28.140625" style="141" customWidth="1"/>
    <col min="15105" max="15105" width="10.5703125" style="141" customWidth="1"/>
    <col min="15106" max="15106" width="9.140625" style="141"/>
    <col min="15107" max="15107" width="14.5703125" style="141" customWidth="1"/>
    <col min="15108" max="15108" width="9.140625" style="141" customWidth="1"/>
    <col min="15109" max="15109" width="9.28515625" style="141" bestFit="1" customWidth="1"/>
    <col min="15110" max="15110" width="17.7109375" style="141" customWidth="1"/>
    <col min="15111" max="15112" width="13.28515625" style="141" bestFit="1" customWidth="1"/>
    <col min="15113" max="15357" width="9.140625" style="141"/>
    <col min="15358" max="15358" width="4.140625" style="141" customWidth="1"/>
    <col min="15359" max="15359" width="6.85546875" style="141" customWidth="1"/>
    <col min="15360" max="15360" width="28.140625" style="141" customWidth="1"/>
    <col min="15361" max="15361" width="10.5703125" style="141" customWidth="1"/>
    <col min="15362" max="15362" width="9.140625" style="141"/>
    <col min="15363" max="15363" width="14.5703125" style="141" customWidth="1"/>
    <col min="15364" max="15364" width="9.140625" style="141" customWidth="1"/>
    <col min="15365" max="15365" width="9.28515625" style="141" bestFit="1" customWidth="1"/>
    <col min="15366" max="15366" width="17.7109375" style="141" customWidth="1"/>
    <col min="15367" max="15368" width="13.28515625" style="141" bestFit="1" customWidth="1"/>
    <col min="15369" max="15613" width="9.140625" style="141"/>
    <col min="15614" max="15614" width="4.140625" style="141" customWidth="1"/>
    <col min="15615" max="15615" width="6.85546875" style="141" customWidth="1"/>
    <col min="15616" max="15616" width="28.140625" style="141" customWidth="1"/>
    <col min="15617" max="15617" width="10.5703125" style="141" customWidth="1"/>
    <col min="15618" max="15618" width="9.140625" style="141"/>
    <col min="15619" max="15619" width="14.5703125" style="141" customWidth="1"/>
    <col min="15620" max="15620" width="9.140625" style="141" customWidth="1"/>
    <col min="15621" max="15621" width="9.28515625" style="141" bestFit="1" customWidth="1"/>
    <col min="15622" max="15622" width="17.7109375" style="141" customWidth="1"/>
    <col min="15623" max="15624" width="13.28515625" style="141" bestFit="1" customWidth="1"/>
    <col min="15625" max="15869" width="9.140625" style="141"/>
    <col min="15870" max="15870" width="4.140625" style="141" customWidth="1"/>
    <col min="15871" max="15871" width="6.85546875" style="141" customWidth="1"/>
    <col min="15872" max="15872" width="28.140625" style="141" customWidth="1"/>
    <col min="15873" max="15873" width="10.5703125" style="141" customWidth="1"/>
    <col min="15874" max="15874" width="9.140625" style="141"/>
    <col min="15875" max="15875" width="14.5703125" style="141" customWidth="1"/>
    <col min="15876" max="15876" width="9.140625" style="141" customWidth="1"/>
    <col min="15877" max="15877" width="9.28515625" style="141" bestFit="1" customWidth="1"/>
    <col min="15878" max="15878" width="17.7109375" style="141" customWidth="1"/>
    <col min="15879" max="15880" width="13.28515625" style="141" bestFit="1" customWidth="1"/>
    <col min="15881" max="16125" width="9.140625" style="141"/>
    <col min="16126" max="16126" width="4.140625" style="141" customWidth="1"/>
    <col min="16127" max="16127" width="6.85546875" style="141" customWidth="1"/>
    <col min="16128" max="16128" width="28.140625" style="141" customWidth="1"/>
    <col min="16129" max="16129" width="10.5703125" style="141" customWidth="1"/>
    <col min="16130" max="16130" width="9.140625" style="141"/>
    <col min="16131" max="16131" width="14.5703125" style="141" customWidth="1"/>
    <col min="16132" max="16132" width="9.140625" style="141" customWidth="1"/>
    <col min="16133" max="16133" width="9.28515625" style="141" bestFit="1" customWidth="1"/>
    <col min="16134" max="16134" width="17.7109375" style="141" customWidth="1"/>
    <col min="16135" max="16136" width="13.28515625" style="141" bestFit="1" customWidth="1"/>
    <col min="16137" max="16381" width="9.140625" style="141"/>
    <col min="16382" max="16384" width="9.140625" style="141" customWidth="1"/>
  </cols>
  <sheetData>
    <row r="1" spans="1:7">
      <c r="A1" s="17" t="str">
        <f>RevReqSummary!A1</f>
        <v>PacifiCorp General Rate Case UE-140617</v>
      </c>
      <c r="B1" s="1"/>
      <c r="C1" s="1"/>
      <c r="D1" s="858"/>
      <c r="E1" s="23"/>
      <c r="F1" s="1"/>
      <c r="G1" s="1"/>
    </row>
    <row r="2" spans="1:7">
      <c r="A2" s="17" t="str">
        <f>RevReqSummary!A2</f>
        <v>For The Twelve Months Ended December 2013 - Staff Revenue Requirement</v>
      </c>
      <c r="B2" s="1"/>
      <c r="C2" s="1"/>
      <c r="D2" s="858"/>
      <c r="E2" s="23"/>
      <c r="F2" s="1"/>
      <c r="G2" s="1"/>
    </row>
    <row r="3" spans="1:7">
      <c r="A3" s="25" t="s">
        <v>346</v>
      </c>
      <c r="B3" s="1"/>
      <c r="C3" s="1"/>
      <c r="D3" s="858"/>
      <c r="E3" s="23"/>
      <c r="F3" s="1"/>
      <c r="G3" s="1"/>
    </row>
    <row r="4" spans="1:7">
      <c r="A4" s="25" t="s">
        <v>498</v>
      </c>
      <c r="B4" s="1"/>
      <c r="C4" s="1"/>
      <c r="D4" s="859"/>
      <c r="E4" s="23"/>
      <c r="F4" s="1"/>
      <c r="G4" s="1"/>
    </row>
    <row r="5" spans="1:7">
      <c r="A5" s="1"/>
      <c r="B5" s="1"/>
      <c r="C5" s="1"/>
      <c r="D5" s="546"/>
      <c r="E5" s="23"/>
      <c r="F5" s="1"/>
      <c r="G5" s="1"/>
    </row>
    <row r="6" spans="1:7">
      <c r="A6" s="1"/>
      <c r="B6" s="373"/>
      <c r="C6" s="373"/>
      <c r="D6" s="374" t="s">
        <v>131</v>
      </c>
      <c r="E6" s="373"/>
      <c r="F6" s="373"/>
      <c r="G6" s="376" t="s">
        <v>236</v>
      </c>
    </row>
    <row r="7" spans="1:7">
      <c r="A7" s="25"/>
      <c r="B7" s="380" t="s">
        <v>132</v>
      </c>
      <c r="C7" s="380" t="s">
        <v>660</v>
      </c>
      <c r="D7" s="381" t="s">
        <v>134</v>
      </c>
      <c r="E7" s="380" t="s">
        <v>135</v>
      </c>
      <c r="F7" s="380" t="s">
        <v>136</v>
      </c>
      <c r="G7" s="383" t="s">
        <v>137</v>
      </c>
    </row>
    <row r="8" spans="1:7">
      <c r="A8" s="25" t="s">
        <v>205</v>
      </c>
      <c r="B8" s="1"/>
      <c r="C8" s="1"/>
      <c r="E8" s="23"/>
      <c r="F8" s="1"/>
      <c r="G8" s="144"/>
    </row>
    <row r="9" spans="1:7">
      <c r="A9" s="1" t="s">
        <v>567</v>
      </c>
      <c r="B9" s="160" t="s">
        <v>347</v>
      </c>
      <c r="C9" s="23" t="s">
        <v>140</v>
      </c>
      <c r="D9" s="32">
        <v>726050.74000000022</v>
      </c>
      <c r="E9" s="30" t="s">
        <v>203</v>
      </c>
      <c r="F9" s="33">
        <f>INDEX(WCAAllocations,IFERROR(MATCH(E9,WCAFactors,0),2),IFERROR(MATCH(E9,WCAStates,0),4))</f>
        <v>0.23084885646883446</v>
      </c>
      <c r="G9" s="9">
        <f>F9*D9</f>
        <v>167607.9830673511</v>
      </c>
    </row>
    <row r="10" spans="1:7">
      <c r="A10" s="1" t="s">
        <v>704</v>
      </c>
      <c r="B10" s="160" t="s">
        <v>347</v>
      </c>
      <c r="C10" s="23" t="s">
        <v>140</v>
      </c>
      <c r="D10" s="32">
        <v>212035298.97</v>
      </c>
      <c r="E10" s="30" t="s">
        <v>203</v>
      </c>
      <c r="F10" s="33">
        <f>INDEX(WCAAllocations,IFERROR(MATCH(E10,WCAFactors,0),2),IFERROR(MATCH(E10,WCAStates,0),4))</f>
        <v>0.23084885646883446</v>
      </c>
      <c r="G10" s="9">
        <f>F10*D10</f>
        <v>48948106.298251934</v>
      </c>
    </row>
    <row r="11" spans="1:7">
      <c r="A11" s="1" t="s">
        <v>705</v>
      </c>
      <c r="B11" s="160" t="s">
        <v>347</v>
      </c>
      <c r="C11" s="23" t="s">
        <v>140</v>
      </c>
      <c r="D11" s="32">
        <v>0</v>
      </c>
      <c r="E11" s="30" t="s">
        <v>207</v>
      </c>
      <c r="F11" s="33">
        <f>INDEX(WCAAllocations,IFERROR(MATCH(E11,WCAFactors,0),2),IFERROR(MATCH(E11,WCAStates,0),4))</f>
        <v>0.22741372946461591</v>
      </c>
      <c r="G11" s="9">
        <f>F11*D11</f>
        <v>0</v>
      </c>
    </row>
    <row r="12" spans="1:7">
      <c r="A12" s="1" t="s">
        <v>348</v>
      </c>
      <c r="B12" s="160"/>
      <c r="C12" s="23"/>
      <c r="D12" s="860">
        <f>SUM(D9:D11)</f>
        <v>212761349.71000001</v>
      </c>
      <c r="E12" s="23"/>
      <c r="F12" s="245"/>
      <c r="G12" s="860">
        <f>SUM(G9:G11)</f>
        <v>49115714.281319283</v>
      </c>
    </row>
    <row r="13" spans="1:7">
      <c r="A13" s="1"/>
      <c r="B13" s="160"/>
      <c r="C13" s="23"/>
      <c r="E13" s="23"/>
      <c r="F13" s="245"/>
      <c r="G13" s="144"/>
    </row>
    <row r="14" spans="1:7">
      <c r="A14" s="25" t="s">
        <v>206</v>
      </c>
      <c r="B14" s="160"/>
      <c r="C14" s="23"/>
      <c r="E14" s="23"/>
      <c r="F14" s="629"/>
      <c r="G14" s="144"/>
    </row>
    <row r="15" spans="1:7">
      <c r="A15" s="1" t="s">
        <v>568</v>
      </c>
      <c r="B15" s="160" t="s">
        <v>349</v>
      </c>
      <c r="C15" s="160" t="s">
        <v>140</v>
      </c>
      <c r="D15" s="861">
        <v>0</v>
      </c>
      <c r="E15" s="30" t="s">
        <v>203</v>
      </c>
      <c r="F15" s="33">
        <f>INDEX(WCAAllocations,IFERROR(MATCH(E15,WCAFactors,0),2),IFERROR(MATCH(E15,WCAStates,0),4))</f>
        <v>0.23084885646883446</v>
      </c>
      <c r="G15" s="9">
        <f>F15*D15</f>
        <v>0</v>
      </c>
    </row>
    <row r="16" spans="1:7">
      <c r="A16" s="1" t="s">
        <v>569</v>
      </c>
      <c r="B16" s="160" t="s">
        <v>349</v>
      </c>
      <c r="C16" s="160" t="s">
        <v>140</v>
      </c>
      <c r="D16" s="32">
        <v>0</v>
      </c>
      <c r="E16" s="30" t="s">
        <v>207</v>
      </c>
      <c r="F16" s="33">
        <f>INDEX(WCAAllocations,IFERROR(MATCH(E16,WCAFactors,0),2),IFERROR(MATCH(E16,WCAStates,0),4))</f>
        <v>0.22741372946461591</v>
      </c>
      <c r="G16" s="9">
        <f>F16*D16</f>
        <v>0</v>
      </c>
    </row>
    <row r="17" spans="1:7">
      <c r="A17" s="1" t="s">
        <v>706</v>
      </c>
      <c r="B17" s="160" t="s">
        <v>349</v>
      </c>
      <c r="C17" s="160" t="s">
        <v>140</v>
      </c>
      <c r="D17" s="32">
        <v>0</v>
      </c>
      <c r="E17" s="30" t="s">
        <v>141</v>
      </c>
      <c r="F17" s="33">
        <f>INDEX(WCAAllocations,IFERROR(MATCH(E17,WCAFactors,0),2),IFERROR(MATCH(E17,WCAStates,0),4))</f>
        <v>1</v>
      </c>
      <c r="G17" s="9">
        <f>F17*D17</f>
        <v>0</v>
      </c>
    </row>
    <row r="18" spans="1:7">
      <c r="A18" s="1" t="s">
        <v>707</v>
      </c>
      <c r="B18" s="160" t="s">
        <v>349</v>
      </c>
      <c r="C18" s="160" t="s">
        <v>140</v>
      </c>
      <c r="D18" s="32">
        <v>133771133.18000001</v>
      </c>
      <c r="E18" s="30" t="s">
        <v>203</v>
      </c>
      <c r="F18" s="33">
        <f>INDEX(WCAAllocations,IFERROR(MATCH(E18,WCAFactors,0),2),IFERROR(MATCH(E18,WCAStates,0),4))</f>
        <v>0.23084885646883446</v>
      </c>
      <c r="G18" s="9">
        <f>F18*D18</f>
        <v>30880913.123143163</v>
      </c>
    </row>
    <row r="19" spans="1:7">
      <c r="A19" s="1" t="s">
        <v>350</v>
      </c>
      <c r="B19" s="160" t="s">
        <v>349</v>
      </c>
      <c r="C19" s="160" t="s">
        <v>140</v>
      </c>
      <c r="D19" s="32">
        <v>993512.44</v>
      </c>
      <c r="E19" s="30" t="s">
        <v>203</v>
      </c>
      <c r="F19" s="33">
        <f>INDEX(WCAAllocations,IFERROR(MATCH(E19,WCAFactors,0),2),IFERROR(MATCH(E19,WCAStates,0),4))</f>
        <v>0.23084885646883446</v>
      </c>
      <c r="G19" s="9">
        <f>F19*D19</f>
        <v>229351.21066156149</v>
      </c>
    </row>
    <row r="20" spans="1:7">
      <c r="A20" s="1" t="s">
        <v>351</v>
      </c>
      <c r="B20" s="160"/>
      <c r="C20" s="23"/>
      <c r="D20" s="860">
        <f>SUM(D15:D19)</f>
        <v>134764645.62</v>
      </c>
      <c r="E20" s="15"/>
      <c r="F20" s="862"/>
      <c r="G20" s="860">
        <f>SUM(G15:G19)</f>
        <v>31110264.333804723</v>
      </c>
    </row>
    <row r="21" spans="1:7">
      <c r="A21" s="1"/>
      <c r="B21" s="160"/>
      <c r="C21" s="23"/>
      <c r="D21" s="5"/>
      <c r="E21" s="15"/>
      <c r="F21" s="862"/>
      <c r="G21" s="9"/>
    </row>
    <row r="22" spans="1:7">
      <c r="A22" s="25" t="s">
        <v>208</v>
      </c>
      <c r="B22" s="1"/>
      <c r="C22" s="23"/>
      <c r="D22" s="287"/>
      <c r="E22" s="61"/>
      <c r="F22" s="863"/>
      <c r="G22" s="287"/>
    </row>
    <row r="23" spans="1:7">
      <c r="A23" s="1" t="s">
        <v>570</v>
      </c>
      <c r="B23" s="23" t="s">
        <v>352</v>
      </c>
      <c r="C23" s="23" t="s">
        <v>140</v>
      </c>
      <c r="D23" s="32">
        <v>0</v>
      </c>
      <c r="E23" s="30" t="s">
        <v>203</v>
      </c>
      <c r="F23" s="33">
        <f>INDEX(WCAAllocations,IFERROR(MATCH(E23,WCAFactors,0),2),IFERROR(MATCH(E23,WCAStates,0),4))</f>
        <v>0.23084885646883446</v>
      </c>
      <c r="G23" s="9">
        <f>F23*D23</f>
        <v>0</v>
      </c>
    </row>
    <row r="24" spans="1:7">
      <c r="A24" s="1" t="s">
        <v>571</v>
      </c>
      <c r="B24" s="23" t="s">
        <v>352</v>
      </c>
      <c r="C24" s="23" t="s">
        <v>140</v>
      </c>
      <c r="D24" s="32">
        <v>1343185.2600000054</v>
      </c>
      <c r="E24" s="30" t="s">
        <v>203</v>
      </c>
      <c r="F24" s="33">
        <f>INDEX(WCAAllocations,IFERROR(MATCH(E24,WCAFactors,0),2),IFERROR(MATCH(E24,WCAStates,0),4))</f>
        <v>0.23084885646883446</v>
      </c>
      <c r="G24" s="9">
        <f>F24*D24</f>
        <v>310072.78129679535</v>
      </c>
    </row>
    <row r="25" spans="1:7">
      <c r="A25" s="1" t="s">
        <v>449</v>
      </c>
      <c r="B25" s="23" t="s">
        <v>352</v>
      </c>
      <c r="C25" s="23" t="s">
        <v>140</v>
      </c>
      <c r="D25" s="861">
        <v>0</v>
      </c>
      <c r="E25" s="30" t="s">
        <v>207</v>
      </c>
      <c r="F25" s="33">
        <f>INDEX(WCAAllocations,IFERROR(MATCH(E25,WCAFactors,0),2),IFERROR(MATCH(E25,WCAStates,0),4))</f>
        <v>0.22741372946461591</v>
      </c>
      <c r="G25" s="9">
        <f>F25*D25</f>
        <v>0</v>
      </c>
    </row>
    <row r="26" spans="1:7">
      <c r="A26" s="25" t="s">
        <v>353</v>
      </c>
      <c r="B26" s="1"/>
      <c r="C26" s="23"/>
      <c r="D26" s="860">
        <f>SUM(D23:D25)</f>
        <v>1343185.2600000054</v>
      </c>
      <c r="E26" s="23"/>
      <c r="F26" s="1"/>
      <c r="G26" s="860">
        <f>SUM(G23:G25)</f>
        <v>310072.78129679535</v>
      </c>
    </row>
    <row r="27" spans="1:7">
      <c r="A27" s="25"/>
      <c r="B27" s="1"/>
      <c r="C27" s="23"/>
      <c r="E27" s="23"/>
      <c r="F27" s="1"/>
      <c r="G27" s="1"/>
    </row>
    <row r="28" spans="1:7">
      <c r="A28" s="25" t="s">
        <v>209</v>
      </c>
      <c r="B28" s="160"/>
      <c r="C28" s="23"/>
      <c r="E28" s="23"/>
      <c r="F28" s="864"/>
      <c r="G28" s="4"/>
    </row>
    <row r="29" spans="1:7">
      <c r="A29" s="1" t="s">
        <v>210</v>
      </c>
      <c r="B29" s="23" t="s">
        <v>354</v>
      </c>
      <c r="C29" s="23" t="s">
        <v>140</v>
      </c>
      <c r="D29" s="32">
        <v>10539421.930000007</v>
      </c>
      <c r="E29" s="30" t="s">
        <v>207</v>
      </c>
      <c r="F29" s="33">
        <f>INDEX(WCAAllocations,IFERROR(MATCH(E29,WCAFactors,0),2),IFERROR(MATCH(E29,WCAStates,0),4))</f>
        <v>0.22741372946461591</v>
      </c>
      <c r="G29" s="9">
        <f>F29*D29</f>
        <v>2396809.2475024615</v>
      </c>
    </row>
    <row r="30" spans="1:7">
      <c r="A30" s="1" t="s">
        <v>211</v>
      </c>
      <c r="B30" s="23" t="s">
        <v>355</v>
      </c>
      <c r="C30" s="23" t="s">
        <v>140</v>
      </c>
      <c r="D30" s="32">
        <v>16638609.519999981</v>
      </c>
      <c r="E30" s="30" t="s">
        <v>207</v>
      </c>
      <c r="F30" s="33">
        <f>INDEX(WCAAllocations,IFERROR(MATCH(E30,WCAFactors,0),2),IFERROR(MATCH(E30,WCAStates,0),4))</f>
        <v>0.22741372946461591</v>
      </c>
      <c r="G30" s="9">
        <f>F30*D30</f>
        <v>3783848.2440486583</v>
      </c>
    </row>
    <row r="31" spans="1:7">
      <c r="A31" s="1" t="s">
        <v>356</v>
      </c>
      <c r="B31" s="160"/>
      <c r="C31" s="23"/>
      <c r="D31" s="865">
        <f>SUM(D29:D30)</f>
        <v>27178031.449999988</v>
      </c>
      <c r="E31" s="23"/>
      <c r="F31" s="864"/>
      <c r="G31" s="865">
        <f>SUM(G29:G30)</f>
        <v>6180657.4915511198</v>
      </c>
    </row>
    <row r="32" spans="1:7">
      <c r="A32" s="1"/>
      <c r="B32" s="160"/>
      <c r="C32" s="23"/>
      <c r="E32" s="23"/>
      <c r="F32" s="864"/>
      <c r="G32" s="4"/>
    </row>
    <row r="33" spans="1:8" ht="13.5" thickBot="1">
      <c r="A33" s="1" t="s">
        <v>357</v>
      </c>
      <c r="B33" s="160"/>
      <c r="C33" s="23"/>
      <c r="D33" s="855">
        <f>+D31+D26+D20-D12</f>
        <v>-49475487.380000025</v>
      </c>
      <c r="E33" s="23"/>
      <c r="F33" s="629"/>
      <c r="G33" s="855">
        <f>+G31+G26+G20-G12</f>
        <v>-11514719.674666643</v>
      </c>
    </row>
    <row r="34" spans="1:8" ht="13.5" thickTop="1">
      <c r="A34" s="1"/>
      <c r="B34" s="160"/>
      <c r="C34" s="23"/>
      <c r="E34" s="23"/>
      <c r="F34" s="1"/>
      <c r="G34" s="9"/>
    </row>
    <row r="35" spans="1:8">
      <c r="A35" s="1"/>
      <c r="B35" s="160"/>
      <c r="C35" s="23"/>
      <c r="E35" s="23"/>
      <c r="F35" s="1"/>
      <c r="G35" s="9"/>
    </row>
    <row r="36" spans="1:8">
      <c r="A36" s="25"/>
      <c r="B36" s="160"/>
      <c r="C36" s="23"/>
      <c r="E36" s="365"/>
      <c r="F36" s="1"/>
      <c r="G36" s="144"/>
    </row>
    <row r="37" spans="1:8">
      <c r="A37" s="97" t="s">
        <v>212</v>
      </c>
      <c r="B37" s="1"/>
      <c r="C37" s="172"/>
      <c r="D37" s="858"/>
      <c r="E37" s="23"/>
      <c r="F37" s="1"/>
      <c r="G37" s="1"/>
      <c r="H37" s="404"/>
    </row>
    <row r="38" spans="1:8">
      <c r="A38" s="1399" t="s">
        <v>1065</v>
      </c>
      <c r="B38" s="1399"/>
      <c r="C38" s="1399"/>
      <c r="D38" s="1399"/>
      <c r="E38" s="1399"/>
      <c r="F38" s="1399"/>
      <c r="G38" s="1399"/>
      <c r="H38" s="1061"/>
    </row>
    <row r="39" spans="1:8">
      <c r="A39" s="1399"/>
      <c r="B39" s="1399"/>
      <c r="C39" s="1399"/>
      <c r="D39" s="1399"/>
      <c r="E39" s="1399"/>
      <c r="F39" s="1399"/>
      <c r="G39" s="1399"/>
    </row>
    <row r="40" spans="1:8">
      <c r="A40" s="1399"/>
      <c r="B40" s="1399"/>
      <c r="C40" s="1399"/>
      <c r="D40" s="1399"/>
      <c r="E40" s="1399"/>
      <c r="F40" s="1399"/>
      <c r="G40" s="1399"/>
    </row>
    <row r="41" spans="1:8">
      <c r="A41" s="1399"/>
      <c r="B41" s="1399"/>
      <c r="C41" s="1399"/>
      <c r="D41" s="1399"/>
      <c r="E41" s="1399"/>
      <c r="F41" s="1399"/>
      <c r="G41" s="1399"/>
    </row>
    <row r="42" spans="1:8">
      <c r="A42" s="1399"/>
      <c r="B42" s="1399"/>
      <c r="C42" s="1399"/>
      <c r="D42" s="1399"/>
      <c r="E42" s="1399"/>
      <c r="F42" s="1399"/>
      <c r="G42" s="1399"/>
    </row>
    <row r="43" spans="1:8">
      <c r="A43" s="1399"/>
      <c r="B43" s="1399"/>
      <c r="C43" s="1399"/>
      <c r="D43" s="1399"/>
      <c r="E43" s="1399"/>
      <c r="F43" s="1399"/>
      <c r="G43" s="1399"/>
    </row>
    <row r="44" spans="1:8">
      <c r="A44" s="1399"/>
      <c r="B44" s="1399"/>
      <c r="C44" s="1399"/>
      <c r="D44" s="1399"/>
      <c r="E44" s="1399"/>
      <c r="F44" s="1399"/>
      <c r="G44" s="1399"/>
    </row>
    <row r="50" spans="1:7">
      <c r="A50" s="1"/>
      <c r="B50" s="1"/>
      <c r="C50" s="1"/>
      <c r="D50" s="858"/>
      <c r="E50" s="23"/>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J47"/>
  <sheetViews>
    <sheetView workbookViewId="0">
      <selection activeCell="F16" sqref="F16"/>
    </sheetView>
  </sheetViews>
  <sheetFormatPr defaultColWidth="9.140625" defaultRowHeight="15.6" customHeight="1"/>
  <cols>
    <col min="1" max="1" width="33.42578125" style="619" customWidth="1"/>
    <col min="2" max="2" width="9.7109375" style="619" bestFit="1" customWidth="1"/>
    <col min="3" max="3" width="5.42578125" style="620" bestFit="1" customWidth="1"/>
    <col min="4" max="4" width="12.85546875" style="619" bestFit="1" customWidth="1"/>
    <col min="5" max="5" width="8" style="619" bestFit="1" customWidth="1"/>
    <col min="6" max="6" width="10" style="619" bestFit="1" customWidth="1"/>
    <col min="7" max="7" width="13.28515625" style="619" bestFit="1" customWidth="1"/>
    <col min="8" max="8" width="13" style="619" customWidth="1"/>
    <col min="9" max="9" width="9.140625" style="619"/>
    <col min="10" max="10" width="10.85546875" style="619" bestFit="1" customWidth="1"/>
    <col min="11" max="16384" width="9.140625" style="619"/>
  </cols>
  <sheetData>
    <row r="1" spans="1:10" ht="15.6" customHeight="1">
      <c r="A1" s="17" t="str">
        <f>RevReqSummary!A1</f>
        <v>PacifiCorp General Rate Case UE-140617</v>
      </c>
      <c r="B1" s="620"/>
      <c r="D1" s="620"/>
      <c r="E1" s="620"/>
      <c r="F1" s="620"/>
      <c r="G1" s="620"/>
    </row>
    <row r="2" spans="1:10" ht="15.6" customHeight="1">
      <c r="A2" s="17" t="str">
        <f>RevReqSummary!A2</f>
        <v>For The Twelve Months Ended December 2013 - Staff Revenue Requirement</v>
      </c>
      <c r="B2" s="620"/>
      <c r="D2" s="620"/>
      <c r="E2" s="620"/>
      <c r="F2" s="620"/>
      <c r="G2" s="620"/>
    </row>
    <row r="3" spans="1:10" ht="15.6" customHeight="1">
      <c r="A3" s="604" t="s">
        <v>358</v>
      </c>
      <c r="B3" s="620"/>
      <c r="D3" s="620"/>
      <c r="E3" s="620"/>
      <c r="F3" s="620"/>
      <c r="G3" s="620"/>
    </row>
    <row r="4" spans="1:10" ht="15.6" customHeight="1">
      <c r="A4" s="604" t="s">
        <v>499</v>
      </c>
      <c r="B4" s="620"/>
      <c r="D4" s="620"/>
      <c r="E4" s="620"/>
      <c r="F4" s="620"/>
      <c r="G4" s="620"/>
    </row>
    <row r="5" spans="1:10" ht="15.6" customHeight="1">
      <c r="B5" s="620"/>
      <c r="D5" s="620" t="s">
        <v>131</v>
      </c>
      <c r="E5" s="620"/>
      <c r="F5" s="620"/>
      <c r="G5" s="620" t="s">
        <v>236</v>
      </c>
    </row>
    <row r="6" spans="1:10" ht="15.6" customHeight="1">
      <c r="B6" s="622" t="s">
        <v>132</v>
      </c>
      <c r="C6" s="41" t="s">
        <v>660</v>
      </c>
      <c r="D6" s="622" t="s">
        <v>134</v>
      </c>
      <c r="E6" s="622" t="s">
        <v>135</v>
      </c>
      <c r="F6" s="622" t="s">
        <v>136</v>
      </c>
      <c r="G6" s="622" t="s">
        <v>137</v>
      </c>
    </row>
    <row r="7" spans="1:10" ht="15.6" customHeight="1">
      <c r="A7" s="837" t="s">
        <v>205</v>
      </c>
      <c r="B7" s="70"/>
      <c r="C7" s="70"/>
      <c r="D7" s="838"/>
      <c r="E7" s="70"/>
      <c r="F7" s="839"/>
      <c r="G7" s="840"/>
    </row>
    <row r="8" spans="1:10" ht="15.6" customHeight="1">
      <c r="A8" s="306" t="s">
        <v>567</v>
      </c>
      <c r="B8" s="70" t="s">
        <v>347</v>
      </c>
      <c r="C8" s="839" t="s">
        <v>398</v>
      </c>
      <c r="D8" s="841">
        <v>-12964800</v>
      </c>
      <c r="E8" s="30" t="s">
        <v>203</v>
      </c>
      <c r="F8" s="33">
        <f>INDEX(WCAAllocations,IFERROR(MATCH(E8,WCAFactors,0),2),IFERROR(MATCH(E8,WCAStates,0),4))</f>
        <v>0.23084885646883446</v>
      </c>
      <c r="G8" s="840">
        <v>-2992909.2543471451</v>
      </c>
      <c r="J8" s="1"/>
    </row>
    <row r="9" spans="1:10" ht="15.6" customHeight="1">
      <c r="A9" s="619" t="s">
        <v>704</v>
      </c>
      <c r="B9" s="70" t="s">
        <v>347</v>
      </c>
      <c r="C9" s="839" t="s">
        <v>398</v>
      </c>
      <c r="D9" s="842">
        <v>-188424753.13</v>
      </c>
      <c r="E9" s="30" t="s">
        <v>203</v>
      </c>
      <c r="F9" s="33">
        <f>INDEX(WCAAllocations,IFERROR(MATCH(E9,WCAFactors,0),2),IFERROR(MATCH(E9,WCAStates,0),4))</f>
        <v>0.23084885646883446</v>
      </c>
      <c r="G9" s="840">
        <v>-44216107.281025805</v>
      </c>
      <c r="J9" s="1"/>
    </row>
    <row r="10" spans="1:10" ht="15.6" customHeight="1">
      <c r="A10" s="619" t="s">
        <v>705</v>
      </c>
      <c r="B10" s="70" t="s">
        <v>347</v>
      </c>
      <c r="C10" s="839" t="s">
        <v>398</v>
      </c>
      <c r="D10" s="841">
        <v>0</v>
      </c>
      <c r="E10" s="30" t="s">
        <v>207</v>
      </c>
      <c r="F10" s="33">
        <f>INDEX(WCAAllocations,IFERROR(MATCH(E10,WCAFactors,0),2),IFERROR(MATCH(E10,WCAStates,0),4))</f>
        <v>0.22741372946461591</v>
      </c>
      <c r="G10" s="840">
        <v>0</v>
      </c>
      <c r="J10" s="1"/>
    </row>
    <row r="11" spans="1:10" ht="15.6" customHeight="1">
      <c r="A11" s="306" t="s">
        <v>348</v>
      </c>
      <c r="B11" s="70"/>
      <c r="C11" s="839"/>
      <c r="D11" s="843">
        <f>SUM(D8:D10)</f>
        <v>-201389553.13</v>
      </c>
      <c r="E11" s="260"/>
      <c r="F11" s="844"/>
      <c r="G11" s="843">
        <v>-47209016.53537295</v>
      </c>
      <c r="J11" s="1"/>
    </row>
    <row r="12" spans="1:10" ht="15.6" customHeight="1">
      <c r="A12" s="306"/>
      <c r="B12" s="70"/>
      <c r="C12" s="839"/>
      <c r="D12" s="838"/>
      <c r="E12" s="260"/>
      <c r="F12" s="844"/>
      <c r="G12" s="282"/>
      <c r="J12" s="1"/>
    </row>
    <row r="13" spans="1:10" ht="15.6" customHeight="1">
      <c r="A13" s="604" t="s">
        <v>206</v>
      </c>
      <c r="B13" s="70"/>
      <c r="C13" s="839"/>
      <c r="D13" s="838"/>
      <c r="E13" s="260"/>
      <c r="F13" s="844"/>
      <c r="G13" s="282"/>
      <c r="J13" s="1"/>
    </row>
    <row r="14" spans="1:10" ht="15.6" customHeight="1">
      <c r="A14" s="619" t="s">
        <v>568</v>
      </c>
      <c r="B14" s="70" t="s">
        <v>349</v>
      </c>
      <c r="C14" s="839" t="s">
        <v>398</v>
      </c>
      <c r="D14" s="841">
        <v>4133212.9721222022</v>
      </c>
      <c r="E14" s="30" t="s">
        <v>203</v>
      </c>
      <c r="F14" s="33">
        <f t="shared" ref="F14:F19" si="0">INDEX(WCAAllocations,IFERROR(MATCH(E14,WCAFactors,0),2),IFERROR(MATCH(E14,WCAStates,0),4))</f>
        <v>0.23084885646883446</v>
      </c>
      <c r="G14" s="840">
        <v>323030.46387748991</v>
      </c>
    </row>
    <row r="15" spans="1:10" ht="15.6" customHeight="1">
      <c r="A15" s="306" t="s">
        <v>569</v>
      </c>
      <c r="B15" s="70" t="s">
        <v>349</v>
      </c>
      <c r="C15" s="839" t="s">
        <v>398</v>
      </c>
      <c r="D15" s="841">
        <v>16617956.5978778</v>
      </c>
      <c r="E15" s="30" t="s">
        <v>207</v>
      </c>
      <c r="F15" s="33">
        <f t="shared" si="0"/>
        <v>0.22741372946461591</v>
      </c>
      <c r="G15" s="840">
        <v>750013.04948415759</v>
      </c>
    </row>
    <row r="16" spans="1:10" ht="15.6" customHeight="1">
      <c r="A16" s="306" t="s">
        <v>708</v>
      </c>
      <c r="B16" s="70" t="s">
        <v>349</v>
      </c>
      <c r="C16" s="839" t="s">
        <v>398</v>
      </c>
      <c r="D16" s="841">
        <v>-439313.91999999998</v>
      </c>
      <c r="E16" s="30" t="s">
        <v>141</v>
      </c>
      <c r="F16" s="33">
        <f t="shared" si="0"/>
        <v>1</v>
      </c>
      <c r="G16" s="1">
        <v>140186.34000000003</v>
      </c>
    </row>
    <row r="17" spans="1:10" ht="15.6" customHeight="1">
      <c r="A17" s="306" t="s">
        <v>709</v>
      </c>
      <c r="B17" s="70" t="s">
        <v>349</v>
      </c>
      <c r="C17" s="839" t="s">
        <v>398</v>
      </c>
      <c r="D17" s="841">
        <v>51364204.670000002</v>
      </c>
      <c r="E17" s="30" t="s">
        <v>203</v>
      </c>
      <c r="F17" s="33">
        <f t="shared" si="0"/>
        <v>0.23084885646883446</v>
      </c>
      <c r="G17" s="1">
        <v>0</v>
      </c>
    </row>
    <row r="18" spans="1:10" ht="15.6" customHeight="1">
      <c r="A18" s="306" t="s">
        <v>707</v>
      </c>
      <c r="B18" s="70" t="s">
        <v>349</v>
      </c>
      <c r="C18" s="839" t="s">
        <v>398</v>
      </c>
      <c r="D18" s="841">
        <v>-207237993.22000003</v>
      </c>
      <c r="E18" s="30" t="s">
        <v>203</v>
      </c>
      <c r="F18" s="33">
        <f t="shared" si="0"/>
        <v>0.23084885646883446</v>
      </c>
      <c r="G18" s="840">
        <v>-44116423.344398916</v>
      </c>
    </row>
    <row r="19" spans="1:10" ht="15.6" customHeight="1">
      <c r="A19" s="845" t="s">
        <v>350</v>
      </c>
      <c r="B19" s="70" t="s">
        <v>349</v>
      </c>
      <c r="C19" s="839" t="s">
        <v>398</v>
      </c>
      <c r="D19" s="841">
        <v>106027.21999999997</v>
      </c>
      <c r="E19" s="30" t="s">
        <v>203</v>
      </c>
      <c r="F19" s="33">
        <f t="shared" si="0"/>
        <v>0.23084885646883446</v>
      </c>
      <c r="G19" s="840">
        <v>7888.774887223839</v>
      </c>
      <c r="H19" s="541"/>
      <c r="I19" s="844"/>
      <c r="J19" s="840"/>
    </row>
    <row r="20" spans="1:10" ht="15.6" customHeight="1">
      <c r="A20" s="845" t="s">
        <v>351</v>
      </c>
      <c r="B20" s="70"/>
      <c r="C20" s="839"/>
      <c r="D20" s="843">
        <f>SUM(D14:D19)</f>
        <v>-135455905.68000004</v>
      </c>
      <c r="E20" s="260"/>
      <c r="F20" s="844"/>
      <c r="G20" s="843">
        <v>-42895304.716150038</v>
      </c>
    </row>
    <row r="21" spans="1:10" ht="15.6" customHeight="1">
      <c r="A21" s="845"/>
      <c r="B21" s="70"/>
      <c r="C21" s="839"/>
      <c r="D21" s="838"/>
      <c r="E21" s="260"/>
      <c r="F21" s="844"/>
      <c r="G21" s="687"/>
    </row>
    <row r="22" spans="1:10" ht="15.6" customHeight="1">
      <c r="A22" s="846" t="s">
        <v>208</v>
      </c>
      <c r="B22" s="70"/>
      <c r="C22" s="839"/>
      <c r="D22" s="838"/>
      <c r="E22" s="260"/>
      <c r="F22" s="844"/>
      <c r="G22" s="282"/>
    </row>
    <row r="23" spans="1:10" ht="15.6" customHeight="1">
      <c r="A23" s="847" t="s">
        <v>570</v>
      </c>
      <c r="B23" s="848" t="s">
        <v>352</v>
      </c>
      <c r="C23" s="849" t="s">
        <v>398</v>
      </c>
      <c r="D23" s="32">
        <v>2870118.697416462</v>
      </c>
      <c r="E23" s="30" t="s">
        <v>203</v>
      </c>
      <c r="F23" s="33">
        <f>INDEX(WCAAllocations,IFERROR(MATCH(E23,WCAFactors,0),2),IFERROR(MATCH(E23,WCAStates,0),4))</f>
        <v>0.23084885646883446</v>
      </c>
      <c r="G23" s="840">
        <v>662563.619228411</v>
      </c>
    </row>
    <row r="24" spans="1:10" ht="15.6" customHeight="1">
      <c r="A24" s="847" t="s">
        <v>571</v>
      </c>
      <c r="B24" s="848" t="s">
        <v>352</v>
      </c>
      <c r="C24" s="849" t="s">
        <v>398</v>
      </c>
      <c r="D24" s="32">
        <v>12247087.302583545</v>
      </c>
      <c r="E24" s="30" t="s">
        <v>203</v>
      </c>
      <c r="F24" s="33">
        <f>INDEX(WCAAllocations,IFERROR(MATCH(E24,WCAFactors,0),2),IFERROR(MATCH(E24,WCAStates,0),4))</f>
        <v>0.23084885646883446</v>
      </c>
      <c r="G24" s="840">
        <v>2827226.0988753941</v>
      </c>
    </row>
    <row r="25" spans="1:10" ht="15.6" customHeight="1">
      <c r="A25" s="847" t="s">
        <v>449</v>
      </c>
      <c r="B25" s="848" t="s">
        <v>352</v>
      </c>
      <c r="C25" s="849" t="s">
        <v>398</v>
      </c>
      <c r="D25" s="32">
        <v>0</v>
      </c>
      <c r="E25" s="30" t="s">
        <v>207</v>
      </c>
      <c r="F25" s="33">
        <f>INDEX(WCAAllocations,IFERROR(MATCH(E25,WCAFactors,0),2),IFERROR(MATCH(E25,WCAStates,0),4))</f>
        <v>0.22741372946461591</v>
      </c>
      <c r="G25" s="840">
        <v>0</v>
      </c>
    </row>
    <row r="26" spans="1:10" ht="15.6" customHeight="1">
      <c r="A26" s="845" t="s">
        <v>353</v>
      </c>
      <c r="B26" s="306"/>
      <c r="C26" s="70"/>
      <c r="D26" s="850">
        <f>SUM(D23:D25)</f>
        <v>15117206.000000007</v>
      </c>
      <c r="E26" s="840"/>
      <c r="F26" s="851"/>
      <c r="G26" s="852">
        <v>3489789.7181038051</v>
      </c>
    </row>
    <row r="27" spans="1:10" ht="15.6" customHeight="1">
      <c r="A27" s="845"/>
      <c r="B27" s="306"/>
      <c r="C27" s="70"/>
      <c r="D27" s="838"/>
      <c r="E27" s="853"/>
      <c r="F27" s="851"/>
      <c r="G27" s="282"/>
    </row>
    <row r="28" spans="1:10" ht="15.6" customHeight="1">
      <c r="A28" s="846" t="s">
        <v>209</v>
      </c>
      <c r="D28" s="838"/>
      <c r="E28" s="840"/>
      <c r="F28" s="854"/>
      <c r="G28" s="282"/>
    </row>
    <row r="29" spans="1:10" ht="15.6" customHeight="1">
      <c r="A29" s="845" t="s">
        <v>210</v>
      </c>
      <c r="B29" s="619" t="s">
        <v>354</v>
      </c>
      <c r="C29" s="620" t="s">
        <v>398</v>
      </c>
      <c r="D29" s="841">
        <v>15996924.969999999</v>
      </c>
      <c r="E29" s="30" t="s">
        <v>207</v>
      </c>
      <c r="F29" s="33">
        <f>INDEX(WCAAllocations,IFERROR(MATCH(E29,WCAFactors,0),2),IFERROR(MATCH(E29,WCAStates,0),4))</f>
        <v>0.22741372946461591</v>
      </c>
      <c r="G29" s="840">
        <v>4462528.6064596502</v>
      </c>
    </row>
    <row r="30" spans="1:10" ht="15.6" customHeight="1">
      <c r="A30" s="845" t="s">
        <v>211</v>
      </c>
      <c r="B30" s="619" t="s">
        <v>355</v>
      </c>
      <c r="C30" s="620" t="s">
        <v>398</v>
      </c>
      <c r="D30" s="841">
        <v>-59057047.229999974</v>
      </c>
      <c r="E30" s="30" t="s">
        <v>207</v>
      </c>
      <c r="F30" s="33">
        <f>INDEX(WCAAllocations,IFERROR(MATCH(E30,WCAFactors,0),2),IFERROR(MATCH(E30,WCAStates,0),4))</f>
        <v>0.22741372946461591</v>
      </c>
      <c r="G30" s="840">
        <v>-13174350.710558699</v>
      </c>
    </row>
    <row r="31" spans="1:10" ht="15.6" customHeight="1">
      <c r="A31" s="845" t="s">
        <v>356</v>
      </c>
      <c r="B31" s="70"/>
      <c r="C31" s="839"/>
      <c r="D31" s="843">
        <f>SUM(D29:D30)</f>
        <v>-43060122.259999976</v>
      </c>
      <c r="E31" s="853"/>
      <c r="F31" s="854"/>
      <c r="G31" s="843">
        <v>-8711822.1040990502</v>
      </c>
    </row>
    <row r="32" spans="1:10" ht="15.6" customHeight="1">
      <c r="A32" s="306"/>
      <c r="B32" s="70"/>
      <c r="C32" s="839"/>
      <c r="D32" s="838"/>
      <c r="E32" s="853"/>
      <c r="F32" s="854"/>
      <c r="G32" s="620"/>
    </row>
    <row r="33" spans="1:7" ht="15.6" customHeight="1" thickBot="1">
      <c r="A33" s="306" t="s">
        <v>359</v>
      </c>
      <c r="B33" s="70"/>
      <c r="C33" s="839"/>
      <c r="D33" s="855">
        <f>D31+D26+D20-D11</f>
        <v>37990731.189999998</v>
      </c>
      <c r="E33" s="23"/>
      <c r="F33" s="629"/>
      <c r="G33" s="855">
        <v>-908320.56677233428</v>
      </c>
    </row>
    <row r="34" spans="1:7" ht="15.6" customHeight="1" thickTop="1">
      <c r="A34" s="306"/>
      <c r="B34" s="70"/>
      <c r="C34" s="839"/>
      <c r="D34" s="287"/>
      <c r="E34" s="23"/>
      <c r="F34" s="629"/>
      <c r="G34" s="287"/>
    </row>
    <row r="35" spans="1:7" s="306" customFormat="1" ht="15.6" customHeight="1">
      <c r="B35" s="838"/>
      <c r="C35" s="856"/>
      <c r="D35" s="838"/>
      <c r="E35" s="857"/>
      <c r="F35" s="856"/>
      <c r="G35" s="70"/>
    </row>
    <row r="36" spans="1:7" ht="15.6" customHeight="1">
      <c r="A36" s="837" t="s">
        <v>444</v>
      </c>
      <c r="B36" s="70"/>
      <c r="C36" s="839"/>
      <c r="D36" s="70"/>
      <c r="E36" s="260"/>
      <c r="F36" s="364"/>
      <c r="G36" s="620"/>
    </row>
    <row r="37" spans="1:7" ht="15.6" customHeight="1">
      <c r="A37" s="1401" t="s">
        <v>1067</v>
      </c>
      <c r="B37" s="1401"/>
      <c r="C37" s="1401"/>
      <c r="D37" s="1401"/>
      <c r="E37" s="1401"/>
      <c r="F37" s="1401"/>
      <c r="G37" s="1401"/>
    </row>
    <row r="38" spans="1:7" ht="15.6" customHeight="1">
      <c r="A38" s="1401"/>
      <c r="B38" s="1401"/>
      <c r="C38" s="1401"/>
      <c r="D38" s="1401"/>
      <c r="E38" s="1401"/>
      <c r="F38" s="1401"/>
      <c r="G38" s="1401"/>
    </row>
    <row r="39" spans="1:7" ht="15.6" customHeight="1">
      <c r="A39" s="1401"/>
      <c r="B39" s="1401"/>
      <c r="C39" s="1401"/>
      <c r="D39" s="1401"/>
      <c r="E39" s="1401"/>
      <c r="F39" s="1401"/>
      <c r="G39" s="1401"/>
    </row>
    <row r="40" spans="1:7" ht="15.6" customHeight="1">
      <c r="A40" s="1401"/>
      <c r="B40" s="1401"/>
      <c r="C40" s="1401"/>
      <c r="D40" s="1401"/>
      <c r="E40" s="1401"/>
      <c r="F40" s="1401"/>
      <c r="G40" s="1401"/>
    </row>
    <row r="41" spans="1:7" ht="15.6" customHeight="1">
      <c r="A41" s="1399" t="s">
        <v>1066</v>
      </c>
      <c r="B41" s="1399"/>
      <c r="C41" s="1399"/>
      <c r="D41" s="1399"/>
      <c r="E41" s="1399"/>
      <c r="F41" s="1399"/>
      <c r="G41" s="1399"/>
    </row>
    <row r="42" spans="1:7" ht="15.6" customHeight="1">
      <c r="A42" s="1399"/>
      <c r="B42" s="1399"/>
      <c r="C42" s="1399"/>
      <c r="D42" s="1399"/>
      <c r="E42" s="1399"/>
      <c r="F42" s="1399"/>
      <c r="G42" s="1399"/>
    </row>
    <row r="43" spans="1:7" ht="15.6" customHeight="1">
      <c r="A43" s="1399"/>
      <c r="B43" s="1399"/>
      <c r="C43" s="1399"/>
      <c r="D43" s="1399"/>
      <c r="E43" s="1399"/>
      <c r="F43" s="1399"/>
      <c r="G43" s="1399"/>
    </row>
    <row r="44" spans="1:7" ht="15.6" customHeight="1">
      <c r="A44" s="1399"/>
      <c r="B44" s="1399"/>
      <c r="C44" s="1399"/>
      <c r="D44" s="1399"/>
      <c r="E44" s="1399"/>
      <c r="F44" s="1399"/>
      <c r="G44" s="1399"/>
    </row>
    <row r="45" spans="1:7" ht="15.6" customHeight="1">
      <c r="A45" s="1399"/>
      <c r="B45" s="1399"/>
      <c r="C45" s="1399"/>
      <c r="D45" s="1399"/>
      <c r="E45" s="1399"/>
      <c r="F45" s="1399"/>
      <c r="G45" s="1399"/>
    </row>
    <row r="46" spans="1:7" ht="15.6" customHeight="1">
      <c r="A46" s="1399"/>
      <c r="B46" s="1399"/>
      <c r="C46" s="1399"/>
      <c r="D46" s="1399"/>
      <c r="E46" s="1399"/>
      <c r="F46" s="1399"/>
      <c r="G46" s="1399"/>
    </row>
    <row r="47" spans="1:7" ht="15.6" customHeight="1">
      <c r="A47" s="1324"/>
      <c r="B47" s="1324"/>
      <c r="C47" s="1324"/>
      <c r="D47" s="1324"/>
      <c r="E47" s="1324"/>
      <c r="F47" s="1324"/>
      <c r="G47" s="1324"/>
    </row>
  </sheetData>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43"/>
  <sheetViews>
    <sheetView workbookViewId="0">
      <selection activeCell="F16" sqref="F16"/>
    </sheetView>
  </sheetViews>
  <sheetFormatPr defaultColWidth="9.140625" defaultRowHeight="12.75"/>
  <cols>
    <col min="1" max="1" width="25.140625" style="1" customWidth="1"/>
    <col min="2" max="2" width="9.7109375" style="1" bestFit="1" customWidth="1"/>
    <col min="3" max="3" width="5.42578125" style="1" bestFit="1" customWidth="1"/>
    <col min="4" max="4" width="14.42578125" style="1" bestFit="1" customWidth="1"/>
    <col min="5" max="5" width="8" style="1" bestFit="1" customWidth="1"/>
    <col min="6" max="6" width="10" style="1" bestFit="1" customWidth="1"/>
    <col min="7" max="7" width="13.28515625" style="1" bestFit="1" customWidth="1"/>
    <col min="8" max="16384" width="9.140625" style="1"/>
  </cols>
  <sheetData>
    <row r="1" spans="1:7">
      <c r="A1" s="17" t="str">
        <f>RevReqSummary!A1</f>
        <v>PacifiCorp General Rate Case UE-140617</v>
      </c>
    </row>
    <row r="2" spans="1:7">
      <c r="A2" s="17" t="str">
        <f>RevReqSummary!A2</f>
        <v>For The Twelve Months Ended December 2013 - Staff Revenue Requirement</v>
      </c>
    </row>
    <row r="3" spans="1:7">
      <c r="A3" s="25" t="s">
        <v>360</v>
      </c>
    </row>
    <row r="4" spans="1:7">
      <c r="A4" s="25" t="s">
        <v>500</v>
      </c>
    </row>
    <row r="6" spans="1:7">
      <c r="D6" s="23" t="s">
        <v>131</v>
      </c>
      <c r="G6" s="23" t="s">
        <v>236</v>
      </c>
    </row>
    <row r="7" spans="1:7">
      <c r="B7" s="26" t="s">
        <v>132</v>
      </c>
      <c r="C7" s="41" t="s">
        <v>660</v>
      </c>
      <c r="D7" s="26" t="s">
        <v>134</v>
      </c>
      <c r="E7" s="827" t="s">
        <v>135</v>
      </c>
      <c r="F7" s="827" t="s">
        <v>136</v>
      </c>
      <c r="G7" s="26" t="s">
        <v>137</v>
      </c>
    </row>
    <row r="8" spans="1:7">
      <c r="A8" s="25" t="s">
        <v>238</v>
      </c>
      <c r="C8" s="23"/>
    </row>
    <row r="9" spans="1:7">
      <c r="A9" s="1" t="s">
        <v>202</v>
      </c>
      <c r="B9" s="23">
        <v>456</v>
      </c>
      <c r="C9" s="23" t="s">
        <v>398</v>
      </c>
      <c r="D9" s="635">
        <v>2945210.2435499998</v>
      </c>
      <c r="E9" s="61" t="s">
        <v>203</v>
      </c>
      <c r="F9" s="33">
        <f>INDEX(WCAAllocations,IFERROR(MATCH(E9,WCAFactors,0),2),IFERROR(MATCH(E9,WCAStates,0),4))</f>
        <v>0.23084885646883446</v>
      </c>
      <c r="G9" s="144">
        <f>+F9*D9</f>
        <v>679898.4167838149</v>
      </c>
    </row>
    <row r="10" spans="1:7">
      <c r="D10" s="141"/>
      <c r="F10" s="629"/>
      <c r="G10" s="144"/>
    </row>
    <row r="11" spans="1:7">
      <c r="A11" s="1" t="s">
        <v>204</v>
      </c>
      <c r="D11" s="141"/>
      <c r="F11" s="629"/>
      <c r="G11" s="144"/>
    </row>
    <row r="12" spans="1:7">
      <c r="D12" s="1106" t="s">
        <v>246</v>
      </c>
      <c r="F12" s="629"/>
      <c r="G12" s="144"/>
    </row>
    <row r="13" spans="1:7">
      <c r="D13" s="1107">
        <v>42430</v>
      </c>
      <c r="F13" s="629"/>
      <c r="G13" s="144"/>
    </row>
    <row r="14" spans="1:7">
      <c r="A14" s="1" t="s">
        <v>247</v>
      </c>
      <c r="D14" s="833"/>
      <c r="F14" s="629"/>
      <c r="G14" s="144"/>
    </row>
    <row r="15" spans="1:7">
      <c r="A15" s="1" t="s">
        <v>248</v>
      </c>
      <c r="D15" s="169">
        <v>2471170</v>
      </c>
      <c r="F15" s="629"/>
      <c r="G15" s="141"/>
    </row>
    <row r="16" spans="1:7">
      <c r="A16" s="1" t="s">
        <v>249</v>
      </c>
      <c r="D16" s="169">
        <v>474041</v>
      </c>
      <c r="F16" s="629"/>
      <c r="G16" s="144"/>
    </row>
    <row r="17" spans="1:8" ht="13.5" thickBot="1">
      <c r="A17" s="1" t="s">
        <v>250</v>
      </c>
      <c r="D17" s="1108">
        <f>+D16+D15</f>
        <v>2945211</v>
      </c>
      <c r="F17" s="629"/>
      <c r="G17" s="144"/>
    </row>
    <row r="18" spans="1:8">
      <c r="D18" s="141"/>
      <c r="F18" s="629"/>
      <c r="G18" s="144"/>
    </row>
    <row r="19" spans="1:8">
      <c r="D19" s="141"/>
      <c r="F19" s="629"/>
      <c r="G19" s="144"/>
    </row>
    <row r="20" spans="1:8">
      <c r="D20" s="141"/>
      <c r="F20" s="629"/>
      <c r="G20" s="144"/>
    </row>
    <row r="21" spans="1:8">
      <c r="A21" s="25" t="s">
        <v>654</v>
      </c>
      <c r="D21" s="141"/>
      <c r="F21" s="629"/>
      <c r="G21" s="144"/>
    </row>
    <row r="22" spans="1:8" s="29" customFormat="1" ht="13.15" customHeight="1">
      <c r="A22" s="1411" t="s">
        <v>710</v>
      </c>
      <c r="B22" s="1411"/>
      <c r="C22" s="1411"/>
      <c r="D22" s="1411"/>
      <c r="E22" s="1411"/>
      <c r="F22" s="1411"/>
      <c r="G22" s="1411"/>
    </row>
    <row r="23" spans="1:8" s="29" customFormat="1">
      <c r="A23" s="1411"/>
      <c r="B23" s="1411"/>
      <c r="C23" s="1411"/>
      <c r="D23" s="1411"/>
      <c r="E23" s="1411"/>
      <c r="F23" s="1411"/>
      <c r="G23" s="1411"/>
    </row>
    <row r="24" spans="1:8" s="29" customFormat="1" ht="13.15" customHeight="1">
      <c r="A24" s="1411"/>
      <c r="B24" s="1411"/>
      <c r="C24" s="1411"/>
      <c r="D24" s="1411"/>
      <c r="E24" s="1411"/>
      <c r="F24" s="1411"/>
      <c r="G24" s="1411"/>
      <c r="H24" s="1323"/>
    </row>
    <row r="25" spans="1:8" s="29" customFormat="1">
      <c r="A25" s="1411"/>
      <c r="B25" s="1411"/>
      <c r="C25" s="1411"/>
      <c r="D25" s="1411"/>
      <c r="E25" s="1411"/>
      <c r="F25" s="1411"/>
      <c r="G25" s="1411"/>
      <c r="H25" s="1323"/>
    </row>
    <row r="26" spans="1:8" s="29" customFormat="1">
      <c r="A26" s="1411"/>
      <c r="B26" s="1411"/>
      <c r="C26" s="1411"/>
      <c r="D26" s="1411"/>
      <c r="E26" s="1411"/>
      <c r="F26" s="1411"/>
      <c r="G26" s="1411"/>
      <c r="H26" s="1323"/>
    </row>
    <row r="27" spans="1:8" s="29" customFormat="1">
      <c r="A27" s="1411"/>
      <c r="B27" s="1411"/>
      <c r="C27" s="1411"/>
      <c r="D27" s="1411"/>
      <c r="E27" s="1411"/>
      <c r="F27" s="1411"/>
      <c r="G27" s="1411"/>
      <c r="H27" s="1323"/>
    </row>
    <row r="28" spans="1:8" s="29" customFormat="1">
      <c r="A28" s="1411"/>
      <c r="B28" s="1411"/>
      <c r="C28" s="1411"/>
      <c r="D28" s="1411"/>
      <c r="E28" s="1411"/>
      <c r="F28" s="1411"/>
      <c r="G28" s="1411"/>
      <c r="H28" s="1323"/>
    </row>
    <row r="29" spans="1:8" s="29" customFormat="1">
      <c r="A29" s="1411"/>
      <c r="B29" s="1411"/>
      <c r="C29" s="1411"/>
      <c r="D29" s="1411"/>
      <c r="E29" s="1411"/>
      <c r="F29" s="1411"/>
      <c r="G29" s="1411"/>
      <c r="H29" s="1323"/>
    </row>
    <row r="30" spans="1:8">
      <c r="A30" s="1411"/>
      <c r="B30" s="1411"/>
      <c r="C30" s="1411"/>
      <c r="D30" s="1411"/>
      <c r="E30" s="1411"/>
      <c r="F30" s="1411"/>
      <c r="G30" s="1411"/>
    </row>
    <row r="31" spans="1:8">
      <c r="A31" s="1411"/>
      <c r="B31" s="1411"/>
      <c r="C31" s="1411"/>
      <c r="D31" s="1411"/>
      <c r="E31" s="1411"/>
      <c r="F31" s="1411"/>
      <c r="G31" s="1411"/>
    </row>
    <row r="32" spans="1:8">
      <c r="A32" s="1411"/>
      <c r="B32" s="1411"/>
      <c r="C32" s="1411"/>
      <c r="D32" s="1411"/>
      <c r="E32" s="1411"/>
      <c r="F32" s="1411"/>
      <c r="G32" s="1411"/>
    </row>
    <row r="33" spans="1:7">
      <c r="A33" s="1411"/>
      <c r="B33" s="1411"/>
      <c r="C33" s="1411"/>
      <c r="D33" s="1411"/>
      <c r="E33" s="1411"/>
      <c r="F33" s="1411"/>
      <c r="G33" s="1411"/>
    </row>
    <row r="34" spans="1:7">
      <c r="D34" s="144"/>
      <c r="F34" s="835"/>
      <c r="G34" s="144"/>
    </row>
    <row r="43" spans="1:7">
      <c r="D43" s="547"/>
    </row>
  </sheetData>
  <mergeCells count="1">
    <mergeCell ref="A22:G33"/>
  </mergeCells>
  <dataValidations count="1">
    <dataValidation type="list" allowBlank="1" sqref="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36"/>
  <sheetViews>
    <sheetView workbookViewId="0">
      <selection activeCell="F16" sqref="F16"/>
    </sheetView>
  </sheetViews>
  <sheetFormatPr defaultColWidth="9.140625" defaultRowHeight="12.75"/>
  <cols>
    <col min="1" max="1" width="30.28515625" style="1" customWidth="1"/>
    <col min="2" max="2" width="9.7109375" style="1" bestFit="1" customWidth="1"/>
    <col min="3" max="3" width="5.42578125" style="23" bestFit="1" customWidth="1"/>
    <col min="4" max="4" width="12.85546875" style="1" bestFit="1" customWidth="1"/>
    <col min="5" max="5" width="8" style="1" bestFit="1" customWidth="1"/>
    <col min="6" max="6" width="10" style="1" bestFit="1" customWidth="1"/>
    <col min="7" max="7" width="13.28515625" style="1" bestFit="1" customWidth="1"/>
    <col min="8" max="8" width="10.42578125" style="1" bestFit="1" customWidth="1"/>
    <col min="9" max="16384" width="9.140625" style="1"/>
  </cols>
  <sheetData>
    <row r="1" spans="1:8">
      <c r="A1" s="17" t="str">
        <f>RevReqSummary!A1</f>
        <v>PacifiCorp General Rate Case UE-140617</v>
      </c>
    </row>
    <row r="2" spans="1:8">
      <c r="A2" s="17" t="str">
        <f>RevReqSummary!A2</f>
        <v>For The Twelve Months Ended December 2013 - Staff Revenue Requirement</v>
      </c>
    </row>
    <row r="3" spans="1:8">
      <c r="A3" s="25" t="s">
        <v>1093</v>
      </c>
    </row>
    <row r="4" spans="1:8">
      <c r="A4" s="25" t="s">
        <v>501</v>
      </c>
    </row>
    <row r="5" spans="1:8">
      <c r="D5" s="23" t="s">
        <v>131</v>
      </c>
      <c r="G5" s="23" t="s">
        <v>236</v>
      </c>
    </row>
    <row r="6" spans="1:8">
      <c r="B6" s="827" t="s">
        <v>132</v>
      </c>
      <c r="C6" s="41" t="s">
        <v>660</v>
      </c>
      <c r="D6" s="26" t="s">
        <v>134</v>
      </c>
      <c r="E6" s="827" t="s">
        <v>135</v>
      </c>
      <c r="F6" s="827" t="s">
        <v>136</v>
      </c>
      <c r="G6" s="26" t="s">
        <v>137</v>
      </c>
      <c r="H6" s="828"/>
    </row>
    <row r="7" spans="1:8">
      <c r="A7" s="25" t="s">
        <v>199</v>
      </c>
      <c r="C7" s="829"/>
      <c r="D7" s="144"/>
      <c r="E7" s="144"/>
      <c r="H7" s="830"/>
    </row>
    <row r="8" spans="1:8">
      <c r="A8" s="1" t="s">
        <v>251</v>
      </c>
      <c r="B8" s="23" t="s">
        <v>186</v>
      </c>
      <c r="C8" s="23" t="s">
        <v>140</v>
      </c>
      <c r="D8" s="831">
        <v>-1676301.6</v>
      </c>
      <c r="E8" s="23" t="s">
        <v>203</v>
      </c>
      <c r="F8" s="832">
        <f>INDEX(WCAAllocations,IFERROR(MATCH(E8,WCAFactors,0),2),IFERROR(MATCH(E8,WCAStates,0),4))</f>
        <v>0.23084885646883446</v>
      </c>
      <c r="G8" s="144">
        <f>+F8*D8</f>
        <v>-386972.30745687761</v>
      </c>
      <c r="H8" s="830"/>
    </row>
    <row r="9" spans="1:8">
      <c r="A9" s="1" t="s">
        <v>252</v>
      </c>
      <c r="B9" s="23" t="s">
        <v>186</v>
      </c>
      <c r="C9" s="23" t="s">
        <v>140</v>
      </c>
      <c r="D9" s="831">
        <v>-177924.683961542</v>
      </c>
      <c r="E9" s="23" t="s">
        <v>203</v>
      </c>
      <c r="F9" s="832">
        <f>INDEX(WCAAllocations,IFERROR(MATCH(E9,WCAFactors,0),2),IFERROR(MATCH(E9,WCAStates,0),4))</f>
        <v>0.23084885646883446</v>
      </c>
      <c r="G9" s="144">
        <f>+F9*D9</f>
        <v>-41073.709830100743</v>
      </c>
      <c r="H9" s="830"/>
    </row>
    <row r="10" spans="1:8">
      <c r="A10" s="1" t="s">
        <v>253</v>
      </c>
      <c r="B10" s="23">
        <v>408</v>
      </c>
      <c r="C10" s="23" t="s">
        <v>140</v>
      </c>
      <c r="D10" s="831">
        <v>-599266.16399999999</v>
      </c>
      <c r="E10" s="23" t="s">
        <v>149</v>
      </c>
      <c r="F10" s="832">
        <f>INDEX(WCAAllocations,IFERROR(MATCH(E10,WCAFactors,0),2),IFERROR(MATCH(E10,WCAStates,0),4))</f>
        <v>6.8539355270203509E-2</v>
      </c>
      <c r="G10" s="144">
        <f>+F10*D10</f>
        <v>-41073.316515808037</v>
      </c>
      <c r="H10" s="830"/>
    </row>
    <row r="11" spans="1:8">
      <c r="A11" s="1" t="s">
        <v>404</v>
      </c>
      <c r="B11" s="23" t="s">
        <v>193</v>
      </c>
      <c r="C11" s="23" t="s">
        <v>140</v>
      </c>
      <c r="D11" s="831">
        <v>1291014.8748446561</v>
      </c>
      <c r="E11" s="23" t="s">
        <v>203</v>
      </c>
      <c r="F11" s="832">
        <f>INDEX(WCAAllocations,IFERROR(MATCH(E11,WCAFactors,0),2),IFERROR(MATCH(E11,WCAStates,0),4))</f>
        <v>0.23084885646883446</v>
      </c>
      <c r="G11" s="144">
        <f>+F11*D11</f>
        <v>298029.30754214432</v>
      </c>
      <c r="H11" s="830"/>
    </row>
    <row r="12" spans="1:8">
      <c r="A12" s="1" t="s">
        <v>254</v>
      </c>
      <c r="B12" s="23">
        <v>41010</v>
      </c>
      <c r="C12" s="23" t="s">
        <v>140</v>
      </c>
      <c r="D12" s="635">
        <v>489953.05515229586</v>
      </c>
      <c r="E12" s="23" t="s">
        <v>203</v>
      </c>
      <c r="F12" s="832">
        <f>INDEX(WCAAllocations,IFERROR(MATCH(E12,WCAFactors,0),2),IFERROR(MATCH(E12,WCAStates,0),4))</f>
        <v>0.23084885646883446</v>
      </c>
      <c r="G12" s="144">
        <f>+F12*D12</f>
        <v>113105.10250531929</v>
      </c>
      <c r="H12" s="830"/>
    </row>
    <row r="13" spans="1:8">
      <c r="D13" s="144"/>
      <c r="E13" s="833"/>
      <c r="H13" s="830"/>
    </row>
    <row r="14" spans="1:8">
      <c r="A14" s="25" t="s">
        <v>222</v>
      </c>
      <c r="D14" s="144"/>
      <c r="E14" s="833"/>
      <c r="H14" s="830"/>
    </row>
    <row r="15" spans="1:8">
      <c r="A15" s="1" t="s">
        <v>255</v>
      </c>
      <c r="B15" s="23">
        <v>312</v>
      </c>
      <c r="C15" s="23" t="s">
        <v>140</v>
      </c>
      <c r="D15" s="635">
        <v>-110283000</v>
      </c>
      <c r="E15" s="23" t="s">
        <v>203</v>
      </c>
      <c r="F15" s="832">
        <f t="shared" ref="F15:F20" si="0">INDEX(WCAAllocations,IFERROR(MATCH(E15,WCAFactors,0),2),IFERROR(MATCH(E15,WCAStates,0),4))</f>
        <v>0.23084885646883446</v>
      </c>
      <c r="G15" s="144">
        <f t="shared" ref="G15:G20" si="1">+F15*D15</f>
        <v>-25458704.43795247</v>
      </c>
      <c r="H15" s="830"/>
    </row>
    <row r="16" spans="1:8">
      <c r="A16" s="1" t="s">
        <v>256</v>
      </c>
      <c r="B16" s="23">
        <v>312</v>
      </c>
      <c r="C16" s="23" t="s">
        <v>140</v>
      </c>
      <c r="D16" s="635">
        <v>-12426101.713653523</v>
      </c>
      <c r="E16" s="23" t="s">
        <v>203</v>
      </c>
      <c r="F16" s="832">
        <f t="shared" si="0"/>
        <v>0.23084885646883446</v>
      </c>
      <c r="G16" s="144">
        <f t="shared" si="1"/>
        <v>-2868551.3709623404</v>
      </c>
      <c r="H16" s="830"/>
    </row>
    <row r="17" spans="1:9">
      <c r="A17" s="1" t="s">
        <v>257</v>
      </c>
      <c r="B17" s="23" t="s">
        <v>178</v>
      </c>
      <c r="C17" s="23" t="s">
        <v>140</v>
      </c>
      <c r="D17" s="635">
        <v>78598399.349999502</v>
      </c>
      <c r="E17" s="23" t="s">
        <v>203</v>
      </c>
      <c r="F17" s="832">
        <f t="shared" si="0"/>
        <v>0.23084885646883446</v>
      </c>
      <c r="G17" s="144">
        <f t="shared" si="1"/>
        <v>18144350.610228166</v>
      </c>
      <c r="H17" s="830"/>
    </row>
    <row r="18" spans="1:9">
      <c r="A18" s="1" t="s">
        <v>258</v>
      </c>
      <c r="B18" s="23" t="s">
        <v>178</v>
      </c>
      <c r="C18" s="23" t="s">
        <v>140</v>
      </c>
      <c r="D18" s="635">
        <v>2109361.5189017677</v>
      </c>
      <c r="E18" s="23" t="s">
        <v>203</v>
      </c>
      <c r="F18" s="832">
        <f t="shared" si="0"/>
        <v>0.23084885646883446</v>
      </c>
      <c r="G18" s="144">
        <f t="shared" si="1"/>
        <v>486943.69451783679</v>
      </c>
      <c r="H18" s="830"/>
    </row>
    <row r="19" spans="1:9">
      <c r="A19" s="1" t="s">
        <v>259</v>
      </c>
      <c r="B19" s="23">
        <v>282</v>
      </c>
      <c r="C19" s="23" t="s">
        <v>140</v>
      </c>
      <c r="D19" s="635">
        <v>4881854.5258837892</v>
      </c>
      <c r="E19" s="23" t="s">
        <v>203</v>
      </c>
      <c r="F19" s="832">
        <f t="shared" si="0"/>
        <v>0.23084885646883446</v>
      </c>
      <c r="G19" s="144">
        <f t="shared" si="1"/>
        <v>1126970.5347474767</v>
      </c>
      <c r="H19" s="830"/>
    </row>
    <row r="20" spans="1:9">
      <c r="A20" s="1" t="s">
        <v>260</v>
      </c>
      <c r="B20" s="23">
        <v>255</v>
      </c>
      <c r="C20" s="23" t="s">
        <v>140</v>
      </c>
      <c r="D20" s="635">
        <v>12318</v>
      </c>
      <c r="E20" s="23" t="s">
        <v>159</v>
      </c>
      <c r="F20" s="832">
        <f t="shared" si="0"/>
        <v>0.1336</v>
      </c>
      <c r="G20" s="144">
        <f t="shared" si="1"/>
        <v>1645.6848</v>
      </c>
      <c r="H20" s="830"/>
    </row>
    <row r="21" spans="1:9">
      <c r="D21" s="144"/>
    </row>
    <row r="22" spans="1:9">
      <c r="A22" s="25" t="s">
        <v>361</v>
      </c>
      <c r="D22" s="144"/>
    </row>
    <row r="23" spans="1:9">
      <c r="A23" s="1" t="s">
        <v>220</v>
      </c>
      <c r="B23" s="1" t="s">
        <v>191</v>
      </c>
      <c r="C23" s="23" t="s">
        <v>140</v>
      </c>
      <c r="D23" s="645">
        <v>-52188</v>
      </c>
      <c r="E23" s="23" t="s">
        <v>141</v>
      </c>
      <c r="F23" s="832">
        <f>INDEX(WCAAllocations,IFERROR(MATCH(E23,WCAFactors,0),2),IFERROR(MATCH(E23,WCAStates,0),4))</f>
        <v>1</v>
      </c>
      <c r="G23" s="144">
        <f>+D23</f>
        <v>-52188</v>
      </c>
      <c r="H23" s="834"/>
    </row>
    <row r="24" spans="1:9">
      <c r="D24" s="141"/>
      <c r="F24" s="629"/>
      <c r="G24" s="144"/>
      <c r="H24" s="834"/>
    </row>
    <row r="25" spans="1:9">
      <c r="D25" s="141"/>
      <c r="F25" s="629"/>
      <c r="G25" s="144"/>
    </row>
    <row r="26" spans="1:9">
      <c r="C26" s="829"/>
      <c r="D26" s="144"/>
      <c r="E26" s="144"/>
      <c r="F26" s="835"/>
      <c r="G26" s="144"/>
    </row>
    <row r="27" spans="1:9">
      <c r="A27" s="25" t="s">
        <v>212</v>
      </c>
      <c r="G27" s="144"/>
    </row>
    <row r="28" spans="1:9" s="29" customFormat="1" ht="52.9" customHeight="1">
      <c r="A28" s="1412" t="s">
        <v>711</v>
      </c>
      <c r="B28" s="1412"/>
      <c r="C28" s="1412"/>
      <c r="D28" s="1412"/>
      <c r="E28" s="1412"/>
      <c r="F28" s="1412"/>
      <c r="G28" s="1412"/>
    </row>
    <row r="29" spans="1:9" s="29" customFormat="1" ht="13.15" customHeight="1">
      <c r="A29" s="1412"/>
      <c r="B29" s="1412"/>
      <c r="C29" s="1412"/>
      <c r="D29" s="1412"/>
      <c r="E29" s="1412"/>
      <c r="F29" s="1412"/>
      <c r="G29" s="1412"/>
      <c r="H29" s="1325"/>
      <c r="I29" s="1325"/>
    </row>
    <row r="30" spans="1:9" s="29" customFormat="1">
      <c r="A30" s="1412"/>
      <c r="B30" s="1412"/>
      <c r="C30" s="1412"/>
      <c r="D30" s="1412"/>
      <c r="E30" s="1412"/>
      <c r="F30" s="1412"/>
      <c r="G30" s="1412"/>
      <c r="H30" s="1325"/>
      <c r="I30" s="1325"/>
    </row>
    <row r="31" spans="1:9" s="29" customFormat="1">
      <c r="A31" s="1325"/>
      <c r="B31" s="1325"/>
      <c r="C31" s="1325"/>
      <c r="D31" s="1325"/>
      <c r="E31" s="1325"/>
      <c r="F31" s="1325"/>
      <c r="G31" s="1325"/>
      <c r="H31" s="1325"/>
      <c r="I31" s="1325"/>
    </row>
    <row r="32" spans="1:9" s="29" customFormat="1">
      <c r="A32" s="1325"/>
      <c r="B32" s="1325"/>
      <c r="C32" s="1325"/>
      <c r="D32" s="1325"/>
      <c r="E32" s="1325"/>
      <c r="F32" s="1325"/>
      <c r="G32" s="1325"/>
      <c r="H32" s="1325"/>
      <c r="I32" s="1325"/>
    </row>
    <row r="36" spans="3:4">
      <c r="C36" s="1"/>
      <c r="D36" s="547"/>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86"/>
  <sheetViews>
    <sheetView workbookViewId="0">
      <selection activeCell="F16" sqref="F16"/>
    </sheetView>
  </sheetViews>
  <sheetFormatPr defaultRowHeight="12.75"/>
  <cols>
    <col min="1" max="1" width="31.7109375" style="234" customWidth="1"/>
    <col min="2" max="2" width="9.7109375" style="234" bestFit="1" customWidth="1"/>
    <col min="3" max="3" width="5.42578125" style="234" bestFit="1" customWidth="1"/>
    <col min="4" max="4" width="10.140625" style="234" bestFit="1" customWidth="1"/>
    <col min="5" max="5" width="8" style="234" bestFit="1" customWidth="1"/>
    <col min="6" max="6" width="10" style="234" bestFit="1" customWidth="1"/>
    <col min="7" max="7" width="13.28515625" style="234" bestFit="1" customWidth="1"/>
    <col min="8" max="8" width="10" style="234"/>
    <col min="9" max="9" width="10.5703125" style="234" bestFit="1" customWidth="1"/>
    <col min="10" max="253" width="10" style="234"/>
    <col min="254" max="254" width="2.5703125" style="234" customWidth="1"/>
    <col min="255" max="255" width="7.140625" style="234" customWidth="1"/>
    <col min="256" max="256" width="23.5703125" style="234" customWidth="1"/>
    <col min="257" max="257" width="9.7109375" style="234" customWidth="1"/>
    <col min="258" max="258" width="4.7109375" style="234" customWidth="1"/>
    <col min="259" max="259" width="14.42578125" style="234" customWidth="1"/>
    <col min="260" max="260" width="11.140625" style="234" customWidth="1"/>
    <col min="261" max="261" width="10.28515625" style="234" customWidth="1"/>
    <col min="262" max="262" width="13" style="234" customWidth="1"/>
    <col min="263" max="263" width="8.28515625" style="234" customWidth="1"/>
    <col min="264" max="509" width="10" style="234"/>
    <col min="510" max="510" width="2.5703125" style="234" customWidth="1"/>
    <col min="511" max="511" width="7.140625" style="234" customWidth="1"/>
    <col min="512" max="512" width="23.5703125" style="234" customWidth="1"/>
    <col min="513" max="513" width="9.7109375" style="234" customWidth="1"/>
    <col min="514" max="514" width="4.7109375" style="234" customWidth="1"/>
    <col min="515" max="515" width="14.42578125" style="234" customWidth="1"/>
    <col min="516" max="516" width="11.140625" style="234" customWidth="1"/>
    <col min="517" max="517" width="10.28515625" style="234" customWidth="1"/>
    <col min="518" max="518" width="13" style="234" customWidth="1"/>
    <col min="519" max="519" width="8.28515625" style="234" customWidth="1"/>
    <col min="520" max="765" width="10" style="234"/>
    <col min="766" max="766" width="2.5703125" style="234" customWidth="1"/>
    <col min="767" max="767" width="7.140625" style="234" customWidth="1"/>
    <col min="768" max="768" width="23.5703125" style="234" customWidth="1"/>
    <col min="769" max="769" width="9.7109375" style="234" customWidth="1"/>
    <col min="770" max="770" width="4.7109375" style="234" customWidth="1"/>
    <col min="771" max="771" width="14.42578125" style="234" customWidth="1"/>
    <col min="772" max="772" width="11.140625" style="234" customWidth="1"/>
    <col min="773" max="773" width="10.28515625" style="234" customWidth="1"/>
    <col min="774" max="774" width="13" style="234" customWidth="1"/>
    <col min="775" max="775" width="8.28515625" style="234" customWidth="1"/>
    <col min="776" max="1021" width="9.140625" style="234"/>
    <col min="1022" max="1022" width="2.5703125" style="234" customWidth="1"/>
    <col min="1023" max="1023" width="7.140625" style="234" customWidth="1"/>
    <col min="1024" max="1024" width="23.5703125" style="234" customWidth="1"/>
    <col min="1025" max="1025" width="9.7109375" style="234" customWidth="1"/>
    <col min="1026" max="1026" width="4.7109375" style="234" customWidth="1"/>
    <col min="1027" max="1027" width="14.42578125" style="234" customWidth="1"/>
    <col min="1028" max="1028" width="11.140625" style="234" customWidth="1"/>
    <col min="1029" max="1029" width="10.28515625" style="234" customWidth="1"/>
    <col min="1030" max="1030" width="13" style="234" customWidth="1"/>
    <col min="1031" max="1031" width="8.28515625" style="234" customWidth="1"/>
    <col min="1032" max="1277" width="10" style="234"/>
    <col min="1278" max="1278" width="2.5703125" style="234" customWidth="1"/>
    <col min="1279" max="1279" width="7.140625" style="234" customWidth="1"/>
    <col min="1280" max="1280" width="23.5703125" style="234" customWidth="1"/>
    <col min="1281" max="1281" width="9.7109375" style="234" customWidth="1"/>
    <col min="1282" max="1282" width="4.7109375" style="234" customWidth="1"/>
    <col min="1283" max="1283" width="14.42578125" style="234" customWidth="1"/>
    <col min="1284" max="1284" width="11.140625" style="234" customWidth="1"/>
    <col min="1285" max="1285" width="10.28515625" style="234" customWidth="1"/>
    <col min="1286" max="1286" width="13" style="234" customWidth="1"/>
    <col min="1287" max="1287" width="8.28515625" style="234" customWidth="1"/>
    <col min="1288" max="1533" width="10" style="234"/>
    <col min="1534" max="1534" width="2.5703125" style="234" customWidth="1"/>
    <col min="1535" max="1535" width="7.140625" style="234" customWidth="1"/>
    <col min="1536" max="1536" width="23.5703125" style="234" customWidth="1"/>
    <col min="1537" max="1537" width="9.7109375" style="234" customWidth="1"/>
    <col min="1538" max="1538" width="4.7109375" style="234" customWidth="1"/>
    <col min="1539" max="1539" width="14.42578125" style="234" customWidth="1"/>
    <col min="1540" max="1540" width="11.140625" style="234" customWidth="1"/>
    <col min="1541" max="1541" width="10.28515625" style="234" customWidth="1"/>
    <col min="1542" max="1542" width="13" style="234" customWidth="1"/>
    <col min="1543" max="1543" width="8.28515625" style="234" customWidth="1"/>
    <col min="1544" max="1789" width="10" style="234"/>
    <col min="1790" max="1790" width="2.5703125" style="234" customWidth="1"/>
    <col min="1791" max="1791" width="7.140625" style="234" customWidth="1"/>
    <col min="1792" max="1792" width="23.5703125" style="234" customWidth="1"/>
    <col min="1793" max="1793" width="9.7109375" style="234" customWidth="1"/>
    <col min="1794" max="1794" width="4.7109375" style="234" customWidth="1"/>
    <col min="1795" max="1795" width="14.42578125" style="234" customWidth="1"/>
    <col min="1796" max="1796" width="11.140625" style="234" customWidth="1"/>
    <col min="1797" max="1797" width="10.28515625" style="234" customWidth="1"/>
    <col min="1798" max="1798" width="13" style="234" customWidth="1"/>
    <col min="1799" max="1799" width="8.28515625" style="234" customWidth="1"/>
    <col min="1800" max="2045" width="9.140625" style="234"/>
    <col min="2046" max="2046" width="2.5703125" style="234" customWidth="1"/>
    <col min="2047" max="2047" width="7.140625" style="234" customWidth="1"/>
    <col min="2048" max="2048" width="23.5703125" style="234" customWidth="1"/>
    <col min="2049" max="2049" width="9.7109375" style="234" customWidth="1"/>
    <col min="2050" max="2050" width="4.7109375" style="234" customWidth="1"/>
    <col min="2051" max="2051" width="14.42578125" style="234" customWidth="1"/>
    <col min="2052" max="2052" width="11.140625" style="234" customWidth="1"/>
    <col min="2053" max="2053" width="10.28515625" style="234" customWidth="1"/>
    <col min="2054" max="2054" width="13" style="234" customWidth="1"/>
    <col min="2055" max="2055" width="8.28515625" style="234" customWidth="1"/>
    <col min="2056" max="2301" width="10" style="234"/>
    <col min="2302" max="2302" width="2.5703125" style="234" customWidth="1"/>
    <col min="2303" max="2303" width="7.140625" style="234" customWidth="1"/>
    <col min="2304" max="2304" width="23.5703125" style="234" customWidth="1"/>
    <col min="2305" max="2305" width="9.7109375" style="234" customWidth="1"/>
    <col min="2306" max="2306" width="4.7109375" style="234" customWidth="1"/>
    <col min="2307" max="2307" width="14.42578125" style="234" customWidth="1"/>
    <col min="2308" max="2308" width="11.140625" style="234" customWidth="1"/>
    <col min="2309" max="2309" width="10.28515625" style="234" customWidth="1"/>
    <col min="2310" max="2310" width="13" style="234" customWidth="1"/>
    <col min="2311" max="2311" width="8.28515625" style="234" customWidth="1"/>
    <col min="2312" max="2557" width="10" style="234"/>
    <col min="2558" max="2558" width="2.5703125" style="234" customWidth="1"/>
    <col min="2559" max="2559" width="7.140625" style="234" customWidth="1"/>
    <col min="2560" max="2560" width="23.5703125" style="234" customWidth="1"/>
    <col min="2561" max="2561" width="9.7109375" style="234" customWidth="1"/>
    <col min="2562" max="2562" width="4.7109375" style="234" customWidth="1"/>
    <col min="2563" max="2563" width="14.42578125" style="234" customWidth="1"/>
    <col min="2564" max="2564" width="11.140625" style="234" customWidth="1"/>
    <col min="2565" max="2565" width="10.28515625" style="234" customWidth="1"/>
    <col min="2566" max="2566" width="13" style="234" customWidth="1"/>
    <col min="2567" max="2567" width="8.28515625" style="234" customWidth="1"/>
    <col min="2568" max="2813" width="10" style="234"/>
    <col min="2814" max="2814" width="2.5703125" style="234" customWidth="1"/>
    <col min="2815" max="2815" width="7.140625" style="234" customWidth="1"/>
    <col min="2816" max="2816" width="23.5703125" style="234" customWidth="1"/>
    <col min="2817" max="2817" width="9.7109375" style="234" customWidth="1"/>
    <col min="2818" max="2818" width="4.7109375" style="234" customWidth="1"/>
    <col min="2819" max="2819" width="14.42578125" style="234" customWidth="1"/>
    <col min="2820" max="2820" width="11.140625" style="234" customWidth="1"/>
    <col min="2821" max="2821" width="10.28515625" style="234" customWidth="1"/>
    <col min="2822" max="2822" width="13" style="234" customWidth="1"/>
    <col min="2823" max="2823" width="8.28515625" style="234" customWidth="1"/>
    <col min="2824" max="3069" width="9.140625" style="234"/>
    <col min="3070" max="3070" width="2.5703125" style="234" customWidth="1"/>
    <col min="3071" max="3071" width="7.140625" style="234" customWidth="1"/>
    <col min="3072" max="3072" width="23.5703125" style="234" customWidth="1"/>
    <col min="3073" max="3073" width="9.7109375" style="234" customWidth="1"/>
    <col min="3074" max="3074" width="4.7109375" style="234" customWidth="1"/>
    <col min="3075" max="3075" width="14.42578125" style="234" customWidth="1"/>
    <col min="3076" max="3076" width="11.140625" style="234" customWidth="1"/>
    <col min="3077" max="3077" width="10.28515625" style="234" customWidth="1"/>
    <col min="3078" max="3078" width="13" style="234" customWidth="1"/>
    <col min="3079" max="3079" width="8.28515625" style="234" customWidth="1"/>
    <col min="3080" max="3325" width="10" style="234"/>
    <col min="3326" max="3326" width="2.5703125" style="234" customWidth="1"/>
    <col min="3327" max="3327" width="7.140625" style="234" customWidth="1"/>
    <col min="3328" max="3328" width="23.5703125" style="234" customWidth="1"/>
    <col min="3329" max="3329" width="9.7109375" style="234" customWidth="1"/>
    <col min="3330" max="3330" width="4.7109375" style="234" customWidth="1"/>
    <col min="3331" max="3331" width="14.42578125" style="234" customWidth="1"/>
    <col min="3332" max="3332" width="11.140625" style="234" customWidth="1"/>
    <col min="3333" max="3333" width="10.28515625" style="234" customWidth="1"/>
    <col min="3334" max="3334" width="13" style="234" customWidth="1"/>
    <col min="3335" max="3335" width="8.28515625" style="234" customWidth="1"/>
    <col min="3336" max="3581" width="10" style="234"/>
    <col min="3582" max="3582" width="2.5703125" style="234" customWidth="1"/>
    <col min="3583" max="3583" width="7.140625" style="234" customWidth="1"/>
    <col min="3584" max="3584" width="23.5703125" style="234" customWidth="1"/>
    <col min="3585" max="3585" width="9.7109375" style="234" customWidth="1"/>
    <col min="3586" max="3586" width="4.7109375" style="234" customWidth="1"/>
    <col min="3587" max="3587" width="14.42578125" style="234" customWidth="1"/>
    <col min="3588" max="3588" width="11.140625" style="234" customWidth="1"/>
    <col min="3589" max="3589" width="10.28515625" style="234" customWidth="1"/>
    <col min="3590" max="3590" width="13" style="234" customWidth="1"/>
    <col min="3591" max="3591" width="8.28515625" style="234" customWidth="1"/>
    <col min="3592" max="3837" width="10" style="234"/>
    <col min="3838" max="3838" width="2.5703125" style="234" customWidth="1"/>
    <col min="3839" max="3839" width="7.140625" style="234" customWidth="1"/>
    <col min="3840" max="3840" width="23.5703125" style="234" customWidth="1"/>
    <col min="3841" max="3841" width="9.7109375" style="234" customWidth="1"/>
    <col min="3842" max="3842" width="4.7109375" style="234" customWidth="1"/>
    <col min="3843" max="3843" width="14.42578125" style="234" customWidth="1"/>
    <col min="3844" max="3844" width="11.140625" style="234" customWidth="1"/>
    <col min="3845" max="3845" width="10.28515625" style="234" customWidth="1"/>
    <col min="3846" max="3846" width="13" style="234" customWidth="1"/>
    <col min="3847" max="3847" width="8.28515625" style="234" customWidth="1"/>
    <col min="3848" max="4093" width="9.140625" style="234"/>
    <col min="4094" max="4094" width="2.5703125" style="234" customWidth="1"/>
    <col min="4095" max="4095" width="7.140625" style="234" customWidth="1"/>
    <col min="4096" max="4096" width="23.5703125" style="234" customWidth="1"/>
    <col min="4097" max="4097" width="9.7109375" style="234" customWidth="1"/>
    <col min="4098" max="4098" width="4.7109375" style="234" customWidth="1"/>
    <col min="4099" max="4099" width="14.42578125" style="234" customWidth="1"/>
    <col min="4100" max="4100" width="11.140625" style="234" customWidth="1"/>
    <col min="4101" max="4101" width="10.28515625" style="234" customWidth="1"/>
    <col min="4102" max="4102" width="13" style="234" customWidth="1"/>
    <col min="4103" max="4103" width="8.28515625" style="234" customWidth="1"/>
    <col min="4104" max="4349" width="10" style="234"/>
    <col min="4350" max="4350" width="2.5703125" style="234" customWidth="1"/>
    <col min="4351" max="4351" width="7.140625" style="234" customWidth="1"/>
    <col min="4352" max="4352" width="23.5703125" style="234" customWidth="1"/>
    <col min="4353" max="4353" width="9.7109375" style="234" customWidth="1"/>
    <col min="4354" max="4354" width="4.7109375" style="234" customWidth="1"/>
    <col min="4355" max="4355" width="14.42578125" style="234" customWidth="1"/>
    <col min="4356" max="4356" width="11.140625" style="234" customWidth="1"/>
    <col min="4357" max="4357" width="10.28515625" style="234" customWidth="1"/>
    <col min="4358" max="4358" width="13" style="234" customWidth="1"/>
    <col min="4359" max="4359" width="8.28515625" style="234" customWidth="1"/>
    <col min="4360" max="4605" width="10" style="234"/>
    <col min="4606" max="4606" width="2.5703125" style="234" customWidth="1"/>
    <col min="4607" max="4607" width="7.140625" style="234" customWidth="1"/>
    <col min="4608" max="4608" width="23.5703125" style="234" customWidth="1"/>
    <col min="4609" max="4609" width="9.7109375" style="234" customWidth="1"/>
    <col min="4610" max="4610" width="4.7109375" style="234" customWidth="1"/>
    <col min="4611" max="4611" width="14.42578125" style="234" customWidth="1"/>
    <col min="4612" max="4612" width="11.140625" style="234" customWidth="1"/>
    <col min="4613" max="4613" width="10.28515625" style="234" customWidth="1"/>
    <col min="4614" max="4614" width="13" style="234" customWidth="1"/>
    <col min="4615" max="4615" width="8.28515625" style="234" customWidth="1"/>
    <col min="4616" max="4861" width="10" style="234"/>
    <col min="4862" max="4862" width="2.5703125" style="234" customWidth="1"/>
    <col min="4863" max="4863" width="7.140625" style="234" customWidth="1"/>
    <col min="4864" max="4864" width="23.5703125" style="234" customWidth="1"/>
    <col min="4865" max="4865" width="9.7109375" style="234" customWidth="1"/>
    <col min="4866" max="4866" width="4.7109375" style="234" customWidth="1"/>
    <col min="4867" max="4867" width="14.42578125" style="234" customWidth="1"/>
    <col min="4868" max="4868" width="11.140625" style="234" customWidth="1"/>
    <col min="4869" max="4869" width="10.28515625" style="234" customWidth="1"/>
    <col min="4870" max="4870" width="13" style="234" customWidth="1"/>
    <col min="4871" max="4871" width="8.28515625" style="234" customWidth="1"/>
    <col min="4872" max="5117" width="9.140625" style="234"/>
    <col min="5118" max="5118" width="2.5703125" style="234" customWidth="1"/>
    <col min="5119" max="5119" width="7.140625" style="234" customWidth="1"/>
    <col min="5120" max="5120" width="23.5703125" style="234" customWidth="1"/>
    <col min="5121" max="5121" width="9.7109375" style="234" customWidth="1"/>
    <col min="5122" max="5122" width="4.7109375" style="234" customWidth="1"/>
    <col min="5123" max="5123" width="14.42578125" style="234" customWidth="1"/>
    <col min="5124" max="5124" width="11.140625" style="234" customWidth="1"/>
    <col min="5125" max="5125" width="10.28515625" style="234" customWidth="1"/>
    <col min="5126" max="5126" width="13" style="234" customWidth="1"/>
    <col min="5127" max="5127" width="8.28515625" style="234" customWidth="1"/>
    <col min="5128" max="5373" width="10" style="234"/>
    <col min="5374" max="5374" width="2.5703125" style="234" customWidth="1"/>
    <col min="5375" max="5375" width="7.140625" style="234" customWidth="1"/>
    <col min="5376" max="5376" width="23.5703125" style="234" customWidth="1"/>
    <col min="5377" max="5377" width="9.7109375" style="234" customWidth="1"/>
    <col min="5378" max="5378" width="4.7109375" style="234" customWidth="1"/>
    <col min="5379" max="5379" width="14.42578125" style="234" customWidth="1"/>
    <col min="5380" max="5380" width="11.140625" style="234" customWidth="1"/>
    <col min="5381" max="5381" width="10.28515625" style="234" customWidth="1"/>
    <col min="5382" max="5382" width="13" style="234" customWidth="1"/>
    <col min="5383" max="5383" width="8.28515625" style="234" customWidth="1"/>
    <col min="5384" max="5629" width="10" style="234"/>
    <col min="5630" max="5630" width="2.5703125" style="234" customWidth="1"/>
    <col min="5631" max="5631" width="7.140625" style="234" customWidth="1"/>
    <col min="5632" max="5632" width="23.5703125" style="234" customWidth="1"/>
    <col min="5633" max="5633" width="9.7109375" style="234" customWidth="1"/>
    <col min="5634" max="5634" width="4.7109375" style="234" customWidth="1"/>
    <col min="5635" max="5635" width="14.42578125" style="234" customWidth="1"/>
    <col min="5636" max="5636" width="11.140625" style="234" customWidth="1"/>
    <col min="5637" max="5637" width="10.28515625" style="234" customWidth="1"/>
    <col min="5638" max="5638" width="13" style="234" customWidth="1"/>
    <col min="5639" max="5639" width="8.28515625" style="234" customWidth="1"/>
    <col min="5640" max="5885" width="10" style="234"/>
    <col min="5886" max="5886" width="2.5703125" style="234" customWidth="1"/>
    <col min="5887" max="5887" width="7.140625" style="234" customWidth="1"/>
    <col min="5888" max="5888" width="23.5703125" style="234" customWidth="1"/>
    <col min="5889" max="5889" width="9.7109375" style="234" customWidth="1"/>
    <col min="5890" max="5890" width="4.7109375" style="234" customWidth="1"/>
    <col min="5891" max="5891" width="14.42578125" style="234" customWidth="1"/>
    <col min="5892" max="5892" width="11.140625" style="234" customWidth="1"/>
    <col min="5893" max="5893" width="10.28515625" style="234" customWidth="1"/>
    <col min="5894" max="5894" width="13" style="234" customWidth="1"/>
    <col min="5895" max="5895" width="8.28515625" style="234" customWidth="1"/>
    <col min="5896" max="6141" width="9.140625" style="234"/>
    <col min="6142" max="6142" width="2.5703125" style="234" customWidth="1"/>
    <col min="6143" max="6143" width="7.140625" style="234" customWidth="1"/>
    <col min="6144" max="6144" width="23.5703125" style="234" customWidth="1"/>
    <col min="6145" max="6145" width="9.7109375" style="234" customWidth="1"/>
    <col min="6146" max="6146" width="4.7109375" style="234" customWidth="1"/>
    <col min="6147" max="6147" width="14.42578125" style="234" customWidth="1"/>
    <col min="6148" max="6148" width="11.140625" style="234" customWidth="1"/>
    <col min="6149" max="6149" width="10.28515625" style="234" customWidth="1"/>
    <col min="6150" max="6150" width="13" style="234" customWidth="1"/>
    <col min="6151" max="6151" width="8.28515625" style="234" customWidth="1"/>
    <col min="6152" max="6397" width="10" style="234"/>
    <col min="6398" max="6398" width="2.5703125" style="234" customWidth="1"/>
    <col min="6399" max="6399" width="7.140625" style="234" customWidth="1"/>
    <col min="6400" max="6400" width="23.5703125" style="234" customWidth="1"/>
    <col min="6401" max="6401" width="9.7109375" style="234" customWidth="1"/>
    <col min="6402" max="6402" width="4.7109375" style="234" customWidth="1"/>
    <col min="6403" max="6403" width="14.42578125" style="234" customWidth="1"/>
    <col min="6404" max="6404" width="11.140625" style="234" customWidth="1"/>
    <col min="6405" max="6405" width="10.28515625" style="234" customWidth="1"/>
    <col min="6406" max="6406" width="13" style="234" customWidth="1"/>
    <col min="6407" max="6407" width="8.28515625" style="234" customWidth="1"/>
    <col min="6408" max="6653" width="10" style="234"/>
    <col min="6654" max="6654" width="2.5703125" style="234" customWidth="1"/>
    <col min="6655" max="6655" width="7.140625" style="234" customWidth="1"/>
    <col min="6656" max="6656" width="23.5703125" style="234" customWidth="1"/>
    <col min="6657" max="6657" width="9.7109375" style="234" customWidth="1"/>
    <col min="6658" max="6658" width="4.7109375" style="234" customWidth="1"/>
    <col min="6659" max="6659" width="14.42578125" style="234" customWidth="1"/>
    <col min="6660" max="6660" width="11.140625" style="234" customWidth="1"/>
    <col min="6661" max="6661" width="10.28515625" style="234" customWidth="1"/>
    <col min="6662" max="6662" width="13" style="234" customWidth="1"/>
    <col min="6663" max="6663" width="8.28515625" style="234" customWidth="1"/>
    <col min="6664" max="6909" width="10" style="234"/>
    <col min="6910" max="6910" width="2.5703125" style="234" customWidth="1"/>
    <col min="6911" max="6911" width="7.140625" style="234" customWidth="1"/>
    <col min="6912" max="6912" width="23.5703125" style="234" customWidth="1"/>
    <col min="6913" max="6913" width="9.7109375" style="234" customWidth="1"/>
    <col min="6914" max="6914" width="4.7109375" style="234" customWidth="1"/>
    <col min="6915" max="6915" width="14.42578125" style="234" customWidth="1"/>
    <col min="6916" max="6916" width="11.140625" style="234" customWidth="1"/>
    <col min="6917" max="6917" width="10.28515625" style="234" customWidth="1"/>
    <col min="6918" max="6918" width="13" style="234" customWidth="1"/>
    <col min="6919" max="6919" width="8.28515625" style="234" customWidth="1"/>
    <col min="6920" max="7165" width="9.140625" style="234"/>
    <col min="7166" max="7166" width="2.5703125" style="234" customWidth="1"/>
    <col min="7167" max="7167" width="7.140625" style="234" customWidth="1"/>
    <col min="7168" max="7168" width="23.5703125" style="234" customWidth="1"/>
    <col min="7169" max="7169" width="9.7109375" style="234" customWidth="1"/>
    <col min="7170" max="7170" width="4.7109375" style="234" customWidth="1"/>
    <col min="7171" max="7171" width="14.42578125" style="234" customWidth="1"/>
    <col min="7172" max="7172" width="11.140625" style="234" customWidth="1"/>
    <col min="7173" max="7173" width="10.28515625" style="234" customWidth="1"/>
    <col min="7174" max="7174" width="13" style="234" customWidth="1"/>
    <col min="7175" max="7175" width="8.28515625" style="234" customWidth="1"/>
    <col min="7176" max="7421" width="10" style="234"/>
    <col min="7422" max="7422" width="2.5703125" style="234" customWidth="1"/>
    <col min="7423" max="7423" width="7.140625" style="234" customWidth="1"/>
    <col min="7424" max="7424" width="23.5703125" style="234" customWidth="1"/>
    <col min="7425" max="7425" width="9.7109375" style="234" customWidth="1"/>
    <col min="7426" max="7426" width="4.7109375" style="234" customWidth="1"/>
    <col min="7427" max="7427" width="14.42578125" style="234" customWidth="1"/>
    <col min="7428" max="7428" width="11.140625" style="234" customWidth="1"/>
    <col min="7429" max="7429" width="10.28515625" style="234" customWidth="1"/>
    <col min="7430" max="7430" width="13" style="234" customWidth="1"/>
    <col min="7431" max="7431" width="8.28515625" style="234" customWidth="1"/>
    <col min="7432" max="7677" width="10" style="234"/>
    <col min="7678" max="7678" width="2.5703125" style="234" customWidth="1"/>
    <col min="7679" max="7679" width="7.140625" style="234" customWidth="1"/>
    <col min="7680" max="7680" width="23.5703125" style="234" customWidth="1"/>
    <col min="7681" max="7681" width="9.7109375" style="234" customWidth="1"/>
    <col min="7682" max="7682" width="4.7109375" style="234" customWidth="1"/>
    <col min="7683" max="7683" width="14.42578125" style="234" customWidth="1"/>
    <col min="7684" max="7684" width="11.140625" style="234" customWidth="1"/>
    <col min="7685" max="7685" width="10.28515625" style="234" customWidth="1"/>
    <col min="7686" max="7686" width="13" style="234" customWidth="1"/>
    <col min="7687" max="7687" width="8.28515625" style="234" customWidth="1"/>
    <col min="7688" max="7933" width="10" style="234"/>
    <col min="7934" max="7934" width="2.5703125" style="234" customWidth="1"/>
    <col min="7935" max="7935" width="7.140625" style="234" customWidth="1"/>
    <col min="7936" max="7936" width="23.5703125" style="234" customWidth="1"/>
    <col min="7937" max="7937" width="9.7109375" style="234" customWidth="1"/>
    <col min="7938" max="7938" width="4.7109375" style="234" customWidth="1"/>
    <col min="7939" max="7939" width="14.42578125" style="234" customWidth="1"/>
    <col min="7940" max="7940" width="11.140625" style="234" customWidth="1"/>
    <col min="7941" max="7941" width="10.28515625" style="234" customWidth="1"/>
    <col min="7942" max="7942" width="13" style="234" customWidth="1"/>
    <col min="7943" max="7943" width="8.28515625" style="234" customWidth="1"/>
    <col min="7944" max="8189" width="9.140625" style="234"/>
    <col min="8190" max="8190" width="2.5703125" style="234" customWidth="1"/>
    <col min="8191" max="8191" width="7.140625" style="234" customWidth="1"/>
    <col min="8192" max="8192" width="23.5703125" style="234" customWidth="1"/>
    <col min="8193" max="8193" width="9.7109375" style="234" customWidth="1"/>
    <col min="8194" max="8194" width="4.7109375" style="234" customWidth="1"/>
    <col min="8195" max="8195" width="14.42578125" style="234" customWidth="1"/>
    <col min="8196" max="8196" width="11.140625" style="234" customWidth="1"/>
    <col min="8197" max="8197" width="10.28515625" style="234" customWidth="1"/>
    <col min="8198" max="8198" width="13" style="234" customWidth="1"/>
    <col min="8199" max="8199" width="8.28515625" style="234" customWidth="1"/>
    <col min="8200" max="8445" width="10" style="234"/>
    <col min="8446" max="8446" width="2.5703125" style="234" customWidth="1"/>
    <col min="8447" max="8447" width="7.140625" style="234" customWidth="1"/>
    <col min="8448" max="8448" width="23.5703125" style="234" customWidth="1"/>
    <col min="8449" max="8449" width="9.7109375" style="234" customWidth="1"/>
    <col min="8450" max="8450" width="4.7109375" style="234" customWidth="1"/>
    <col min="8451" max="8451" width="14.42578125" style="234" customWidth="1"/>
    <col min="8452" max="8452" width="11.140625" style="234" customWidth="1"/>
    <col min="8453" max="8453" width="10.28515625" style="234" customWidth="1"/>
    <col min="8454" max="8454" width="13" style="234" customWidth="1"/>
    <col min="8455" max="8455" width="8.28515625" style="234" customWidth="1"/>
    <col min="8456" max="8701" width="10" style="234"/>
    <col min="8702" max="8702" width="2.5703125" style="234" customWidth="1"/>
    <col min="8703" max="8703" width="7.140625" style="234" customWidth="1"/>
    <col min="8704" max="8704" width="23.5703125" style="234" customWidth="1"/>
    <col min="8705" max="8705" width="9.7109375" style="234" customWidth="1"/>
    <col min="8706" max="8706" width="4.7109375" style="234" customWidth="1"/>
    <col min="8707" max="8707" width="14.42578125" style="234" customWidth="1"/>
    <col min="8708" max="8708" width="11.140625" style="234" customWidth="1"/>
    <col min="8709" max="8709" width="10.28515625" style="234" customWidth="1"/>
    <col min="8710" max="8710" width="13" style="234" customWidth="1"/>
    <col min="8711" max="8711" width="8.28515625" style="234" customWidth="1"/>
    <col min="8712" max="8957" width="10" style="234"/>
    <col min="8958" max="8958" width="2.5703125" style="234" customWidth="1"/>
    <col min="8959" max="8959" width="7.140625" style="234" customWidth="1"/>
    <col min="8960" max="8960" width="23.5703125" style="234" customWidth="1"/>
    <col min="8961" max="8961" width="9.7109375" style="234" customWidth="1"/>
    <col min="8962" max="8962" width="4.7109375" style="234" customWidth="1"/>
    <col min="8963" max="8963" width="14.42578125" style="234" customWidth="1"/>
    <col min="8964" max="8964" width="11.140625" style="234" customWidth="1"/>
    <col min="8965" max="8965" width="10.28515625" style="234" customWidth="1"/>
    <col min="8966" max="8966" width="13" style="234" customWidth="1"/>
    <col min="8967" max="8967" width="8.28515625" style="234" customWidth="1"/>
    <col min="8968" max="9213" width="9.140625" style="234"/>
    <col min="9214" max="9214" width="2.5703125" style="234" customWidth="1"/>
    <col min="9215" max="9215" width="7.140625" style="234" customWidth="1"/>
    <col min="9216" max="9216" width="23.5703125" style="234" customWidth="1"/>
    <col min="9217" max="9217" width="9.7109375" style="234" customWidth="1"/>
    <col min="9218" max="9218" width="4.7109375" style="234" customWidth="1"/>
    <col min="9219" max="9219" width="14.42578125" style="234" customWidth="1"/>
    <col min="9220" max="9220" width="11.140625" style="234" customWidth="1"/>
    <col min="9221" max="9221" width="10.28515625" style="234" customWidth="1"/>
    <col min="9222" max="9222" width="13" style="234" customWidth="1"/>
    <col min="9223" max="9223" width="8.28515625" style="234" customWidth="1"/>
    <col min="9224" max="9469" width="10" style="234"/>
    <col min="9470" max="9470" width="2.5703125" style="234" customWidth="1"/>
    <col min="9471" max="9471" width="7.140625" style="234" customWidth="1"/>
    <col min="9472" max="9472" width="23.5703125" style="234" customWidth="1"/>
    <col min="9473" max="9473" width="9.7109375" style="234" customWidth="1"/>
    <col min="9474" max="9474" width="4.7109375" style="234" customWidth="1"/>
    <col min="9475" max="9475" width="14.42578125" style="234" customWidth="1"/>
    <col min="9476" max="9476" width="11.140625" style="234" customWidth="1"/>
    <col min="9477" max="9477" width="10.28515625" style="234" customWidth="1"/>
    <col min="9478" max="9478" width="13" style="234" customWidth="1"/>
    <col min="9479" max="9479" width="8.28515625" style="234" customWidth="1"/>
    <col min="9480" max="9725" width="10" style="234"/>
    <col min="9726" max="9726" width="2.5703125" style="234" customWidth="1"/>
    <col min="9727" max="9727" width="7.140625" style="234" customWidth="1"/>
    <col min="9728" max="9728" width="23.5703125" style="234" customWidth="1"/>
    <col min="9729" max="9729" width="9.7109375" style="234" customWidth="1"/>
    <col min="9730" max="9730" width="4.7109375" style="234" customWidth="1"/>
    <col min="9731" max="9731" width="14.42578125" style="234" customWidth="1"/>
    <col min="9732" max="9732" width="11.140625" style="234" customWidth="1"/>
    <col min="9733" max="9733" width="10.28515625" style="234" customWidth="1"/>
    <col min="9734" max="9734" width="13" style="234" customWidth="1"/>
    <col min="9735" max="9735" width="8.28515625" style="234" customWidth="1"/>
    <col min="9736" max="9981" width="10" style="234"/>
    <col min="9982" max="9982" width="2.5703125" style="234" customWidth="1"/>
    <col min="9983" max="9983" width="7.140625" style="234" customWidth="1"/>
    <col min="9984" max="9984" width="23.5703125" style="234" customWidth="1"/>
    <col min="9985" max="9985" width="9.7109375" style="234" customWidth="1"/>
    <col min="9986" max="9986" width="4.7109375" style="234" customWidth="1"/>
    <col min="9987" max="9987" width="14.42578125" style="234" customWidth="1"/>
    <col min="9988" max="9988" width="11.140625" style="234" customWidth="1"/>
    <col min="9989" max="9989" width="10.28515625" style="234" customWidth="1"/>
    <col min="9990" max="9990" width="13" style="234" customWidth="1"/>
    <col min="9991" max="9991" width="8.28515625" style="234" customWidth="1"/>
    <col min="9992" max="10237" width="9.140625" style="234"/>
    <col min="10238" max="10238" width="2.5703125" style="234" customWidth="1"/>
    <col min="10239" max="10239" width="7.140625" style="234" customWidth="1"/>
    <col min="10240" max="10240" width="23.5703125" style="234" customWidth="1"/>
    <col min="10241" max="10241" width="9.7109375" style="234" customWidth="1"/>
    <col min="10242" max="10242" width="4.7109375" style="234" customWidth="1"/>
    <col min="10243" max="10243" width="14.42578125" style="234" customWidth="1"/>
    <col min="10244" max="10244" width="11.140625" style="234" customWidth="1"/>
    <col min="10245" max="10245" width="10.28515625" style="234" customWidth="1"/>
    <col min="10246" max="10246" width="13" style="234" customWidth="1"/>
    <col min="10247" max="10247" width="8.28515625" style="234" customWidth="1"/>
    <col min="10248" max="10493" width="10" style="234"/>
    <col min="10494" max="10494" width="2.5703125" style="234" customWidth="1"/>
    <col min="10495" max="10495" width="7.140625" style="234" customWidth="1"/>
    <col min="10496" max="10496" width="23.5703125" style="234" customWidth="1"/>
    <col min="10497" max="10497" width="9.7109375" style="234" customWidth="1"/>
    <col min="10498" max="10498" width="4.7109375" style="234" customWidth="1"/>
    <col min="10499" max="10499" width="14.42578125" style="234" customWidth="1"/>
    <col min="10500" max="10500" width="11.140625" style="234" customWidth="1"/>
    <col min="10501" max="10501" width="10.28515625" style="234" customWidth="1"/>
    <col min="10502" max="10502" width="13" style="234" customWidth="1"/>
    <col min="10503" max="10503" width="8.28515625" style="234" customWidth="1"/>
    <col min="10504" max="10749" width="10" style="234"/>
    <col min="10750" max="10750" width="2.5703125" style="234" customWidth="1"/>
    <col min="10751" max="10751" width="7.140625" style="234" customWidth="1"/>
    <col min="10752" max="10752" width="23.5703125" style="234" customWidth="1"/>
    <col min="10753" max="10753" width="9.7109375" style="234" customWidth="1"/>
    <col min="10754" max="10754" width="4.7109375" style="234" customWidth="1"/>
    <col min="10755" max="10755" width="14.42578125" style="234" customWidth="1"/>
    <col min="10756" max="10756" width="11.140625" style="234" customWidth="1"/>
    <col min="10757" max="10757" width="10.28515625" style="234" customWidth="1"/>
    <col min="10758" max="10758" width="13" style="234" customWidth="1"/>
    <col min="10759" max="10759" width="8.28515625" style="234" customWidth="1"/>
    <col min="10760" max="11005" width="10" style="234"/>
    <col min="11006" max="11006" width="2.5703125" style="234" customWidth="1"/>
    <col min="11007" max="11007" width="7.140625" style="234" customWidth="1"/>
    <col min="11008" max="11008" width="23.5703125" style="234" customWidth="1"/>
    <col min="11009" max="11009" width="9.7109375" style="234" customWidth="1"/>
    <col min="11010" max="11010" width="4.7109375" style="234" customWidth="1"/>
    <col min="11011" max="11011" width="14.42578125" style="234" customWidth="1"/>
    <col min="11012" max="11012" width="11.140625" style="234" customWidth="1"/>
    <col min="11013" max="11013" width="10.28515625" style="234" customWidth="1"/>
    <col min="11014" max="11014" width="13" style="234" customWidth="1"/>
    <col min="11015" max="11015" width="8.28515625" style="234" customWidth="1"/>
    <col min="11016" max="11261" width="9.140625" style="234"/>
    <col min="11262" max="11262" width="2.5703125" style="234" customWidth="1"/>
    <col min="11263" max="11263" width="7.140625" style="234" customWidth="1"/>
    <col min="11264" max="11264" width="23.5703125" style="234" customWidth="1"/>
    <col min="11265" max="11265" width="9.7109375" style="234" customWidth="1"/>
    <col min="11266" max="11266" width="4.7109375" style="234" customWidth="1"/>
    <col min="11267" max="11267" width="14.42578125" style="234" customWidth="1"/>
    <col min="11268" max="11268" width="11.140625" style="234" customWidth="1"/>
    <col min="11269" max="11269" width="10.28515625" style="234" customWidth="1"/>
    <col min="11270" max="11270" width="13" style="234" customWidth="1"/>
    <col min="11271" max="11271" width="8.28515625" style="234" customWidth="1"/>
    <col min="11272" max="11517" width="10" style="234"/>
    <col min="11518" max="11518" width="2.5703125" style="234" customWidth="1"/>
    <col min="11519" max="11519" width="7.140625" style="234" customWidth="1"/>
    <col min="11520" max="11520" width="23.5703125" style="234" customWidth="1"/>
    <col min="11521" max="11521" width="9.7109375" style="234" customWidth="1"/>
    <col min="11522" max="11522" width="4.7109375" style="234" customWidth="1"/>
    <col min="11523" max="11523" width="14.42578125" style="234" customWidth="1"/>
    <col min="11524" max="11524" width="11.140625" style="234" customWidth="1"/>
    <col min="11525" max="11525" width="10.28515625" style="234" customWidth="1"/>
    <col min="11526" max="11526" width="13" style="234" customWidth="1"/>
    <col min="11527" max="11527" width="8.28515625" style="234" customWidth="1"/>
    <col min="11528" max="11773" width="10" style="234"/>
    <col min="11774" max="11774" width="2.5703125" style="234" customWidth="1"/>
    <col min="11775" max="11775" width="7.140625" style="234" customWidth="1"/>
    <col min="11776" max="11776" width="23.5703125" style="234" customWidth="1"/>
    <col min="11777" max="11777" width="9.7109375" style="234" customWidth="1"/>
    <col min="11778" max="11778" width="4.7109375" style="234" customWidth="1"/>
    <col min="11779" max="11779" width="14.42578125" style="234" customWidth="1"/>
    <col min="11780" max="11780" width="11.140625" style="234" customWidth="1"/>
    <col min="11781" max="11781" width="10.28515625" style="234" customWidth="1"/>
    <col min="11782" max="11782" width="13" style="234" customWidth="1"/>
    <col min="11783" max="11783" width="8.28515625" style="234" customWidth="1"/>
    <col min="11784" max="12029" width="10" style="234"/>
    <col min="12030" max="12030" width="2.5703125" style="234" customWidth="1"/>
    <col min="12031" max="12031" width="7.140625" style="234" customWidth="1"/>
    <col min="12032" max="12032" width="23.5703125" style="234" customWidth="1"/>
    <col min="12033" max="12033" width="9.7109375" style="234" customWidth="1"/>
    <col min="12034" max="12034" width="4.7109375" style="234" customWidth="1"/>
    <col min="12035" max="12035" width="14.42578125" style="234" customWidth="1"/>
    <col min="12036" max="12036" width="11.140625" style="234" customWidth="1"/>
    <col min="12037" max="12037" width="10.28515625" style="234" customWidth="1"/>
    <col min="12038" max="12038" width="13" style="234" customWidth="1"/>
    <col min="12039" max="12039" width="8.28515625" style="234" customWidth="1"/>
    <col min="12040" max="12285" width="9.140625" style="234"/>
    <col min="12286" max="12286" width="2.5703125" style="234" customWidth="1"/>
    <col min="12287" max="12287" width="7.140625" style="234" customWidth="1"/>
    <col min="12288" max="12288" width="23.5703125" style="234" customWidth="1"/>
    <col min="12289" max="12289" width="9.7109375" style="234" customWidth="1"/>
    <col min="12290" max="12290" width="4.7109375" style="234" customWidth="1"/>
    <col min="12291" max="12291" width="14.42578125" style="234" customWidth="1"/>
    <col min="12292" max="12292" width="11.140625" style="234" customWidth="1"/>
    <col min="12293" max="12293" width="10.28515625" style="234" customWidth="1"/>
    <col min="12294" max="12294" width="13" style="234" customWidth="1"/>
    <col min="12295" max="12295" width="8.28515625" style="234" customWidth="1"/>
    <col min="12296" max="12541" width="10" style="234"/>
    <col min="12542" max="12542" width="2.5703125" style="234" customWidth="1"/>
    <col min="12543" max="12543" width="7.140625" style="234" customWidth="1"/>
    <col min="12544" max="12544" width="23.5703125" style="234" customWidth="1"/>
    <col min="12545" max="12545" width="9.7109375" style="234" customWidth="1"/>
    <col min="12546" max="12546" width="4.7109375" style="234" customWidth="1"/>
    <col min="12547" max="12547" width="14.42578125" style="234" customWidth="1"/>
    <col min="12548" max="12548" width="11.140625" style="234" customWidth="1"/>
    <col min="12549" max="12549" width="10.28515625" style="234" customWidth="1"/>
    <col min="12550" max="12550" width="13" style="234" customWidth="1"/>
    <col min="12551" max="12551" width="8.28515625" style="234" customWidth="1"/>
    <col min="12552" max="12797" width="10" style="234"/>
    <col min="12798" max="12798" width="2.5703125" style="234" customWidth="1"/>
    <col min="12799" max="12799" width="7.140625" style="234" customWidth="1"/>
    <col min="12800" max="12800" width="23.5703125" style="234" customWidth="1"/>
    <col min="12801" max="12801" width="9.7109375" style="234" customWidth="1"/>
    <col min="12802" max="12802" width="4.7109375" style="234" customWidth="1"/>
    <col min="12803" max="12803" width="14.42578125" style="234" customWidth="1"/>
    <col min="12804" max="12804" width="11.140625" style="234" customWidth="1"/>
    <col min="12805" max="12805" width="10.28515625" style="234" customWidth="1"/>
    <col min="12806" max="12806" width="13" style="234" customWidth="1"/>
    <col min="12807" max="12807" width="8.28515625" style="234" customWidth="1"/>
    <col min="12808" max="13053" width="10" style="234"/>
    <col min="13054" max="13054" width="2.5703125" style="234" customWidth="1"/>
    <col min="13055" max="13055" width="7.140625" style="234" customWidth="1"/>
    <col min="13056" max="13056" width="23.5703125" style="234" customWidth="1"/>
    <col min="13057" max="13057" width="9.7109375" style="234" customWidth="1"/>
    <col min="13058" max="13058" width="4.7109375" style="234" customWidth="1"/>
    <col min="13059" max="13059" width="14.42578125" style="234" customWidth="1"/>
    <col min="13060" max="13060" width="11.140625" style="234" customWidth="1"/>
    <col min="13061" max="13061" width="10.28515625" style="234" customWidth="1"/>
    <col min="13062" max="13062" width="13" style="234" customWidth="1"/>
    <col min="13063" max="13063" width="8.28515625" style="234" customWidth="1"/>
    <col min="13064" max="13309" width="9.140625" style="234"/>
    <col min="13310" max="13310" width="2.5703125" style="234" customWidth="1"/>
    <col min="13311" max="13311" width="7.140625" style="234" customWidth="1"/>
    <col min="13312" max="13312" width="23.5703125" style="234" customWidth="1"/>
    <col min="13313" max="13313" width="9.7109375" style="234" customWidth="1"/>
    <col min="13314" max="13314" width="4.7109375" style="234" customWidth="1"/>
    <col min="13315" max="13315" width="14.42578125" style="234" customWidth="1"/>
    <col min="13316" max="13316" width="11.140625" style="234" customWidth="1"/>
    <col min="13317" max="13317" width="10.28515625" style="234" customWidth="1"/>
    <col min="13318" max="13318" width="13" style="234" customWidth="1"/>
    <col min="13319" max="13319" width="8.28515625" style="234" customWidth="1"/>
    <col min="13320" max="13565" width="10" style="234"/>
    <col min="13566" max="13566" width="2.5703125" style="234" customWidth="1"/>
    <col min="13567" max="13567" width="7.140625" style="234" customWidth="1"/>
    <col min="13568" max="13568" width="23.5703125" style="234" customWidth="1"/>
    <col min="13569" max="13569" width="9.7109375" style="234" customWidth="1"/>
    <col min="13570" max="13570" width="4.7109375" style="234" customWidth="1"/>
    <col min="13571" max="13571" width="14.42578125" style="234" customWidth="1"/>
    <col min="13572" max="13572" width="11.140625" style="234" customWidth="1"/>
    <col min="13573" max="13573" width="10.28515625" style="234" customWidth="1"/>
    <col min="13574" max="13574" width="13" style="234" customWidth="1"/>
    <col min="13575" max="13575" width="8.28515625" style="234" customWidth="1"/>
    <col min="13576" max="13821" width="10" style="234"/>
    <col min="13822" max="13822" width="2.5703125" style="234" customWidth="1"/>
    <col min="13823" max="13823" width="7.140625" style="234" customWidth="1"/>
    <col min="13824" max="13824" width="23.5703125" style="234" customWidth="1"/>
    <col min="13825" max="13825" width="9.7109375" style="234" customWidth="1"/>
    <col min="13826" max="13826" width="4.7109375" style="234" customWidth="1"/>
    <col min="13827" max="13827" width="14.42578125" style="234" customWidth="1"/>
    <col min="13828" max="13828" width="11.140625" style="234" customWidth="1"/>
    <col min="13829" max="13829" width="10.28515625" style="234" customWidth="1"/>
    <col min="13830" max="13830" width="13" style="234" customWidth="1"/>
    <col min="13831" max="13831" width="8.28515625" style="234" customWidth="1"/>
    <col min="13832" max="14077" width="10" style="234"/>
    <col min="14078" max="14078" width="2.5703125" style="234" customWidth="1"/>
    <col min="14079" max="14079" width="7.140625" style="234" customWidth="1"/>
    <col min="14080" max="14080" width="23.5703125" style="234" customWidth="1"/>
    <col min="14081" max="14081" width="9.7109375" style="234" customWidth="1"/>
    <col min="14082" max="14082" width="4.7109375" style="234" customWidth="1"/>
    <col min="14083" max="14083" width="14.42578125" style="234" customWidth="1"/>
    <col min="14084" max="14084" width="11.140625" style="234" customWidth="1"/>
    <col min="14085" max="14085" width="10.28515625" style="234" customWidth="1"/>
    <col min="14086" max="14086" width="13" style="234" customWidth="1"/>
    <col min="14087" max="14087" width="8.28515625" style="234" customWidth="1"/>
    <col min="14088" max="14333" width="9.140625" style="234"/>
    <col min="14334" max="14334" width="2.5703125" style="234" customWidth="1"/>
    <col min="14335" max="14335" width="7.140625" style="234" customWidth="1"/>
    <col min="14336" max="14336" width="23.5703125" style="234" customWidth="1"/>
    <col min="14337" max="14337" width="9.7109375" style="234" customWidth="1"/>
    <col min="14338" max="14338" width="4.7109375" style="234" customWidth="1"/>
    <col min="14339" max="14339" width="14.42578125" style="234" customWidth="1"/>
    <col min="14340" max="14340" width="11.140625" style="234" customWidth="1"/>
    <col min="14341" max="14341" width="10.28515625" style="234" customWidth="1"/>
    <col min="14342" max="14342" width="13" style="234" customWidth="1"/>
    <col min="14343" max="14343" width="8.28515625" style="234" customWidth="1"/>
    <col min="14344" max="14589" width="10" style="234"/>
    <col min="14590" max="14590" width="2.5703125" style="234" customWidth="1"/>
    <col min="14591" max="14591" width="7.140625" style="234" customWidth="1"/>
    <col min="14592" max="14592" width="23.5703125" style="234" customWidth="1"/>
    <col min="14593" max="14593" width="9.7109375" style="234" customWidth="1"/>
    <col min="14594" max="14594" width="4.7109375" style="234" customWidth="1"/>
    <col min="14595" max="14595" width="14.42578125" style="234" customWidth="1"/>
    <col min="14596" max="14596" width="11.140625" style="234" customWidth="1"/>
    <col min="14597" max="14597" width="10.28515625" style="234" customWidth="1"/>
    <col min="14598" max="14598" width="13" style="234" customWidth="1"/>
    <col min="14599" max="14599" width="8.28515625" style="234" customWidth="1"/>
    <col min="14600" max="14845" width="10" style="234"/>
    <col min="14846" max="14846" width="2.5703125" style="234" customWidth="1"/>
    <col min="14847" max="14847" width="7.140625" style="234" customWidth="1"/>
    <col min="14848" max="14848" width="23.5703125" style="234" customWidth="1"/>
    <col min="14849" max="14849" width="9.7109375" style="234" customWidth="1"/>
    <col min="14850" max="14850" width="4.7109375" style="234" customWidth="1"/>
    <col min="14851" max="14851" width="14.42578125" style="234" customWidth="1"/>
    <col min="14852" max="14852" width="11.140625" style="234" customWidth="1"/>
    <col min="14853" max="14853" width="10.28515625" style="234" customWidth="1"/>
    <col min="14854" max="14854" width="13" style="234" customWidth="1"/>
    <col min="14855" max="14855" width="8.28515625" style="234" customWidth="1"/>
    <col min="14856" max="15101" width="10" style="234"/>
    <col min="15102" max="15102" width="2.5703125" style="234" customWidth="1"/>
    <col min="15103" max="15103" width="7.140625" style="234" customWidth="1"/>
    <col min="15104" max="15104" width="23.5703125" style="234" customWidth="1"/>
    <col min="15105" max="15105" width="9.7109375" style="234" customWidth="1"/>
    <col min="15106" max="15106" width="4.7109375" style="234" customWidth="1"/>
    <col min="15107" max="15107" width="14.42578125" style="234" customWidth="1"/>
    <col min="15108" max="15108" width="11.140625" style="234" customWidth="1"/>
    <col min="15109" max="15109" width="10.28515625" style="234" customWidth="1"/>
    <col min="15110" max="15110" width="13" style="234" customWidth="1"/>
    <col min="15111" max="15111" width="8.28515625" style="234" customWidth="1"/>
    <col min="15112" max="15357" width="9.140625" style="234"/>
    <col min="15358" max="15358" width="2.5703125" style="234" customWidth="1"/>
    <col min="15359" max="15359" width="7.140625" style="234" customWidth="1"/>
    <col min="15360" max="15360" width="23.5703125" style="234" customWidth="1"/>
    <col min="15361" max="15361" width="9.7109375" style="234" customWidth="1"/>
    <col min="15362" max="15362" width="4.7109375" style="234" customWidth="1"/>
    <col min="15363" max="15363" width="14.42578125" style="234" customWidth="1"/>
    <col min="15364" max="15364" width="11.140625" style="234" customWidth="1"/>
    <col min="15365" max="15365" width="10.28515625" style="234" customWidth="1"/>
    <col min="15366" max="15366" width="13" style="234" customWidth="1"/>
    <col min="15367" max="15367" width="8.28515625" style="234" customWidth="1"/>
    <col min="15368" max="15613" width="10" style="234"/>
    <col min="15614" max="15614" width="2.5703125" style="234" customWidth="1"/>
    <col min="15615" max="15615" width="7.140625" style="234" customWidth="1"/>
    <col min="15616" max="15616" width="23.5703125" style="234" customWidth="1"/>
    <col min="15617" max="15617" width="9.7109375" style="234" customWidth="1"/>
    <col min="15618" max="15618" width="4.7109375" style="234" customWidth="1"/>
    <col min="15619" max="15619" width="14.42578125" style="234" customWidth="1"/>
    <col min="15620" max="15620" width="11.140625" style="234" customWidth="1"/>
    <col min="15621" max="15621" width="10.28515625" style="234" customWidth="1"/>
    <col min="15622" max="15622" width="13" style="234" customWidth="1"/>
    <col min="15623" max="15623" width="8.28515625" style="234" customWidth="1"/>
    <col min="15624" max="15869" width="10" style="234"/>
    <col min="15870" max="15870" width="2.5703125" style="234" customWidth="1"/>
    <col min="15871" max="15871" width="7.140625" style="234" customWidth="1"/>
    <col min="15872" max="15872" width="23.5703125" style="234" customWidth="1"/>
    <col min="15873" max="15873" width="9.7109375" style="234" customWidth="1"/>
    <col min="15874" max="15874" width="4.7109375" style="234" customWidth="1"/>
    <col min="15875" max="15875" width="14.42578125" style="234" customWidth="1"/>
    <col min="15876" max="15876" width="11.140625" style="234" customWidth="1"/>
    <col min="15877" max="15877" width="10.28515625" style="234" customWidth="1"/>
    <col min="15878" max="15878" width="13" style="234" customWidth="1"/>
    <col min="15879" max="15879" width="8.28515625" style="234" customWidth="1"/>
    <col min="15880" max="16125" width="10" style="234"/>
    <col min="16126" max="16126" width="2.5703125" style="234" customWidth="1"/>
    <col min="16127" max="16127" width="7.140625" style="234" customWidth="1"/>
    <col min="16128" max="16128" width="23.5703125" style="234" customWidth="1"/>
    <col min="16129" max="16129" width="9.7109375" style="234" customWidth="1"/>
    <col min="16130" max="16130" width="4.7109375" style="234" customWidth="1"/>
    <col min="16131" max="16131" width="14.42578125" style="234" customWidth="1"/>
    <col min="16132" max="16132" width="11.140625" style="234" customWidth="1"/>
    <col min="16133" max="16133" width="10.28515625" style="234" customWidth="1"/>
    <col min="16134" max="16134" width="13" style="234" customWidth="1"/>
    <col min="16135" max="16135" width="8.28515625" style="234" customWidth="1"/>
    <col min="16136" max="16381" width="9.140625" style="234"/>
    <col min="16382" max="16384" width="9.140625" style="234" customWidth="1"/>
  </cols>
  <sheetData>
    <row r="1" spans="1:9">
      <c r="A1" s="17" t="str">
        <f>RevReqSummary!A1</f>
        <v>PacifiCorp General Rate Case UE-140617</v>
      </c>
      <c r="B1" s="232"/>
      <c r="C1" s="232"/>
      <c r="D1" s="232"/>
      <c r="E1" s="232"/>
      <c r="F1" s="232"/>
      <c r="G1" s="232"/>
    </row>
    <row r="2" spans="1:9">
      <c r="A2" s="17" t="str">
        <f>RevReqSummary!A2</f>
        <v>For The Twelve Months Ended December 2013 - Staff Revenue Requirement</v>
      </c>
      <c r="B2" s="232"/>
      <c r="C2" s="232"/>
      <c r="D2" s="232"/>
      <c r="E2" s="232"/>
      <c r="F2" s="232"/>
      <c r="G2" s="232"/>
    </row>
    <row r="3" spans="1:9">
      <c r="A3" s="235" t="s">
        <v>122</v>
      </c>
      <c r="B3" s="232"/>
      <c r="C3" s="232"/>
      <c r="D3" s="232"/>
      <c r="E3" s="232"/>
      <c r="F3" s="232"/>
      <c r="G3" s="232"/>
    </row>
    <row r="4" spans="1:9">
      <c r="A4" s="235" t="s">
        <v>502</v>
      </c>
      <c r="B4" s="232"/>
      <c r="C4" s="232"/>
      <c r="D4" s="232"/>
      <c r="E4" s="232"/>
      <c r="F4" s="232"/>
      <c r="G4" s="232"/>
    </row>
    <row r="5" spans="1:9">
      <c r="B5" s="232"/>
      <c r="C5" s="232"/>
      <c r="D5" s="232"/>
      <c r="E5" s="232"/>
      <c r="F5" s="232"/>
      <c r="G5" s="232"/>
    </row>
    <row r="6" spans="1:9">
      <c r="B6" s="232"/>
      <c r="C6" s="232"/>
      <c r="D6" s="232" t="s">
        <v>131</v>
      </c>
      <c r="E6" s="232"/>
      <c r="F6" s="232"/>
      <c r="G6" s="232" t="s">
        <v>236</v>
      </c>
    </row>
    <row r="7" spans="1:9">
      <c r="B7" s="236" t="s">
        <v>132</v>
      </c>
      <c r="C7" s="41" t="s">
        <v>660</v>
      </c>
      <c r="D7" s="236" t="s">
        <v>134</v>
      </c>
      <c r="E7" s="236" t="s">
        <v>135</v>
      </c>
      <c r="F7" s="236" t="s">
        <v>136</v>
      </c>
      <c r="G7" s="236" t="s">
        <v>137</v>
      </c>
    </row>
    <row r="8" spans="1:9">
      <c r="A8" s="240" t="s">
        <v>363</v>
      </c>
      <c r="B8" s="241"/>
      <c r="C8" s="241"/>
      <c r="D8" s="813"/>
      <c r="E8" s="241"/>
      <c r="F8" s="241"/>
      <c r="G8" s="535"/>
    </row>
    <row r="9" spans="1:9">
      <c r="A9" s="544" t="s">
        <v>213</v>
      </c>
      <c r="B9" s="241" t="s">
        <v>175</v>
      </c>
      <c r="C9" s="241" t="s">
        <v>398</v>
      </c>
      <c r="D9" s="524">
        <v>-849952.16666666744</v>
      </c>
      <c r="E9" s="241" t="s">
        <v>203</v>
      </c>
      <c r="F9" s="538">
        <f>INDEX(WCAAllocations,IFERROR(MATCH(E9,WCAFactors,0),2),IFERROR(MATCH(E9,WCAStates,0),4))</f>
        <v>0.23084885646883446</v>
      </c>
      <c r="G9" s="31">
        <f>+F9*D9</f>
        <v>-196210.48572820838</v>
      </c>
      <c r="H9" s="140"/>
      <c r="I9" s="1"/>
    </row>
    <row r="10" spans="1:9">
      <c r="A10" s="530" t="s">
        <v>213</v>
      </c>
      <c r="B10" s="30" t="s">
        <v>175</v>
      </c>
      <c r="C10" s="241" t="s">
        <v>398</v>
      </c>
      <c r="D10" s="35">
        <v>153602.00000000047</v>
      </c>
      <c r="E10" s="30" t="s">
        <v>214</v>
      </c>
      <c r="F10" s="538">
        <f>INDEX(WCAAllocations,IFERROR(MATCH(E10,WCAFactors,0),2),IFERROR(MATCH(E10,WCAStates,0),4))</f>
        <v>0</v>
      </c>
      <c r="G10" s="31">
        <f>+F10*D10</f>
        <v>0</v>
      </c>
      <c r="H10" s="140"/>
      <c r="I10" s="1"/>
    </row>
    <row r="11" spans="1:9" ht="13.5" thickBot="1">
      <c r="A11" s="530"/>
      <c r="B11" s="30"/>
      <c r="C11" s="241"/>
      <c r="D11" s="38">
        <f>SUM(D9:D10)</f>
        <v>-696350.16666666698</v>
      </c>
      <c r="E11" s="30"/>
      <c r="F11" s="155"/>
      <c r="G11" s="38">
        <f>+G10+G9</f>
        <v>-196210.48572820838</v>
      </c>
      <c r="H11" s="140"/>
      <c r="I11" s="1"/>
    </row>
    <row r="12" spans="1:9" ht="13.5" thickTop="1">
      <c r="A12" s="814"/>
      <c r="B12" s="30"/>
      <c r="C12" s="241"/>
      <c r="D12" s="35"/>
      <c r="E12" s="30"/>
      <c r="F12" s="155"/>
      <c r="G12" s="31"/>
      <c r="H12" s="37"/>
      <c r="I12" s="25"/>
    </row>
    <row r="13" spans="1:9">
      <c r="A13" s="814" t="s">
        <v>234</v>
      </c>
      <c r="H13" s="37"/>
      <c r="I13" s="29"/>
    </row>
    <row r="14" spans="1:9">
      <c r="A14" s="530" t="s">
        <v>268</v>
      </c>
      <c r="B14" s="232" t="s">
        <v>193</v>
      </c>
      <c r="C14" s="241" t="s">
        <v>398</v>
      </c>
      <c r="D14" s="31">
        <v>555000</v>
      </c>
      <c r="E14" s="30" t="s">
        <v>203</v>
      </c>
      <c r="F14" s="815">
        <f>INDEX(WCAAllocations,IFERROR(MATCH(E14,WCAFactors,0),2),IFERROR(MATCH(E14,WCAStates,0),4))</f>
        <v>0.23084885646883446</v>
      </c>
      <c r="G14" s="816">
        <f>D14*F14</f>
        <v>128121.11534020312</v>
      </c>
      <c r="H14" s="37"/>
      <c r="I14" s="29"/>
    </row>
    <row r="15" spans="1:9">
      <c r="A15" s="817" t="s">
        <v>254</v>
      </c>
      <c r="B15" s="61">
        <v>41010</v>
      </c>
      <c r="C15" s="163" t="s">
        <v>398</v>
      </c>
      <c r="D15" s="818">
        <v>210628</v>
      </c>
      <c r="E15" s="163" t="s">
        <v>203</v>
      </c>
      <c r="F15" s="815">
        <f>INDEX(WCAAllocations,IFERROR(MATCH(E15,WCAFactors,0),2),IFERROR(MATCH(E15,WCAStates,0),4))</f>
        <v>0.23084885646883446</v>
      </c>
      <c r="G15" s="816">
        <f>D15*F15</f>
        <v>48623.232940317663</v>
      </c>
      <c r="H15" s="37"/>
      <c r="I15" s="29"/>
    </row>
    <row r="16" spans="1:9">
      <c r="A16" s="817" t="s">
        <v>712</v>
      </c>
      <c r="B16" s="61">
        <v>282</v>
      </c>
      <c r="C16" s="163" t="s">
        <v>398</v>
      </c>
      <c r="D16" s="818">
        <v>-71712</v>
      </c>
      <c r="E16" s="163" t="s">
        <v>203</v>
      </c>
      <c r="F16" s="815">
        <f>INDEX(WCAAllocations,IFERROR(MATCH(E16,WCAFactors,0),2),IFERROR(MATCH(E16,WCAStates,0),4))</f>
        <v>0.23084885646883446</v>
      </c>
      <c r="G16" s="816">
        <f>D16*F16</f>
        <v>-16554.633195093058</v>
      </c>
      <c r="H16" s="37"/>
      <c r="I16" s="29"/>
    </row>
    <row r="17" spans="1:10">
      <c r="A17" s="817"/>
      <c r="B17" s="163"/>
      <c r="C17" s="163"/>
      <c r="D17" s="819"/>
      <c r="E17" s="163"/>
      <c r="F17" s="312"/>
      <c r="G17" s="262"/>
      <c r="H17" s="37"/>
      <c r="I17" s="29"/>
    </row>
    <row r="18" spans="1:10">
      <c r="A18" s="814"/>
      <c r="B18" s="61"/>
      <c r="C18" s="163"/>
      <c r="D18" s="819"/>
      <c r="E18" s="61"/>
      <c r="F18" s="155"/>
      <c r="G18" s="35"/>
      <c r="I18" s="1059"/>
      <c r="J18" s="1059"/>
    </row>
    <row r="19" spans="1:10">
      <c r="A19" s="814" t="s">
        <v>572</v>
      </c>
      <c r="B19" s="61"/>
      <c r="C19" s="163"/>
      <c r="D19" s="819"/>
      <c r="E19" s="61"/>
      <c r="F19" s="155"/>
      <c r="G19" s="31"/>
      <c r="I19" s="1059"/>
      <c r="J19" s="1059"/>
    </row>
    <row r="20" spans="1:10">
      <c r="A20" s="817" t="s">
        <v>713</v>
      </c>
      <c r="B20" s="61"/>
      <c r="C20" s="163"/>
      <c r="D20" s="819">
        <v>758090.11999998987</v>
      </c>
      <c r="E20" s="61"/>
      <c r="F20" s="155"/>
      <c r="G20" s="31"/>
      <c r="I20" s="1059"/>
      <c r="J20" s="1059"/>
    </row>
    <row r="21" spans="1:10">
      <c r="A21" s="817" t="s">
        <v>714</v>
      </c>
      <c r="B21" s="61"/>
      <c r="C21" s="163"/>
      <c r="D21" s="819">
        <v>61739.953333323378</v>
      </c>
      <c r="E21" s="163"/>
      <c r="F21" s="820"/>
      <c r="G21" s="821"/>
      <c r="I21" s="1059"/>
      <c r="J21" s="1059"/>
    </row>
    <row r="22" spans="1:10">
      <c r="A22" s="817" t="s">
        <v>405</v>
      </c>
      <c r="B22" s="163"/>
      <c r="C22" s="163"/>
      <c r="D22" s="822">
        <f>D21-D20</f>
        <v>-696350.16666666651</v>
      </c>
      <c r="E22" s="163"/>
      <c r="F22" s="312"/>
      <c r="G22" s="242"/>
    </row>
    <row r="23" spans="1:10">
      <c r="A23" s="817"/>
      <c r="B23" s="163"/>
      <c r="C23" s="163"/>
      <c r="D23" s="819"/>
      <c r="E23" s="163"/>
      <c r="F23" s="823"/>
      <c r="G23" s="824"/>
      <c r="H23" s="244"/>
      <c r="I23" s="244"/>
    </row>
    <row r="24" spans="1:10">
      <c r="A24" s="817"/>
      <c r="B24" s="163"/>
      <c r="C24" s="163"/>
      <c r="D24" s="819"/>
      <c r="E24" s="163"/>
      <c r="F24" s="823"/>
      <c r="G24" s="824"/>
      <c r="H24" s="244"/>
      <c r="I24" s="244"/>
    </row>
    <row r="25" spans="1:10">
      <c r="A25" s="817"/>
      <c r="B25" s="163"/>
      <c r="C25" s="163"/>
      <c r="D25" s="819"/>
      <c r="E25" s="163"/>
      <c r="F25" s="825"/>
      <c r="G25" s="242"/>
      <c r="H25" s="244"/>
      <c r="I25" s="244"/>
    </row>
    <row r="26" spans="1:10">
      <c r="A26" s="826" t="s">
        <v>212</v>
      </c>
      <c r="B26" s="163"/>
      <c r="C26" s="163"/>
      <c r="D26" s="242"/>
      <c r="E26" s="163"/>
      <c r="F26" s="312"/>
      <c r="G26" s="242"/>
      <c r="H26" s="244"/>
      <c r="I26" s="244"/>
    </row>
    <row r="27" spans="1:10">
      <c r="A27" s="1399" t="s">
        <v>1068</v>
      </c>
      <c r="B27" s="1399"/>
      <c r="C27" s="1399"/>
      <c r="D27" s="1399"/>
      <c r="E27" s="1399"/>
      <c r="F27" s="1399"/>
      <c r="G27" s="1399"/>
      <c r="H27" s="244"/>
      <c r="I27" s="244"/>
    </row>
    <row r="28" spans="1:10">
      <c r="A28" s="1399"/>
      <c r="B28" s="1399"/>
      <c r="C28" s="1399"/>
      <c r="D28" s="1399"/>
      <c r="E28" s="1399"/>
      <c r="F28" s="1399"/>
      <c r="G28" s="1399"/>
    </row>
    <row r="29" spans="1:10">
      <c r="A29" s="1399"/>
      <c r="B29" s="1399"/>
      <c r="C29" s="1399"/>
      <c r="D29" s="1399"/>
      <c r="E29" s="1399"/>
      <c r="F29" s="1399"/>
      <c r="G29" s="1399"/>
    </row>
    <row r="30" spans="1:10">
      <c r="A30" s="1399"/>
      <c r="B30" s="1399"/>
      <c r="C30" s="1399"/>
      <c r="D30" s="1399"/>
      <c r="E30" s="1399"/>
      <c r="F30" s="1399"/>
      <c r="G30" s="1399"/>
    </row>
    <row r="31" spans="1:10">
      <c r="A31" s="1402"/>
      <c r="B31" s="1399"/>
      <c r="C31" s="1399"/>
      <c r="D31" s="1399"/>
      <c r="E31" s="1399"/>
      <c r="F31" s="1399"/>
      <c r="G31" s="1399"/>
    </row>
    <row r="32" spans="1:10">
      <c r="A32" s="1399"/>
      <c r="B32" s="1399"/>
      <c r="C32" s="1399"/>
      <c r="D32" s="1399"/>
      <c r="E32" s="1399"/>
      <c r="F32" s="1399"/>
      <c r="G32" s="1399"/>
    </row>
    <row r="33" spans="1:10">
      <c r="A33" s="1399"/>
      <c r="B33" s="1399"/>
      <c r="C33" s="1399"/>
      <c r="D33" s="1399"/>
      <c r="E33" s="1399"/>
      <c r="F33" s="1399"/>
      <c r="G33" s="1399"/>
    </row>
    <row r="36" spans="1:10">
      <c r="A36" s="244"/>
      <c r="B36" s="244"/>
      <c r="C36" s="244"/>
      <c r="D36" s="244"/>
      <c r="E36" s="244"/>
      <c r="F36" s="244"/>
      <c r="G36" s="244"/>
      <c r="H36" s="244"/>
      <c r="I36" s="244"/>
      <c r="J36" s="244"/>
    </row>
    <row r="37" spans="1:10">
      <c r="A37" s="248"/>
      <c r="B37" s="241"/>
      <c r="C37" s="241"/>
      <c r="D37" s="40"/>
      <c r="E37" s="241"/>
      <c r="F37" s="241"/>
      <c r="G37" s="241"/>
      <c r="H37" s="244"/>
      <c r="I37" s="244"/>
      <c r="J37" s="244"/>
    </row>
    <row r="38" spans="1:10">
      <c r="A38" s="252"/>
      <c r="B38" s="241"/>
      <c r="C38" s="241"/>
      <c r="D38" s="241"/>
      <c r="E38" s="241"/>
      <c r="F38" s="241"/>
      <c r="G38" s="241"/>
      <c r="H38" s="244"/>
      <c r="I38" s="244"/>
      <c r="J38" s="244"/>
    </row>
    <row r="39" spans="1:10">
      <c r="A39" s="252"/>
      <c r="B39" s="241"/>
      <c r="C39" s="241"/>
      <c r="D39" s="1060"/>
      <c r="E39" s="241"/>
      <c r="F39" s="241"/>
      <c r="G39" s="241"/>
      <c r="H39" s="244"/>
      <c r="I39" s="244"/>
      <c r="J39" s="244"/>
    </row>
    <row r="40" spans="1:10">
      <c r="A40" s="252"/>
      <c r="B40" s="241"/>
      <c r="C40" s="241"/>
      <c r="D40" s="241"/>
      <c r="E40" s="241"/>
      <c r="F40" s="241"/>
      <c r="G40" s="241"/>
      <c r="H40" s="244"/>
      <c r="I40" s="244"/>
      <c r="J40" s="244"/>
    </row>
    <row r="41" spans="1:10">
      <c r="A41" s="252"/>
      <c r="B41" s="241"/>
      <c r="C41" s="241"/>
      <c r="D41" s="241"/>
      <c r="E41" s="241"/>
      <c r="F41" s="241"/>
      <c r="G41" s="241"/>
      <c r="H41" s="244"/>
      <c r="I41" s="244"/>
      <c r="J41" s="244"/>
    </row>
    <row r="42" spans="1:10">
      <c r="A42" s="244"/>
      <c r="B42" s="241"/>
      <c r="C42" s="241"/>
      <c r="D42" s="241"/>
      <c r="E42" s="241"/>
      <c r="F42" s="241"/>
      <c r="G42" s="241"/>
      <c r="H42" s="244"/>
      <c r="I42" s="244"/>
      <c r="J42" s="244"/>
    </row>
    <row r="43" spans="1:10">
      <c r="A43" s="244"/>
      <c r="B43" s="241"/>
      <c r="C43" s="241"/>
      <c r="D43" s="241"/>
      <c r="E43" s="241"/>
      <c r="F43" s="241"/>
      <c r="G43" s="241"/>
      <c r="H43" s="244"/>
      <c r="I43" s="244"/>
      <c r="J43" s="244"/>
    </row>
    <row r="44" spans="1:10">
      <c r="A44" s="244"/>
      <c r="B44" s="241"/>
      <c r="C44" s="241"/>
      <c r="D44" s="241"/>
      <c r="E44" s="241"/>
      <c r="F44" s="241"/>
      <c r="G44" s="241"/>
      <c r="H44" s="244"/>
      <c r="I44" s="244"/>
      <c r="J44" s="244"/>
    </row>
    <row r="45" spans="1:10">
      <c r="A45" s="244"/>
      <c r="B45" s="241"/>
      <c r="C45" s="241"/>
      <c r="D45" s="241"/>
      <c r="E45" s="241"/>
      <c r="F45" s="241"/>
      <c r="G45" s="241"/>
      <c r="H45" s="244"/>
      <c r="I45" s="244"/>
      <c r="J45" s="244"/>
    </row>
    <row r="46" spans="1:10">
      <c r="A46" s="244"/>
      <c r="B46" s="241"/>
      <c r="C46" s="241"/>
      <c r="D46" s="241"/>
      <c r="E46" s="241"/>
      <c r="F46" s="241"/>
      <c r="G46" s="241"/>
      <c r="H46" s="244"/>
      <c r="I46" s="244"/>
      <c r="J46" s="244"/>
    </row>
    <row r="47" spans="1:10">
      <c r="A47" s="244"/>
      <c r="B47" s="241"/>
      <c r="C47" s="241"/>
      <c r="D47" s="241"/>
      <c r="E47" s="241"/>
      <c r="F47" s="241"/>
      <c r="G47" s="241"/>
      <c r="H47" s="244"/>
      <c r="I47" s="244"/>
      <c r="J47" s="244"/>
    </row>
    <row r="48" spans="1:10">
      <c r="A48" s="244"/>
      <c r="B48" s="241"/>
      <c r="C48" s="241"/>
      <c r="D48" s="241"/>
      <c r="E48" s="241"/>
      <c r="F48" s="241"/>
      <c r="G48" s="241"/>
      <c r="H48" s="244"/>
      <c r="I48" s="244"/>
      <c r="J48" s="244"/>
    </row>
    <row r="51" spans="2:5">
      <c r="B51" s="236"/>
      <c r="E51" s="517"/>
    </row>
    <row r="52" spans="2:5">
      <c r="B52" s="495"/>
    </row>
    <row r="53" spans="2:5">
      <c r="B53" s="495"/>
    </row>
    <row r="54" spans="2:5">
      <c r="B54" s="495"/>
    </row>
    <row r="55" spans="2:5">
      <c r="B55" s="495"/>
    </row>
    <row r="56" spans="2:5">
      <c r="B56" s="495"/>
    </row>
    <row r="57" spans="2:5">
      <c r="B57" s="495"/>
    </row>
    <row r="58" spans="2:5">
      <c r="B58" s="495"/>
    </row>
    <row r="59" spans="2:5">
      <c r="B59" s="495"/>
    </row>
    <row r="60" spans="2:5">
      <c r="B60" s="495"/>
    </row>
    <row r="61" spans="2:5">
      <c r="B61" s="495"/>
    </row>
    <row r="62" spans="2:5">
      <c r="B62" s="495"/>
    </row>
    <row r="63" spans="2:5">
      <c r="B63" s="495"/>
    </row>
    <row r="64" spans="2:5">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row r="371" spans="2:2">
      <c r="B371" s="495"/>
    </row>
    <row r="372" spans="2:2">
      <c r="B372" s="495"/>
    </row>
    <row r="373" spans="2:2">
      <c r="B373" s="495"/>
    </row>
    <row r="374" spans="2:2">
      <c r="B374" s="495"/>
    </row>
    <row r="375" spans="2:2">
      <c r="B375" s="495"/>
    </row>
    <row r="376" spans="2:2">
      <c r="B376" s="495"/>
    </row>
    <row r="377" spans="2:2">
      <c r="B377" s="495"/>
    </row>
    <row r="378" spans="2:2">
      <c r="B378" s="495"/>
    </row>
    <row r="379" spans="2:2">
      <c r="B379" s="495"/>
    </row>
    <row r="380" spans="2:2">
      <c r="B380" s="495"/>
    </row>
    <row r="381" spans="2:2">
      <c r="B381" s="495"/>
    </row>
    <row r="382" spans="2:2">
      <c r="B382" s="495"/>
    </row>
    <row r="383" spans="2:2">
      <c r="B383" s="495"/>
    </row>
    <row r="384" spans="2:2">
      <c r="B384" s="495"/>
    </row>
    <row r="385" spans="2:2">
      <c r="B385" s="495"/>
    </row>
    <row r="386" spans="2:2">
      <c r="B386" s="495"/>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workbookViewId="0">
      <selection activeCell="F16" sqref="F16"/>
    </sheetView>
  </sheetViews>
  <sheetFormatPr defaultColWidth="8.85546875" defaultRowHeight="12.75"/>
  <cols>
    <col min="1" max="1" width="8.85546875" style="1"/>
    <col min="2" max="2" width="9.7109375" style="1" bestFit="1" customWidth="1"/>
    <col min="3" max="3" width="5.42578125" style="1" bestFit="1" customWidth="1"/>
    <col min="4" max="4" width="12.85546875" style="1" bestFit="1" customWidth="1"/>
    <col min="5" max="5" width="8" style="1" bestFit="1" customWidth="1"/>
    <col min="6" max="6" width="10" style="1" bestFit="1" customWidth="1"/>
    <col min="7" max="7" width="13.28515625" style="1" bestFit="1" customWidth="1"/>
    <col min="8" max="16384" width="8.85546875" style="1"/>
  </cols>
  <sheetData>
    <row r="1" spans="1:7">
      <c r="A1" s="17" t="str">
        <f>RevReqSummary!A1</f>
        <v>PacifiCorp General Rate Case UE-140617</v>
      </c>
      <c r="B1" s="232"/>
      <c r="C1" s="232"/>
      <c r="D1" s="232"/>
      <c r="E1" s="232"/>
      <c r="F1" s="232"/>
      <c r="G1" s="232"/>
    </row>
    <row r="2" spans="1:7">
      <c r="A2" s="17" t="str">
        <f>RevReqSummary!A2</f>
        <v>For The Twelve Months Ended December 2013 - Staff Revenue Requirement</v>
      </c>
      <c r="B2" s="232"/>
      <c r="C2" s="232"/>
      <c r="D2" s="232"/>
      <c r="E2" s="232"/>
      <c r="F2" s="232"/>
      <c r="G2" s="232"/>
    </row>
    <row r="3" spans="1:7">
      <c r="A3" s="235" t="s">
        <v>717</v>
      </c>
      <c r="B3" s="232"/>
      <c r="C3" s="232"/>
      <c r="D3" s="232"/>
      <c r="E3" s="232"/>
      <c r="F3" s="232"/>
      <c r="G3" s="232"/>
    </row>
    <row r="4" spans="1:7">
      <c r="A4" s="235" t="s">
        <v>656</v>
      </c>
      <c r="B4" s="232"/>
      <c r="C4" s="232"/>
      <c r="D4" s="232"/>
      <c r="E4" s="232"/>
      <c r="F4" s="232"/>
      <c r="G4" s="232"/>
    </row>
    <row r="5" spans="1:7">
      <c r="A5" s="1327"/>
      <c r="B5" s="232"/>
      <c r="C5" s="232"/>
      <c r="D5" s="232"/>
      <c r="E5" s="232"/>
      <c r="F5" s="232"/>
      <c r="G5" s="232"/>
    </row>
    <row r="6" spans="1:7">
      <c r="A6" s="1327"/>
      <c r="B6" s="232"/>
      <c r="C6" s="232"/>
      <c r="D6" s="232" t="s">
        <v>131</v>
      </c>
      <c r="E6" s="232" t="s">
        <v>523</v>
      </c>
      <c r="F6" s="232"/>
      <c r="G6" s="232" t="s">
        <v>236</v>
      </c>
    </row>
    <row r="7" spans="1:7">
      <c r="A7" s="1327"/>
      <c r="B7" s="236" t="s">
        <v>132</v>
      </c>
      <c r="C7" s="41" t="s">
        <v>660</v>
      </c>
      <c r="D7" s="236" t="s">
        <v>134</v>
      </c>
      <c r="E7" s="236" t="s">
        <v>135</v>
      </c>
      <c r="F7" s="236" t="s">
        <v>136</v>
      </c>
      <c r="G7" s="236" t="s">
        <v>137</v>
      </c>
    </row>
    <row r="8" spans="1:7">
      <c r="A8" s="240" t="s">
        <v>222</v>
      </c>
      <c r="B8" s="497"/>
      <c r="C8" s="163"/>
      <c r="D8" s="498"/>
      <c r="E8" s="499"/>
      <c r="F8" s="500"/>
      <c r="G8" s="501"/>
    </row>
    <row r="9" spans="1:7">
      <c r="A9" s="502"/>
      <c r="B9" s="503">
        <v>108360</v>
      </c>
      <c r="C9" s="163" t="s">
        <v>140</v>
      </c>
      <c r="D9" s="810">
        <v>-121877.53500000003</v>
      </c>
      <c r="E9" s="504" t="s">
        <v>170</v>
      </c>
      <c r="F9" s="809">
        <f t="shared" ref="F9:F40" si="0">INDEX(WCAAllocations,IFERROR(MATCH(E9,WCAFactors,0),2),IFERROR(MATCH(E9,WCAStates,0),4))</f>
        <v>0</v>
      </c>
      <c r="G9" s="501">
        <f>F9*D9</f>
        <v>0</v>
      </c>
    </row>
    <row r="10" spans="1:7">
      <c r="A10" s="502"/>
      <c r="B10" s="503">
        <v>108360</v>
      </c>
      <c r="C10" s="163" t="s">
        <v>140</v>
      </c>
      <c r="D10" s="810">
        <v>-90784.917499999923</v>
      </c>
      <c r="E10" s="504" t="s">
        <v>173</v>
      </c>
      <c r="F10" s="809">
        <f t="shared" si="0"/>
        <v>0</v>
      </c>
      <c r="G10" s="501">
        <f t="shared" ref="G10:G73" si="1">F10*D10</f>
        <v>0</v>
      </c>
    </row>
    <row r="11" spans="1:7">
      <c r="A11" s="502"/>
      <c r="B11" s="503">
        <v>108360</v>
      </c>
      <c r="C11" s="163" t="s">
        <v>140</v>
      </c>
      <c r="D11" s="810">
        <v>-219369.86624999996</v>
      </c>
      <c r="E11" s="504" t="s">
        <v>171</v>
      </c>
      <c r="F11" s="809">
        <f t="shared" si="0"/>
        <v>0</v>
      </c>
      <c r="G11" s="501">
        <f t="shared" si="1"/>
        <v>0</v>
      </c>
    </row>
    <row r="12" spans="1:7">
      <c r="A12" s="502"/>
      <c r="B12" s="503">
        <v>108360</v>
      </c>
      <c r="C12" s="163" t="s">
        <v>140</v>
      </c>
      <c r="D12" s="810">
        <v>157821.04875000007</v>
      </c>
      <c r="E12" s="504" t="s">
        <v>172</v>
      </c>
      <c r="F12" s="809">
        <f t="shared" si="0"/>
        <v>0</v>
      </c>
      <c r="G12" s="501">
        <f t="shared" si="1"/>
        <v>0</v>
      </c>
    </row>
    <row r="13" spans="1:7">
      <c r="A13" s="502"/>
      <c r="B13" s="503">
        <v>108360</v>
      </c>
      <c r="C13" s="163" t="s">
        <v>140</v>
      </c>
      <c r="D13" s="810">
        <v>-11592.558333334018</v>
      </c>
      <c r="E13" s="504" t="s">
        <v>141</v>
      </c>
      <c r="F13" s="809">
        <f t="shared" si="0"/>
        <v>1</v>
      </c>
      <c r="G13" s="501">
        <f t="shared" si="1"/>
        <v>-11592.558333334018</v>
      </c>
    </row>
    <row r="14" spans="1:7">
      <c r="A14" s="244"/>
      <c r="B14" s="503">
        <v>108360</v>
      </c>
      <c r="C14" s="503" t="s">
        <v>140</v>
      </c>
      <c r="D14" s="810">
        <v>-122758.32624999993</v>
      </c>
      <c r="E14" s="504" t="s">
        <v>517</v>
      </c>
      <c r="F14" s="809">
        <f t="shared" si="0"/>
        <v>0</v>
      </c>
      <c r="G14" s="501">
        <f t="shared" si="1"/>
        <v>0</v>
      </c>
    </row>
    <row r="15" spans="1:7">
      <c r="A15" s="244"/>
      <c r="B15" s="503">
        <v>108360</v>
      </c>
      <c r="C15" s="503" t="s">
        <v>140</v>
      </c>
      <c r="D15" s="810">
        <v>-76970.400000000023</v>
      </c>
      <c r="E15" s="504" t="s">
        <v>517</v>
      </c>
      <c r="F15" s="809">
        <f t="shared" si="0"/>
        <v>0</v>
      </c>
      <c r="G15" s="501">
        <f t="shared" si="1"/>
        <v>0</v>
      </c>
    </row>
    <row r="16" spans="1:7">
      <c r="A16" s="502"/>
      <c r="B16" s="503">
        <v>108361</v>
      </c>
      <c r="C16" s="163" t="s">
        <v>140</v>
      </c>
      <c r="D16" s="810">
        <v>-170569.79458333401</v>
      </c>
      <c r="E16" s="504" t="s">
        <v>170</v>
      </c>
      <c r="F16" s="809">
        <f t="shared" si="0"/>
        <v>0</v>
      </c>
      <c r="G16" s="501">
        <f t="shared" si="1"/>
        <v>0</v>
      </c>
    </row>
    <row r="17" spans="1:7">
      <c r="A17" s="502"/>
      <c r="B17" s="503">
        <v>108361</v>
      </c>
      <c r="C17" s="163" t="s">
        <v>140</v>
      </c>
      <c r="D17" s="810">
        <v>-97256.806666667049</v>
      </c>
      <c r="E17" s="504" t="s">
        <v>173</v>
      </c>
      <c r="F17" s="809">
        <f t="shared" si="0"/>
        <v>0</v>
      </c>
      <c r="G17" s="501">
        <f t="shared" si="1"/>
        <v>0</v>
      </c>
    </row>
    <row r="18" spans="1:7">
      <c r="A18" s="502"/>
      <c r="B18" s="503">
        <v>108361</v>
      </c>
      <c r="C18" s="163" t="s">
        <v>140</v>
      </c>
      <c r="D18" s="810">
        <v>-1248885.3704166701</v>
      </c>
      <c r="E18" s="504" t="s">
        <v>171</v>
      </c>
      <c r="F18" s="809">
        <f t="shared" si="0"/>
        <v>0</v>
      </c>
      <c r="G18" s="501">
        <f t="shared" si="1"/>
        <v>0</v>
      </c>
    </row>
    <row r="19" spans="1:7">
      <c r="A19" s="502"/>
      <c r="B19" s="503">
        <v>108361</v>
      </c>
      <c r="C19" s="163" t="s">
        <v>140</v>
      </c>
      <c r="D19" s="810">
        <v>-903054.27458333969</v>
      </c>
      <c r="E19" s="504" t="s">
        <v>172</v>
      </c>
      <c r="F19" s="809">
        <f t="shared" si="0"/>
        <v>0</v>
      </c>
      <c r="G19" s="501">
        <f t="shared" si="1"/>
        <v>0</v>
      </c>
    </row>
    <row r="20" spans="1:7">
      <c r="A20" s="502"/>
      <c r="B20" s="503">
        <v>108361</v>
      </c>
      <c r="C20" s="163" t="s">
        <v>140</v>
      </c>
      <c r="D20" s="810">
        <v>-165281.29916666704</v>
      </c>
      <c r="E20" s="504" t="s">
        <v>141</v>
      </c>
      <c r="F20" s="809">
        <f t="shared" si="0"/>
        <v>1</v>
      </c>
      <c r="G20" s="501">
        <f t="shared" si="1"/>
        <v>-165281.29916666704</v>
      </c>
    </row>
    <row r="21" spans="1:7">
      <c r="A21" s="244"/>
      <c r="B21" s="503">
        <v>108361</v>
      </c>
      <c r="C21" s="503" t="s">
        <v>140</v>
      </c>
      <c r="D21" s="810">
        <v>-310263.91916666972</v>
      </c>
      <c r="E21" s="504" t="s">
        <v>517</v>
      </c>
      <c r="F21" s="809">
        <f t="shared" si="0"/>
        <v>0</v>
      </c>
      <c r="G21" s="501">
        <f t="shared" si="1"/>
        <v>0</v>
      </c>
    </row>
    <row r="22" spans="1:7">
      <c r="A22" s="244"/>
      <c r="B22" s="503">
        <v>108361</v>
      </c>
      <c r="C22" s="503" t="s">
        <v>140</v>
      </c>
      <c r="D22" s="810">
        <v>-31022.361666667013</v>
      </c>
      <c r="E22" s="504" t="s">
        <v>517</v>
      </c>
      <c r="F22" s="809">
        <f t="shared" si="0"/>
        <v>0</v>
      </c>
      <c r="G22" s="501">
        <f t="shared" si="1"/>
        <v>0</v>
      </c>
    </row>
    <row r="23" spans="1:7">
      <c r="A23" s="506"/>
      <c r="B23" s="503">
        <v>108362</v>
      </c>
      <c r="C23" s="503" t="s">
        <v>140</v>
      </c>
      <c r="D23" s="810">
        <v>-1080779.1687500002</v>
      </c>
      <c r="E23" s="504" t="s">
        <v>170</v>
      </c>
      <c r="F23" s="809">
        <f t="shared" si="0"/>
        <v>0</v>
      </c>
      <c r="G23" s="501">
        <f t="shared" si="1"/>
        <v>0</v>
      </c>
    </row>
    <row r="24" spans="1:7">
      <c r="A24" s="490"/>
      <c r="B24" s="503">
        <v>108362</v>
      </c>
      <c r="C24" s="503" t="s">
        <v>140</v>
      </c>
      <c r="D24" s="810">
        <v>-2317827.4554166701</v>
      </c>
      <c r="E24" s="504" t="s">
        <v>173</v>
      </c>
      <c r="F24" s="809">
        <f t="shared" si="0"/>
        <v>0</v>
      </c>
      <c r="G24" s="501">
        <f t="shared" si="1"/>
        <v>0</v>
      </c>
    </row>
    <row r="25" spans="1:7">
      <c r="A25" s="507"/>
      <c r="B25" s="508">
        <v>108362</v>
      </c>
      <c r="C25" s="508" t="s">
        <v>140</v>
      </c>
      <c r="D25" s="810">
        <v>-6850560.0700000003</v>
      </c>
      <c r="E25" s="504" t="s">
        <v>171</v>
      </c>
      <c r="F25" s="809">
        <f t="shared" si="0"/>
        <v>0</v>
      </c>
      <c r="G25" s="501">
        <f t="shared" si="1"/>
        <v>0</v>
      </c>
    </row>
    <row r="26" spans="1:7">
      <c r="A26" s="507"/>
      <c r="B26" s="508">
        <v>108362</v>
      </c>
      <c r="C26" s="508" t="s">
        <v>140</v>
      </c>
      <c r="D26" s="810">
        <v>-4695348.8329167068</v>
      </c>
      <c r="E26" s="504" t="s">
        <v>172</v>
      </c>
      <c r="F26" s="809">
        <f t="shared" si="0"/>
        <v>0</v>
      </c>
      <c r="G26" s="501">
        <f t="shared" si="1"/>
        <v>0</v>
      </c>
    </row>
    <row r="27" spans="1:7">
      <c r="A27" s="507"/>
      <c r="B27" s="508">
        <v>108362</v>
      </c>
      <c r="C27" s="508" t="s">
        <v>140</v>
      </c>
      <c r="D27" s="810">
        <v>-1845519.1083334014</v>
      </c>
      <c r="E27" s="504" t="s">
        <v>141</v>
      </c>
      <c r="F27" s="809">
        <f t="shared" si="0"/>
        <v>1</v>
      </c>
      <c r="G27" s="501">
        <f t="shared" si="1"/>
        <v>-1845519.1083334014</v>
      </c>
    </row>
    <row r="28" spans="1:7">
      <c r="A28" s="507"/>
      <c r="B28" s="508">
        <v>108362</v>
      </c>
      <c r="C28" s="508" t="s">
        <v>140</v>
      </c>
      <c r="D28" s="810">
        <v>7335196.7137500048</v>
      </c>
      <c r="E28" s="504" t="s">
        <v>517</v>
      </c>
      <c r="F28" s="809">
        <f t="shared" si="0"/>
        <v>0</v>
      </c>
      <c r="G28" s="501">
        <f t="shared" si="1"/>
        <v>0</v>
      </c>
    </row>
    <row r="29" spans="1:7">
      <c r="A29" s="507"/>
      <c r="B29" s="508">
        <v>108362</v>
      </c>
      <c r="C29" s="508" t="s">
        <v>140</v>
      </c>
      <c r="D29" s="810">
        <v>454711.31541666016</v>
      </c>
      <c r="E29" s="504" t="s">
        <v>517</v>
      </c>
      <c r="F29" s="809">
        <f t="shared" si="0"/>
        <v>0</v>
      </c>
      <c r="G29" s="501">
        <f t="shared" si="1"/>
        <v>0</v>
      </c>
    </row>
    <row r="30" spans="1:7">
      <c r="A30" s="507"/>
      <c r="B30" s="508">
        <v>108364</v>
      </c>
      <c r="C30" s="508" t="s">
        <v>140</v>
      </c>
      <c r="D30" s="810">
        <v>-1197171.0266667008</v>
      </c>
      <c r="E30" s="504" t="s">
        <v>170</v>
      </c>
      <c r="F30" s="809">
        <f t="shared" si="0"/>
        <v>0</v>
      </c>
      <c r="G30" s="501">
        <f t="shared" si="1"/>
        <v>0</v>
      </c>
    </row>
    <row r="31" spans="1:7">
      <c r="A31" s="507"/>
      <c r="B31" s="508">
        <v>108364</v>
      </c>
      <c r="C31" s="508" t="s">
        <v>140</v>
      </c>
      <c r="D31" s="810">
        <v>11678152.643750004</v>
      </c>
      <c r="E31" s="504" t="s">
        <v>173</v>
      </c>
      <c r="F31" s="809">
        <f t="shared" si="0"/>
        <v>0</v>
      </c>
      <c r="G31" s="501">
        <f t="shared" si="1"/>
        <v>0</v>
      </c>
    </row>
    <row r="32" spans="1:7">
      <c r="A32" s="507"/>
      <c r="B32" s="508">
        <v>108364</v>
      </c>
      <c r="C32" s="508" t="s">
        <v>140</v>
      </c>
      <c r="D32" s="810">
        <v>8693889.5754159987</v>
      </c>
      <c r="E32" s="504" t="s">
        <v>171</v>
      </c>
      <c r="F32" s="809">
        <f t="shared" si="0"/>
        <v>0</v>
      </c>
      <c r="G32" s="501">
        <f t="shared" si="1"/>
        <v>0</v>
      </c>
    </row>
    <row r="33" spans="1:7">
      <c r="A33" s="507"/>
      <c r="B33" s="508">
        <v>108364</v>
      </c>
      <c r="C33" s="508" t="s">
        <v>140</v>
      </c>
      <c r="D33" s="810">
        <v>50645941.425415993</v>
      </c>
      <c r="E33" s="504" t="s">
        <v>172</v>
      </c>
      <c r="F33" s="809">
        <f t="shared" si="0"/>
        <v>0</v>
      </c>
      <c r="G33" s="501">
        <f t="shared" si="1"/>
        <v>0</v>
      </c>
    </row>
    <row r="34" spans="1:7">
      <c r="A34" s="507"/>
      <c r="B34" s="508">
        <v>108364</v>
      </c>
      <c r="C34" s="508" t="s">
        <v>140</v>
      </c>
      <c r="D34" s="810">
        <v>-3086593.8200000003</v>
      </c>
      <c r="E34" s="504" t="s">
        <v>141</v>
      </c>
      <c r="F34" s="809">
        <f t="shared" si="0"/>
        <v>1</v>
      </c>
      <c r="G34" s="501">
        <f t="shared" si="1"/>
        <v>-3086593.8200000003</v>
      </c>
    </row>
    <row r="35" spans="1:7">
      <c r="A35" s="510"/>
      <c r="B35" s="511">
        <v>108364</v>
      </c>
      <c r="C35" s="511" t="s">
        <v>140</v>
      </c>
      <c r="D35" s="810">
        <v>-12200131.032916702</v>
      </c>
      <c r="E35" s="504" t="s">
        <v>517</v>
      </c>
      <c r="F35" s="809">
        <f t="shared" si="0"/>
        <v>0</v>
      </c>
      <c r="G35" s="501">
        <f t="shared" si="1"/>
        <v>0</v>
      </c>
    </row>
    <row r="36" spans="1:7">
      <c r="A36" s="507"/>
      <c r="B36" s="508">
        <v>108364</v>
      </c>
      <c r="C36" s="508" t="s">
        <v>140</v>
      </c>
      <c r="D36" s="810">
        <v>-3046153.8620833401</v>
      </c>
      <c r="E36" s="504" t="s">
        <v>517</v>
      </c>
      <c r="F36" s="809">
        <f t="shared" si="0"/>
        <v>0</v>
      </c>
      <c r="G36" s="501">
        <f t="shared" si="1"/>
        <v>0</v>
      </c>
    </row>
    <row r="37" spans="1:7">
      <c r="A37" s="507"/>
      <c r="B37" s="508">
        <v>108365</v>
      </c>
      <c r="C37" s="508" t="s">
        <v>140</v>
      </c>
      <c r="D37" s="810">
        <v>-2926023.620000001</v>
      </c>
      <c r="E37" s="504" t="s">
        <v>170</v>
      </c>
      <c r="F37" s="809">
        <f t="shared" si="0"/>
        <v>0</v>
      </c>
      <c r="G37" s="501">
        <f t="shared" si="1"/>
        <v>0</v>
      </c>
    </row>
    <row r="38" spans="1:7">
      <c r="A38" s="507"/>
      <c r="B38" s="508">
        <v>108365</v>
      </c>
      <c r="C38" s="508" t="s">
        <v>140</v>
      </c>
      <c r="D38" s="810">
        <v>404905.6245833002</v>
      </c>
      <c r="E38" s="504" t="s">
        <v>173</v>
      </c>
      <c r="F38" s="809">
        <f t="shared" si="0"/>
        <v>0</v>
      </c>
      <c r="G38" s="501">
        <f t="shared" si="1"/>
        <v>0</v>
      </c>
    </row>
    <row r="39" spans="1:7">
      <c r="A39" s="507"/>
      <c r="B39" s="508">
        <v>108365</v>
      </c>
      <c r="C39" s="508" t="s">
        <v>140</v>
      </c>
      <c r="D39" s="810">
        <v>22013298.810833007</v>
      </c>
      <c r="E39" s="504" t="s">
        <v>171</v>
      </c>
      <c r="F39" s="809">
        <f t="shared" si="0"/>
        <v>0</v>
      </c>
      <c r="G39" s="501">
        <f t="shared" si="1"/>
        <v>0</v>
      </c>
    </row>
    <row r="40" spans="1:7">
      <c r="A40" s="507"/>
      <c r="B40" s="508">
        <v>108365</v>
      </c>
      <c r="C40" s="508" t="s">
        <v>140</v>
      </c>
      <c r="D40" s="810">
        <v>3583788.4845833033</v>
      </c>
      <c r="E40" s="504" t="s">
        <v>172</v>
      </c>
      <c r="F40" s="809">
        <f t="shared" si="0"/>
        <v>0</v>
      </c>
      <c r="G40" s="501">
        <f t="shared" si="1"/>
        <v>0</v>
      </c>
    </row>
    <row r="41" spans="1:7">
      <c r="A41" s="507"/>
      <c r="B41" s="508">
        <v>108365</v>
      </c>
      <c r="C41" s="508" t="s">
        <v>140</v>
      </c>
      <c r="D41" s="810">
        <v>2012128.2804165967</v>
      </c>
      <c r="E41" s="504" t="s">
        <v>141</v>
      </c>
      <c r="F41" s="809">
        <f t="shared" ref="F41:F72" si="2">INDEX(WCAAllocations,IFERROR(MATCH(E41,WCAFactors,0),2),IFERROR(MATCH(E41,WCAStates,0),4))</f>
        <v>1</v>
      </c>
      <c r="G41" s="501">
        <f t="shared" si="1"/>
        <v>2012128.2804165967</v>
      </c>
    </row>
    <row r="42" spans="1:7">
      <c r="A42" s="507"/>
      <c r="B42" s="508">
        <v>108365</v>
      </c>
      <c r="C42" s="508" t="s">
        <v>140</v>
      </c>
      <c r="D42" s="810">
        <v>5406521.071666602</v>
      </c>
      <c r="E42" s="504" t="s">
        <v>517</v>
      </c>
      <c r="F42" s="809">
        <f t="shared" si="2"/>
        <v>0</v>
      </c>
      <c r="G42" s="501">
        <f t="shared" si="1"/>
        <v>0</v>
      </c>
    </row>
    <row r="43" spans="1:7">
      <c r="A43" s="507"/>
      <c r="B43" s="508">
        <v>108365</v>
      </c>
      <c r="C43" s="508" t="s">
        <v>140</v>
      </c>
      <c r="D43" s="810">
        <v>632742.02916666027</v>
      </c>
      <c r="E43" s="504" t="s">
        <v>517</v>
      </c>
      <c r="F43" s="809">
        <f t="shared" si="2"/>
        <v>0</v>
      </c>
      <c r="G43" s="501">
        <f t="shared" si="1"/>
        <v>0</v>
      </c>
    </row>
    <row r="44" spans="1:7">
      <c r="A44" s="507"/>
      <c r="B44" s="508">
        <v>108366</v>
      </c>
      <c r="C44" s="508" t="s">
        <v>140</v>
      </c>
      <c r="D44" s="810">
        <v>-1005540.6058333404</v>
      </c>
      <c r="E44" s="504" t="s">
        <v>170</v>
      </c>
      <c r="F44" s="809">
        <f t="shared" si="2"/>
        <v>0</v>
      </c>
      <c r="G44" s="501">
        <f t="shared" si="1"/>
        <v>0</v>
      </c>
    </row>
    <row r="45" spans="1:7">
      <c r="A45" s="507"/>
      <c r="B45" s="508">
        <v>108366</v>
      </c>
      <c r="C45" s="508" t="s">
        <v>140</v>
      </c>
      <c r="D45" s="810">
        <v>-539437.42166667012</v>
      </c>
      <c r="E45" s="504" t="s">
        <v>173</v>
      </c>
      <c r="F45" s="809">
        <f t="shared" si="2"/>
        <v>0</v>
      </c>
      <c r="G45" s="501">
        <f t="shared" si="1"/>
        <v>0</v>
      </c>
    </row>
    <row r="46" spans="1:7">
      <c r="A46" s="509"/>
      <c r="B46" s="511">
        <v>108366</v>
      </c>
      <c r="C46" s="511" t="s">
        <v>140</v>
      </c>
      <c r="D46" s="810">
        <v>2332770.8816666007</v>
      </c>
      <c r="E46" s="504" t="s">
        <v>171</v>
      </c>
      <c r="F46" s="809">
        <f t="shared" si="2"/>
        <v>0</v>
      </c>
      <c r="G46" s="501">
        <f t="shared" si="1"/>
        <v>0</v>
      </c>
    </row>
    <row r="47" spans="1:7">
      <c r="A47" s="507"/>
      <c r="B47" s="508">
        <v>108366</v>
      </c>
      <c r="C47" s="508" t="s">
        <v>140</v>
      </c>
      <c r="D47" s="810">
        <v>-8802631.4295834005</v>
      </c>
      <c r="E47" s="504" t="s">
        <v>172</v>
      </c>
      <c r="F47" s="809">
        <f t="shared" si="2"/>
        <v>0</v>
      </c>
      <c r="G47" s="501">
        <f t="shared" si="1"/>
        <v>0</v>
      </c>
    </row>
    <row r="48" spans="1:7">
      <c r="A48" s="507"/>
      <c r="B48" s="508">
        <v>108366</v>
      </c>
      <c r="C48" s="508" t="s">
        <v>140</v>
      </c>
      <c r="D48" s="810">
        <v>2799763.4337499999</v>
      </c>
      <c r="E48" s="504" t="s">
        <v>141</v>
      </c>
      <c r="F48" s="809">
        <f t="shared" si="2"/>
        <v>1</v>
      </c>
      <c r="G48" s="501">
        <f t="shared" si="1"/>
        <v>2799763.4337499999</v>
      </c>
    </row>
    <row r="49" spans="1:7">
      <c r="A49" s="507"/>
      <c r="B49" s="508">
        <v>108366</v>
      </c>
      <c r="C49" s="508" t="s">
        <v>140</v>
      </c>
      <c r="D49" s="810">
        <v>585069.06458333042</v>
      </c>
      <c r="E49" s="504" t="s">
        <v>517</v>
      </c>
      <c r="F49" s="809">
        <f t="shared" si="2"/>
        <v>0</v>
      </c>
      <c r="G49" s="501">
        <f t="shared" si="1"/>
        <v>0</v>
      </c>
    </row>
    <row r="50" spans="1:7">
      <c r="A50" s="507"/>
      <c r="B50" s="508">
        <v>108366</v>
      </c>
      <c r="C50" s="508" t="s">
        <v>140</v>
      </c>
      <c r="D50" s="810">
        <v>196566.46125000017</v>
      </c>
      <c r="E50" s="504" t="s">
        <v>517</v>
      </c>
      <c r="F50" s="809">
        <f t="shared" si="2"/>
        <v>0</v>
      </c>
      <c r="G50" s="501">
        <f t="shared" si="1"/>
        <v>0</v>
      </c>
    </row>
    <row r="51" spans="1:7">
      <c r="A51" s="507"/>
      <c r="B51" s="508">
        <v>108367</v>
      </c>
      <c r="C51" s="508" t="s">
        <v>140</v>
      </c>
      <c r="D51" s="810">
        <v>3814230.2225000001</v>
      </c>
      <c r="E51" s="504" t="s">
        <v>170</v>
      </c>
      <c r="F51" s="809">
        <f t="shared" si="2"/>
        <v>0</v>
      </c>
      <c r="G51" s="501">
        <f t="shared" si="1"/>
        <v>0</v>
      </c>
    </row>
    <row r="52" spans="1:7">
      <c r="A52" s="507"/>
      <c r="B52" s="508">
        <v>108367</v>
      </c>
      <c r="C52" s="508" t="s">
        <v>140</v>
      </c>
      <c r="D52" s="810">
        <v>-2118090.5341667011</v>
      </c>
      <c r="E52" s="504" t="s">
        <v>173</v>
      </c>
      <c r="F52" s="809">
        <f t="shared" si="2"/>
        <v>0</v>
      </c>
      <c r="G52" s="501">
        <f t="shared" si="1"/>
        <v>0</v>
      </c>
    </row>
    <row r="53" spans="1:7">
      <c r="A53" s="507"/>
      <c r="B53" s="508">
        <v>108367</v>
      </c>
      <c r="C53" s="508" t="s">
        <v>140</v>
      </c>
      <c r="D53" s="810">
        <v>-4855415.4245834053</v>
      </c>
      <c r="E53" s="504" t="s">
        <v>171</v>
      </c>
      <c r="F53" s="809">
        <f t="shared" si="2"/>
        <v>0</v>
      </c>
      <c r="G53" s="501">
        <f t="shared" si="1"/>
        <v>0</v>
      </c>
    </row>
    <row r="54" spans="1:7">
      <c r="A54" s="507"/>
      <c r="B54" s="508">
        <v>108367</v>
      </c>
      <c r="C54" s="508" t="s">
        <v>140</v>
      </c>
      <c r="D54" s="810">
        <v>-19011433.583333999</v>
      </c>
      <c r="E54" s="504" t="s">
        <v>172</v>
      </c>
      <c r="F54" s="809">
        <f t="shared" si="2"/>
        <v>0</v>
      </c>
      <c r="G54" s="501">
        <f t="shared" si="1"/>
        <v>0</v>
      </c>
    </row>
    <row r="55" spans="1:7">
      <c r="A55" s="507"/>
      <c r="B55" s="508">
        <v>108367</v>
      </c>
      <c r="C55" s="508" t="s">
        <v>140</v>
      </c>
      <c r="D55" s="810">
        <v>-30739.164166700095</v>
      </c>
      <c r="E55" s="504" t="s">
        <v>141</v>
      </c>
      <c r="F55" s="809">
        <f t="shared" si="2"/>
        <v>1</v>
      </c>
      <c r="G55" s="501">
        <f t="shared" si="1"/>
        <v>-30739.164166700095</v>
      </c>
    </row>
    <row r="56" spans="1:7">
      <c r="A56" s="507"/>
      <c r="B56" s="508">
        <v>108367</v>
      </c>
      <c r="C56" s="508" t="s">
        <v>140</v>
      </c>
      <c r="D56" s="810">
        <v>304725.389166601</v>
      </c>
      <c r="E56" s="504" t="s">
        <v>517</v>
      </c>
      <c r="F56" s="809">
        <f t="shared" si="2"/>
        <v>0</v>
      </c>
      <c r="G56" s="501">
        <f t="shared" si="1"/>
        <v>0</v>
      </c>
    </row>
    <row r="57" spans="1:7">
      <c r="A57" s="490"/>
      <c r="B57" s="503">
        <v>108367</v>
      </c>
      <c r="C57" s="503" t="s">
        <v>140</v>
      </c>
      <c r="D57" s="810">
        <v>283371.55208330043</v>
      </c>
      <c r="E57" s="504" t="s">
        <v>517</v>
      </c>
      <c r="F57" s="809">
        <f t="shared" si="2"/>
        <v>0</v>
      </c>
      <c r="G57" s="501">
        <f t="shared" si="1"/>
        <v>0</v>
      </c>
    </row>
    <row r="58" spans="1:7">
      <c r="A58" s="507"/>
      <c r="B58" s="508">
        <v>108368</v>
      </c>
      <c r="C58" s="508" t="s">
        <v>140</v>
      </c>
      <c r="D58" s="810">
        <v>-1420649.3299999982</v>
      </c>
      <c r="E58" s="504" t="s">
        <v>170</v>
      </c>
      <c r="F58" s="809">
        <f t="shared" si="2"/>
        <v>0</v>
      </c>
      <c r="G58" s="501">
        <f t="shared" si="1"/>
        <v>0</v>
      </c>
    </row>
    <row r="59" spans="1:7">
      <c r="A59" s="507"/>
      <c r="B59" s="508">
        <v>108368</v>
      </c>
      <c r="C59" s="508" t="s">
        <v>140</v>
      </c>
      <c r="D59" s="810">
        <v>-3323607.4658333994</v>
      </c>
      <c r="E59" s="504" t="s">
        <v>173</v>
      </c>
      <c r="F59" s="809">
        <f t="shared" si="2"/>
        <v>0</v>
      </c>
      <c r="G59" s="501">
        <f t="shared" si="1"/>
        <v>0</v>
      </c>
    </row>
    <row r="60" spans="1:7">
      <c r="A60" s="507"/>
      <c r="B60" s="508">
        <v>108368</v>
      </c>
      <c r="C60" s="508" t="s">
        <v>140</v>
      </c>
      <c r="D60" s="810">
        <v>-18479787.881249994</v>
      </c>
      <c r="E60" s="504" t="s">
        <v>171</v>
      </c>
      <c r="F60" s="809">
        <f t="shared" si="2"/>
        <v>0</v>
      </c>
      <c r="G60" s="501">
        <f t="shared" si="1"/>
        <v>0</v>
      </c>
    </row>
    <row r="61" spans="1:7">
      <c r="A61" s="507"/>
      <c r="B61" s="508">
        <v>108368</v>
      </c>
      <c r="C61" s="508" t="s">
        <v>140</v>
      </c>
      <c r="D61" s="810">
        <v>-14912801.443333402</v>
      </c>
      <c r="E61" s="504" t="s">
        <v>172</v>
      </c>
      <c r="F61" s="809">
        <f t="shared" si="2"/>
        <v>0</v>
      </c>
      <c r="G61" s="501">
        <f t="shared" si="1"/>
        <v>0</v>
      </c>
    </row>
    <row r="62" spans="1:7">
      <c r="A62" s="507"/>
      <c r="B62" s="508">
        <v>108368</v>
      </c>
      <c r="C62" s="508" t="s">
        <v>140</v>
      </c>
      <c r="D62" s="810">
        <v>-3083904.0633333996</v>
      </c>
      <c r="E62" s="504" t="s">
        <v>141</v>
      </c>
      <c r="F62" s="809">
        <f t="shared" si="2"/>
        <v>1</v>
      </c>
      <c r="G62" s="501">
        <f t="shared" si="1"/>
        <v>-3083904.0633333996</v>
      </c>
    </row>
    <row r="63" spans="1:7">
      <c r="A63" s="507"/>
      <c r="B63" s="508">
        <v>108368</v>
      </c>
      <c r="C63" s="508" t="s">
        <v>140</v>
      </c>
      <c r="D63" s="810">
        <v>-3907433.4175000004</v>
      </c>
      <c r="E63" s="504" t="s">
        <v>517</v>
      </c>
      <c r="F63" s="809">
        <f t="shared" si="2"/>
        <v>0</v>
      </c>
      <c r="G63" s="501">
        <f t="shared" si="1"/>
        <v>0</v>
      </c>
    </row>
    <row r="64" spans="1:7">
      <c r="A64" s="507"/>
      <c r="B64" s="508">
        <v>108368</v>
      </c>
      <c r="C64" s="508" t="s">
        <v>140</v>
      </c>
      <c r="D64" s="810">
        <v>-624328.48208334018</v>
      </c>
      <c r="E64" s="504" t="s">
        <v>517</v>
      </c>
      <c r="F64" s="809">
        <f t="shared" si="2"/>
        <v>0</v>
      </c>
      <c r="G64" s="501">
        <f t="shared" si="1"/>
        <v>0</v>
      </c>
    </row>
    <row r="65" spans="1:7">
      <c r="A65" s="507"/>
      <c r="B65" s="508">
        <v>108369</v>
      </c>
      <c r="C65" s="508" t="s">
        <v>140</v>
      </c>
      <c r="D65" s="810">
        <v>2817932.6749999998</v>
      </c>
      <c r="E65" s="504" t="s">
        <v>170</v>
      </c>
      <c r="F65" s="809">
        <f t="shared" si="2"/>
        <v>0</v>
      </c>
      <c r="G65" s="501">
        <f t="shared" si="1"/>
        <v>0</v>
      </c>
    </row>
    <row r="66" spans="1:7">
      <c r="A66" s="507"/>
      <c r="B66" s="508">
        <v>108369</v>
      </c>
      <c r="C66" s="508" t="s">
        <v>140</v>
      </c>
      <c r="D66" s="810">
        <v>-3401108.8350000009</v>
      </c>
      <c r="E66" s="504" t="s">
        <v>173</v>
      </c>
      <c r="F66" s="809">
        <f t="shared" si="2"/>
        <v>0</v>
      </c>
      <c r="G66" s="501">
        <f t="shared" si="1"/>
        <v>0</v>
      </c>
    </row>
    <row r="67" spans="1:7">
      <c r="A67" s="507"/>
      <c r="B67" s="508">
        <v>108369</v>
      </c>
      <c r="C67" s="508" t="s">
        <v>140</v>
      </c>
      <c r="D67" s="810">
        <v>-22559155.562916711</v>
      </c>
      <c r="E67" s="504" t="s">
        <v>171</v>
      </c>
      <c r="F67" s="809">
        <f t="shared" si="2"/>
        <v>0</v>
      </c>
      <c r="G67" s="501">
        <f t="shared" si="1"/>
        <v>0</v>
      </c>
    </row>
    <row r="68" spans="1:7">
      <c r="A68" s="490"/>
      <c r="B68" s="503">
        <v>108369</v>
      </c>
      <c r="C68" s="503" t="s">
        <v>140</v>
      </c>
      <c r="D68" s="810">
        <v>-19840915.263333403</v>
      </c>
      <c r="E68" s="504" t="s">
        <v>172</v>
      </c>
      <c r="F68" s="809">
        <f t="shared" si="2"/>
        <v>0</v>
      </c>
      <c r="G68" s="501">
        <f t="shared" si="1"/>
        <v>0</v>
      </c>
    </row>
    <row r="69" spans="1:7">
      <c r="A69" s="507"/>
      <c r="B69" s="508">
        <v>108369</v>
      </c>
      <c r="C69" s="508" t="s">
        <v>140</v>
      </c>
      <c r="D69" s="810">
        <v>-2050473.5975000001</v>
      </c>
      <c r="E69" s="504" t="s">
        <v>141</v>
      </c>
      <c r="F69" s="809">
        <f t="shared" si="2"/>
        <v>1</v>
      </c>
      <c r="G69" s="501">
        <f t="shared" si="1"/>
        <v>-2050473.5975000001</v>
      </c>
    </row>
    <row r="70" spans="1:7">
      <c r="A70" s="507"/>
      <c r="B70" s="508">
        <v>108369</v>
      </c>
      <c r="C70" s="508" t="s">
        <v>140</v>
      </c>
      <c r="D70" s="810">
        <v>-351756.77583339997</v>
      </c>
      <c r="E70" s="504" t="s">
        <v>517</v>
      </c>
      <c r="F70" s="809">
        <f t="shared" si="2"/>
        <v>0</v>
      </c>
      <c r="G70" s="501">
        <f t="shared" si="1"/>
        <v>0</v>
      </c>
    </row>
    <row r="71" spans="1:7">
      <c r="A71" s="507"/>
      <c r="B71" s="508">
        <v>108369</v>
      </c>
      <c r="C71" s="508" t="s">
        <v>140</v>
      </c>
      <c r="D71" s="810">
        <v>-70646.923750000075</v>
      </c>
      <c r="E71" s="504" t="s">
        <v>517</v>
      </c>
      <c r="F71" s="809">
        <f t="shared" si="2"/>
        <v>0</v>
      </c>
      <c r="G71" s="501">
        <f t="shared" si="1"/>
        <v>0</v>
      </c>
    </row>
    <row r="72" spans="1:7">
      <c r="A72" s="507"/>
      <c r="B72" s="508">
        <v>108370</v>
      </c>
      <c r="C72" s="508" t="s">
        <v>140</v>
      </c>
      <c r="D72" s="810">
        <v>-351915.78500000015</v>
      </c>
      <c r="E72" s="504" t="s">
        <v>170</v>
      </c>
      <c r="F72" s="809">
        <f t="shared" si="2"/>
        <v>0</v>
      </c>
      <c r="G72" s="501">
        <f t="shared" si="1"/>
        <v>0</v>
      </c>
    </row>
    <row r="73" spans="1:7">
      <c r="A73" s="507"/>
      <c r="B73" s="508">
        <v>108370</v>
      </c>
      <c r="C73" s="508" t="s">
        <v>140</v>
      </c>
      <c r="D73" s="810">
        <v>-2633724.4645833392</v>
      </c>
      <c r="E73" s="504" t="s">
        <v>173</v>
      </c>
      <c r="F73" s="809">
        <f t="shared" ref="F73:F92" si="3">INDEX(WCAAllocations,IFERROR(MATCH(E73,WCAFactors,0),2),IFERROR(MATCH(E73,WCAStates,0),4))</f>
        <v>0</v>
      </c>
      <c r="G73" s="501">
        <f t="shared" si="1"/>
        <v>0</v>
      </c>
    </row>
    <row r="74" spans="1:7">
      <c r="A74" s="507"/>
      <c r="B74" s="508">
        <v>108370</v>
      </c>
      <c r="C74" s="508" t="s">
        <v>140</v>
      </c>
      <c r="D74" s="810">
        <v>2051312.5233332999</v>
      </c>
      <c r="E74" s="504" t="s">
        <v>171</v>
      </c>
      <c r="F74" s="809">
        <f t="shared" si="3"/>
        <v>0</v>
      </c>
      <c r="G74" s="501">
        <f t="shared" ref="G74:G92" si="4">F74*D74</f>
        <v>0</v>
      </c>
    </row>
    <row r="75" spans="1:7">
      <c r="A75" s="507"/>
      <c r="B75" s="508">
        <v>108370</v>
      </c>
      <c r="C75" s="508" t="s">
        <v>140</v>
      </c>
      <c r="D75" s="810">
        <v>-6649210.9641667008</v>
      </c>
      <c r="E75" s="504" t="s">
        <v>172</v>
      </c>
      <c r="F75" s="809">
        <f t="shared" si="3"/>
        <v>0</v>
      </c>
      <c r="G75" s="501">
        <f t="shared" si="4"/>
        <v>0</v>
      </c>
    </row>
    <row r="76" spans="1:7">
      <c r="A76" s="507"/>
      <c r="B76" s="508">
        <v>108370</v>
      </c>
      <c r="C76" s="508" t="s">
        <v>140</v>
      </c>
      <c r="D76" s="810">
        <v>-509360.40166667011</v>
      </c>
      <c r="E76" s="504" t="s">
        <v>141</v>
      </c>
      <c r="F76" s="809">
        <f t="shared" si="3"/>
        <v>1</v>
      </c>
      <c r="G76" s="501">
        <f t="shared" si="4"/>
        <v>-509360.40166667011</v>
      </c>
    </row>
    <row r="77" spans="1:7">
      <c r="A77" s="507"/>
      <c r="B77" s="508">
        <v>108370</v>
      </c>
      <c r="C77" s="508" t="s">
        <v>140</v>
      </c>
      <c r="D77" s="810">
        <v>-457914.48249999993</v>
      </c>
      <c r="E77" s="504" t="s">
        <v>517</v>
      </c>
      <c r="F77" s="809">
        <f t="shared" si="3"/>
        <v>0</v>
      </c>
      <c r="G77" s="501">
        <f t="shared" si="4"/>
        <v>0</v>
      </c>
    </row>
    <row r="78" spans="1:7">
      <c r="A78" s="507"/>
      <c r="B78" s="508">
        <v>108370</v>
      </c>
      <c r="C78" s="508" t="s">
        <v>140</v>
      </c>
      <c r="D78" s="810">
        <v>-180050.54125000001</v>
      </c>
      <c r="E78" s="504" t="s">
        <v>517</v>
      </c>
      <c r="F78" s="809">
        <f t="shared" si="3"/>
        <v>0</v>
      </c>
      <c r="G78" s="501">
        <f t="shared" si="4"/>
        <v>0</v>
      </c>
    </row>
    <row r="79" spans="1:7">
      <c r="A79" s="507"/>
      <c r="B79" s="508">
        <v>108371</v>
      </c>
      <c r="C79" s="508" t="s">
        <v>140</v>
      </c>
      <c r="D79" s="810">
        <v>25022.755416666012</v>
      </c>
      <c r="E79" s="504" t="s">
        <v>170</v>
      </c>
      <c r="F79" s="809">
        <f t="shared" si="3"/>
        <v>0</v>
      </c>
      <c r="G79" s="501">
        <f t="shared" si="4"/>
        <v>0</v>
      </c>
    </row>
    <row r="80" spans="1:7">
      <c r="A80" s="507"/>
      <c r="B80" s="508">
        <v>108371</v>
      </c>
      <c r="C80" s="508" t="s">
        <v>140</v>
      </c>
      <c r="D80" s="810">
        <v>-23630.204583334009</v>
      </c>
      <c r="E80" s="504" t="s">
        <v>173</v>
      </c>
      <c r="F80" s="809">
        <f t="shared" si="3"/>
        <v>0</v>
      </c>
      <c r="G80" s="501">
        <f t="shared" si="4"/>
        <v>0</v>
      </c>
    </row>
    <row r="81" spans="1:7">
      <c r="A81" s="507"/>
      <c r="B81" s="508">
        <v>108371</v>
      </c>
      <c r="C81" s="508" t="s">
        <v>140</v>
      </c>
      <c r="D81" s="810">
        <v>516883.89333333005</v>
      </c>
      <c r="E81" s="504" t="s">
        <v>171</v>
      </c>
      <c r="F81" s="809">
        <f t="shared" si="3"/>
        <v>0</v>
      </c>
      <c r="G81" s="501">
        <f t="shared" si="4"/>
        <v>0</v>
      </c>
    </row>
    <row r="82" spans="1:7">
      <c r="A82" s="507"/>
      <c r="B82" s="508">
        <v>108371</v>
      </c>
      <c r="C82" s="508" t="s">
        <v>140</v>
      </c>
      <c r="D82" s="810">
        <v>-111565.28166666999</v>
      </c>
      <c r="E82" s="504" t="s">
        <v>172</v>
      </c>
      <c r="F82" s="809">
        <f t="shared" si="3"/>
        <v>0</v>
      </c>
      <c r="G82" s="501">
        <f t="shared" si="4"/>
        <v>0</v>
      </c>
    </row>
    <row r="83" spans="1:7">
      <c r="A83" s="507"/>
      <c r="B83" s="508">
        <v>108371</v>
      </c>
      <c r="C83" s="508" t="s">
        <v>140</v>
      </c>
      <c r="D83" s="810">
        <v>-67084.322500000009</v>
      </c>
      <c r="E83" s="504" t="s">
        <v>141</v>
      </c>
      <c r="F83" s="809">
        <f t="shared" si="3"/>
        <v>1</v>
      </c>
      <c r="G83" s="501">
        <f t="shared" si="4"/>
        <v>-67084.322500000009</v>
      </c>
    </row>
    <row r="84" spans="1:7">
      <c r="A84" s="507"/>
      <c r="B84" s="508">
        <v>108371</v>
      </c>
      <c r="C84" s="508" t="s">
        <v>140</v>
      </c>
      <c r="D84" s="810">
        <v>96905.953333332902</v>
      </c>
      <c r="E84" s="504" t="s">
        <v>517</v>
      </c>
      <c r="F84" s="809">
        <f t="shared" si="3"/>
        <v>0</v>
      </c>
      <c r="G84" s="501">
        <f t="shared" si="4"/>
        <v>0</v>
      </c>
    </row>
    <row r="85" spans="1:7">
      <c r="A85" s="507"/>
      <c r="B85" s="508">
        <v>108371</v>
      </c>
      <c r="C85" s="508" t="s">
        <v>140</v>
      </c>
      <c r="D85" s="810">
        <v>20396.387916666019</v>
      </c>
      <c r="E85" s="504" t="s">
        <v>517</v>
      </c>
      <c r="F85" s="809">
        <f t="shared" si="3"/>
        <v>0</v>
      </c>
      <c r="G85" s="501">
        <f t="shared" si="4"/>
        <v>0</v>
      </c>
    </row>
    <row r="86" spans="1:7">
      <c r="A86" s="507"/>
      <c r="B86" s="508">
        <v>108373</v>
      </c>
      <c r="C86" s="508" t="s">
        <v>140</v>
      </c>
      <c r="D86" s="810">
        <v>51409.516666666023</v>
      </c>
      <c r="E86" s="504" t="s">
        <v>170</v>
      </c>
      <c r="F86" s="809">
        <f t="shared" si="3"/>
        <v>0</v>
      </c>
      <c r="G86" s="501">
        <f t="shared" si="4"/>
        <v>0</v>
      </c>
    </row>
    <row r="87" spans="1:7">
      <c r="A87" s="507"/>
      <c r="B87" s="508">
        <v>108373</v>
      </c>
      <c r="C87" s="508" t="s">
        <v>140</v>
      </c>
      <c r="D87" s="810">
        <v>13129.492083332967</v>
      </c>
      <c r="E87" s="504" t="s">
        <v>173</v>
      </c>
      <c r="F87" s="809">
        <f t="shared" si="3"/>
        <v>0</v>
      </c>
      <c r="G87" s="501">
        <f t="shared" si="4"/>
        <v>0</v>
      </c>
    </row>
    <row r="88" spans="1:7">
      <c r="A88" s="507"/>
      <c r="B88" s="508">
        <v>108373</v>
      </c>
      <c r="C88" s="508" t="s">
        <v>140</v>
      </c>
      <c r="D88" s="810">
        <v>-236705.64625000022</v>
      </c>
      <c r="E88" s="504" t="s">
        <v>171</v>
      </c>
      <c r="F88" s="809">
        <f t="shared" si="3"/>
        <v>0</v>
      </c>
      <c r="G88" s="501">
        <f t="shared" si="4"/>
        <v>0</v>
      </c>
    </row>
    <row r="89" spans="1:7">
      <c r="A89" s="507"/>
      <c r="B89" s="508">
        <v>108373</v>
      </c>
      <c r="C89" s="508" t="s">
        <v>140</v>
      </c>
      <c r="D89" s="810">
        <v>-897970.9837500006</v>
      </c>
      <c r="E89" s="504" t="s">
        <v>172</v>
      </c>
      <c r="F89" s="809">
        <f t="shared" si="3"/>
        <v>0</v>
      </c>
      <c r="G89" s="501">
        <f t="shared" si="4"/>
        <v>0</v>
      </c>
    </row>
    <row r="90" spans="1:7">
      <c r="A90" s="507"/>
      <c r="B90" s="508">
        <v>108373</v>
      </c>
      <c r="C90" s="508" t="s">
        <v>140</v>
      </c>
      <c r="D90" s="810">
        <v>426187.29333332996</v>
      </c>
      <c r="E90" s="504" t="s">
        <v>141</v>
      </c>
      <c r="F90" s="809">
        <f t="shared" si="3"/>
        <v>1</v>
      </c>
      <c r="G90" s="501">
        <f t="shared" si="4"/>
        <v>426187.29333332996</v>
      </c>
    </row>
    <row r="91" spans="1:7">
      <c r="A91" s="507"/>
      <c r="B91" s="508">
        <v>108373</v>
      </c>
      <c r="C91" s="508" t="s">
        <v>140</v>
      </c>
      <c r="D91" s="810">
        <v>-301031.5029166704</v>
      </c>
      <c r="E91" s="504" t="s">
        <v>517</v>
      </c>
      <c r="F91" s="809">
        <f t="shared" si="3"/>
        <v>0</v>
      </c>
      <c r="G91" s="501">
        <f t="shared" si="4"/>
        <v>0</v>
      </c>
    </row>
    <row r="92" spans="1:7">
      <c r="A92" s="507"/>
      <c r="B92" s="508">
        <v>108373</v>
      </c>
      <c r="C92" s="508" t="s">
        <v>140</v>
      </c>
      <c r="D92" s="810">
        <v>-101381.42375000007</v>
      </c>
      <c r="E92" s="504" t="s">
        <v>517</v>
      </c>
      <c r="F92" s="809">
        <f t="shared" si="3"/>
        <v>0</v>
      </c>
      <c r="G92" s="501">
        <f t="shared" si="4"/>
        <v>0</v>
      </c>
    </row>
    <row r="93" spans="1:7" ht="13.5" thickBot="1">
      <c r="A93" s="507"/>
      <c r="B93" s="508"/>
      <c r="C93" s="508"/>
      <c r="D93" s="811">
        <f>SUM(D9:D92)</f>
        <v>-56372424.117086925</v>
      </c>
      <c r="E93" s="504"/>
      <c r="F93" s="500"/>
      <c r="G93" s="811">
        <f>SUM(G9:G92)</f>
        <v>-5612469.3275002455</v>
      </c>
    </row>
    <row r="94" spans="1:7" ht="13.5" thickTop="1"/>
    <row r="95" spans="1:7">
      <c r="B95" s="508" t="s">
        <v>574</v>
      </c>
      <c r="C95" s="508" t="s">
        <v>140</v>
      </c>
      <c r="D95" s="810">
        <v>601799.29083333339</v>
      </c>
      <c r="E95" s="504" t="s">
        <v>170</v>
      </c>
      <c r="F95" s="809">
        <f t="shared" ref="F95:F148" si="5">INDEX(WCAAllocations,IFERROR(MATCH(E95,WCAFactors,0),2),IFERROR(MATCH(E95,WCAStates,0),4))</f>
        <v>0</v>
      </c>
      <c r="G95" s="501">
        <f t="shared" ref="G95:G104" si="6">F95*D95</f>
        <v>0</v>
      </c>
    </row>
    <row r="96" spans="1:7">
      <c r="B96" s="508" t="s">
        <v>574</v>
      </c>
      <c r="C96" s="508" t="s">
        <v>140</v>
      </c>
      <c r="D96" s="810">
        <v>181494.78750000001</v>
      </c>
      <c r="E96" s="504" t="s">
        <v>173</v>
      </c>
      <c r="F96" s="809">
        <f t="shared" si="5"/>
        <v>0</v>
      </c>
      <c r="G96" s="501">
        <f t="shared" si="6"/>
        <v>0</v>
      </c>
    </row>
    <row r="97" spans="2:7">
      <c r="B97" s="508" t="s">
        <v>574</v>
      </c>
      <c r="C97" s="508" t="s">
        <v>140</v>
      </c>
      <c r="D97" s="810">
        <v>246593.60208333412</v>
      </c>
      <c r="E97" s="504" t="s">
        <v>171</v>
      </c>
      <c r="F97" s="809">
        <f t="shared" si="5"/>
        <v>0</v>
      </c>
      <c r="G97" s="501">
        <f t="shared" si="6"/>
        <v>0</v>
      </c>
    </row>
    <row r="98" spans="2:7">
      <c r="B98" s="508" t="s">
        <v>574</v>
      </c>
      <c r="C98" s="508" t="s">
        <v>140</v>
      </c>
      <c r="D98" s="810">
        <v>-1187953.2825000002</v>
      </c>
      <c r="E98" s="504" t="s">
        <v>172</v>
      </c>
      <c r="F98" s="809">
        <f t="shared" si="5"/>
        <v>0</v>
      </c>
      <c r="G98" s="501">
        <f t="shared" si="6"/>
        <v>0</v>
      </c>
    </row>
    <row r="99" spans="2:7">
      <c r="B99" s="508" t="s">
        <v>574</v>
      </c>
      <c r="C99" s="508" t="s">
        <v>140</v>
      </c>
      <c r="D99" s="810">
        <v>60332.262500000012</v>
      </c>
      <c r="E99" s="504" t="s">
        <v>141</v>
      </c>
      <c r="F99" s="809">
        <f t="shared" si="5"/>
        <v>1</v>
      </c>
      <c r="G99" s="501">
        <f t="shared" si="6"/>
        <v>60332.262500000012</v>
      </c>
    </row>
    <row r="100" spans="2:7">
      <c r="B100" s="508" t="s">
        <v>574</v>
      </c>
      <c r="C100" s="508" t="s">
        <v>140</v>
      </c>
      <c r="D100" s="810">
        <v>10574.186666666599</v>
      </c>
      <c r="E100" s="504" t="s">
        <v>517</v>
      </c>
      <c r="F100" s="809">
        <f t="shared" si="5"/>
        <v>0</v>
      </c>
      <c r="G100" s="501">
        <f t="shared" si="6"/>
        <v>0</v>
      </c>
    </row>
    <row r="101" spans="2:7">
      <c r="B101" s="508" t="s">
        <v>574</v>
      </c>
      <c r="C101" s="508" t="s">
        <v>140</v>
      </c>
      <c r="D101" s="810">
        <v>-90784.486666665995</v>
      </c>
      <c r="E101" s="504" t="s">
        <v>517</v>
      </c>
      <c r="F101" s="809">
        <f t="shared" si="5"/>
        <v>0</v>
      </c>
      <c r="G101" s="501">
        <f t="shared" si="6"/>
        <v>0</v>
      </c>
    </row>
    <row r="102" spans="2:7">
      <c r="B102" s="508" t="s">
        <v>174</v>
      </c>
      <c r="C102" s="508" t="s">
        <v>140</v>
      </c>
      <c r="D102" s="810">
        <v>-148618.5970833404</v>
      </c>
      <c r="E102" s="504" t="s">
        <v>170</v>
      </c>
      <c r="F102" s="809">
        <f t="shared" si="5"/>
        <v>0</v>
      </c>
      <c r="G102" s="501">
        <f t="shared" si="6"/>
        <v>0</v>
      </c>
    </row>
    <row r="103" spans="2:7">
      <c r="B103" s="508" t="s">
        <v>174</v>
      </c>
      <c r="C103" s="508" t="s">
        <v>140</v>
      </c>
      <c r="D103" s="810">
        <v>-44751.210833333957</v>
      </c>
      <c r="E103" s="504" t="s">
        <v>261</v>
      </c>
      <c r="F103" s="809">
        <f t="shared" si="5"/>
        <v>0</v>
      </c>
      <c r="G103" s="501">
        <f t="shared" si="6"/>
        <v>0</v>
      </c>
    </row>
    <row r="104" spans="2:7">
      <c r="B104" s="508" t="s">
        <v>174</v>
      </c>
      <c r="C104" s="508" t="s">
        <v>140</v>
      </c>
      <c r="D104" s="810">
        <v>-2271915.6229166985</v>
      </c>
      <c r="E104" s="504" t="s">
        <v>214</v>
      </c>
      <c r="F104" s="809">
        <f t="shared" si="5"/>
        <v>0</v>
      </c>
      <c r="G104" s="501">
        <f t="shared" si="6"/>
        <v>0</v>
      </c>
    </row>
    <row r="105" spans="2:7">
      <c r="B105" s="508" t="s">
        <v>174</v>
      </c>
      <c r="C105" s="508" t="s">
        <v>140</v>
      </c>
      <c r="D105" s="810">
        <v>-387632.5479166992</v>
      </c>
      <c r="E105" s="504" t="s">
        <v>203</v>
      </c>
      <c r="F105" s="809">
        <f t="shared" si="5"/>
        <v>0.23084885646883446</v>
      </c>
      <c r="G105" s="501">
        <v>0</v>
      </c>
    </row>
    <row r="106" spans="2:7">
      <c r="B106" s="508" t="s">
        <v>174</v>
      </c>
      <c r="C106" s="508" t="s">
        <v>140</v>
      </c>
      <c r="D106" s="810">
        <v>1355349.4416666599</v>
      </c>
      <c r="E106" s="504" t="s">
        <v>152</v>
      </c>
      <c r="F106" s="809">
        <f t="shared" si="5"/>
        <v>6.9173575695716499E-2</v>
      </c>
      <c r="G106" s="501"/>
    </row>
    <row r="107" spans="2:7">
      <c r="B107" s="508" t="s">
        <v>174</v>
      </c>
      <c r="C107" s="508" t="s">
        <v>140</v>
      </c>
      <c r="D107" s="810">
        <v>-493476.40125000104</v>
      </c>
      <c r="E107" s="504" t="s">
        <v>173</v>
      </c>
      <c r="F107" s="809">
        <f t="shared" si="5"/>
        <v>0</v>
      </c>
      <c r="G107" s="501">
        <f>F107*D107</f>
        <v>0</v>
      </c>
    </row>
    <row r="108" spans="2:7">
      <c r="B108" s="508" t="s">
        <v>174</v>
      </c>
      <c r="C108" s="508" t="s">
        <v>140</v>
      </c>
      <c r="D108" s="810">
        <v>-296713.28458333947</v>
      </c>
      <c r="E108" s="504" t="s">
        <v>231</v>
      </c>
      <c r="F108" s="809">
        <f t="shared" si="5"/>
        <v>0.22953887558714423</v>
      </c>
      <c r="G108" s="501"/>
    </row>
    <row r="109" spans="2:7">
      <c r="B109" s="508" t="s">
        <v>174</v>
      </c>
      <c r="C109" s="508" t="s">
        <v>140</v>
      </c>
      <c r="D109" s="810">
        <v>-4860286.9954167008</v>
      </c>
      <c r="E109" s="504" t="s">
        <v>171</v>
      </c>
      <c r="F109" s="809">
        <f t="shared" si="5"/>
        <v>0</v>
      </c>
      <c r="G109" s="501">
        <f>F109*D109</f>
        <v>0</v>
      </c>
    </row>
    <row r="110" spans="2:7">
      <c r="B110" s="508" t="s">
        <v>174</v>
      </c>
      <c r="C110" s="508" t="s">
        <v>140</v>
      </c>
      <c r="D110" s="810">
        <v>-7786688.1170834005</v>
      </c>
      <c r="E110" s="504" t="s">
        <v>130</v>
      </c>
      <c r="F110" s="809">
        <f t="shared" si="5"/>
        <v>6.8539355270203509E-2</v>
      </c>
      <c r="G110" s="501"/>
    </row>
    <row r="111" spans="2:7">
      <c r="B111" s="508" t="s">
        <v>174</v>
      </c>
      <c r="C111" s="508" t="s">
        <v>140</v>
      </c>
      <c r="D111" s="810">
        <v>-2476146.2829167023</v>
      </c>
      <c r="E111" s="504" t="s">
        <v>172</v>
      </c>
      <c r="F111" s="809">
        <f t="shared" si="5"/>
        <v>0</v>
      </c>
      <c r="G111" s="501">
        <f>F111*D111</f>
        <v>0</v>
      </c>
    </row>
    <row r="112" spans="2:7">
      <c r="B112" s="508" t="s">
        <v>174</v>
      </c>
      <c r="C112" s="508" t="s">
        <v>140</v>
      </c>
      <c r="D112" s="810">
        <v>-936028.25875000283</v>
      </c>
      <c r="E112" s="504" t="s">
        <v>141</v>
      </c>
      <c r="F112" s="809">
        <f t="shared" si="5"/>
        <v>1</v>
      </c>
      <c r="G112" s="501">
        <f>F112*D112</f>
        <v>-936028.25875000283</v>
      </c>
    </row>
    <row r="113" spans="2:7">
      <c r="B113" s="508" t="s">
        <v>174</v>
      </c>
      <c r="C113" s="508" t="s">
        <v>140</v>
      </c>
      <c r="D113" s="810">
        <v>-1810836.3379166983</v>
      </c>
      <c r="E113" s="504" t="s">
        <v>517</v>
      </c>
      <c r="F113" s="809">
        <f t="shared" si="5"/>
        <v>0</v>
      </c>
      <c r="G113" s="501">
        <f>F113*D113</f>
        <v>0</v>
      </c>
    </row>
    <row r="114" spans="2:7">
      <c r="B114" s="508" t="s">
        <v>174</v>
      </c>
      <c r="C114" s="508" t="s">
        <v>140</v>
      </c>
      <c r="D114" s="810">
        <v>-149129.89499999955</v>
      </c>
      <c r="E114" s="504" t="s">
        <v>517</v>
      </c>
      <c r="F114" s="809">
        <f t="shared" si="5"/>
        <v>0</v>
      </c>
      <c r="G114" s="501">
        <f>F114*D114</f>
        <v>0</v>
      </c>
    </row>
    <row r="115" spans="2:7">
      <c r="B115" s="508" t="s">
        <v>175</v>
      </c>
      <c r="C115" s="508" t="s">
        <v>140</v>
      </c>
      <c r="D115" s="810">
        <v>-1171593.3829166964</v>
      </c>
      <c r="E115" s="504" t="s">
        <v>214</v>
      </c>
      <c r="F115" s="809">
        <f t="shared" si="5"/>
        <v>0</v>
      </c>
      <c r="G115" s="501">
        <f>F115*D115</f>
        <v>0</v>
      </c>
    </row>
    <row r="116" spans="2:7">
      <c r="B116" s="508" t="s">
        <v>175</v>
      </c>
      <c r="C116" s="508" t="s">
        <v>140</v>
      </c>
      <c r="D116" s="810">
        <v>-7162471.7341669798</v>
      </c>
      <c r="E116" s="504" t="s">
        <v>203</v>
      </c>
      <c r="F116" s="809">
        <f t="shared" si="5"/>
        <v>0.23084885646883446</v>
      </c>
      <c r="G116" s="501"/>
    </row>
    <row r="117" spans="2:7">
      <c r="B117" s="508" t="s">
        <v>176</v>
      </c>
      <c r="C117" s="508" t="s">
        <v>140</v>
      </c>
      <c r="D117" s="810">
        <v>-2572934.5979169905</v>
      </c>
      <c r="E117" s="504" t="s">
        <v>261</v>
      </c>
      <c r="F117" s="809">
        <f t="shared" si="5"/>
        <v>0</v>
      </c>
      <c r="G117" s="501">
        <f>F117*D117</f>
        <v>0</v>
      </c>
    </row>
    <row r="118" spans="2:7">
      <c r="B118" s="508" t="s">
        <v>177</v>
      </c>
      <c r="C118" s="508" t="s">
        <v>140</v>
      </c>
      <c r="D118" s="810">
        <v>-24599684.699999988</v>
      </c>
      <c r="E118" s="504" t="s">
        <v>214</v>
      </c>
      <c r="F118" s="809">
        <f t="shared" si="5"/>
        <v>0</v>
      </c>
      <c r="G118" s="501">
        <f>F118*D118</f>
        <v>0</v>
      </c>
    </row>
    <row r="119" spans="2:7">
      <c r="B119" s="508" t="s">
        <v>177</v>
      </c>
      <c r="C119" s="508" t="s">
        <v>140</v>
      </c>
      <c r="D119" s="810">
        <v>-19262809.629583955</v>
      </c>
      <c r="E119" s="504" t="s">
        <v>203</v>
      </c>
      <c r="F119" s="809">
        <f t="shared" si="5"/>
        <v>0.23084885646883446</v>
      </c>
      <c r="G119" s="501"/>
    </row>
    <row r="120" spans="2:7">
      <c r="B120" s="508" t="s">
        <v>178</v>
      </c>
      <c r="C120" s="508" t="s">
        <v>140</v>
      </c>
      <c r="D120" s="810">
        <v>-46703372.724589825</v>
      </c>
      <c r="E120" s="504" t="s">
        <v>214</v>
      </c>
      <c r="F120" s="809">
        <f t="shared" si="5"/>
        <v>0</v>
      </c>
      <c r="G120" s="501"/>
    </row>
    <row r="121" spans="2:7">
      <c r="B121" s="508" t="s">
        <v>178</v>
      </c>
      <c r="C121" s="508" t="s">
        <v>140</v>
      </c>
      <c r="D121" s="810">
        <v>-2814722.3183339834</v>
      </c>
      <c r="E121" s="504" t="s">
        <v>203</v>
      </c>
      <c r="F121" s="809">
        <f t="shared" si="5"/>
        <v>0.23084885646883446</v>
      </c>
      <c r="G121" s="501"/>
    </row>
    <row r="122" spans="2:7">
      <c r="B122" s="508" t="s">
        <v>178</v>
      </c>
      <c r="C122" s="508" t="s">
        <v>140</v>
      </c>
      <c r="D122" s="810">
        <v>-1603645.8687499762</v>
      </c>
      <c r="E122" s="504" t="s">
        <v>231</v>
      </c>
      <c r="F122" s="809">
        <f t="shared" si="5"/>
        <v>0.22953887558714423</v>
      </c>
      <c r="G122" s="501"/>
    </row>
    <row r="123" spans="2:7">
      <c r="B123" s="508" t="s">
        <v>179</v>
      </c>
      <c r="C123" s="508" t="s">
        <v>140</v>
      </c>
      <c r="D123" s="810">
        <v>-27719686.035833955</v>
      </c>
      <c r="E123" s="504" t="s">
        <v>214</v>
      </c>
      <c r="F123" s="809">
        <f t="shared" si="5"/>
        <v>0</v>
      </c>
      <c r="G123" s="501"/>
    </row>
    <row r="124" spans="2:7">
      <c r="B124" s="508" t="s">
        <v>179</v>
      </c>
      <c r="C124" s="508" t="s">
        <v>140</v>
      </c>
      <c r="D124" s="810">
        <v>-8786843.8379169703</v>
      </c>
      <c r="E124" s="504" t="s">
        <v>203</v>
      </c>
      <c r="F124" s="809">
        <f t="shared" si="5"/>
        <v>0.23084885646883446</v>
      </c>
      <c r="G124" s="501"/>
    </row>
    <row r="125" spans="2:7">
      <c r="B125" s="508" t="s">
        <v>179</v>
      </c>
      <c r="C125" s="508" t="s">
        <v>140</v>
      </c>
      <c r="D125" s="810">
        <v>-1127973.6299999952</v>
      </c>
      <c r="E125" s="504" t="s">
        <v>231</v>
      </c>
      <c r="F125" s="809">
        <f t="shared" si="5"/>
        <v>0.22953887558714423</v>
      </c>
      <c r="G125" s="501"/>
    </row>
    <row r="126" spans="2:7">
      <c r="B126" s="508" t="s">
        <v>179</v>
      </c>
      <c r="C126" s="508" t="s">
        <v>140</v>
      </c>
      <c r="D126" s="810">
        <v>289867.03708332987</v>
      </c>
      <c r="E126" s="504" t="s">
        <v>146</v>
      </c>
      <c r="F126" s="809">
        <f t="shared" si="5"/>
        <v>7.9057273540331513E-2</v>
      </c>
      <c r="G126" s="501"/>
    </row>
    <row r="127" spans="2:7">
      <c r="B127" s="508" t="s">
        <v>575</v>
      </c>
      <c r="C127" s="508" t="s">
        <v>140</v>
      </c>
      <c r="D127" s="810">
        <v>-43592.913750000007</v>
      </c>
      <c r="E127" s="504" t="s">
        <v>170</v>
      </c>
      <c r="F127" s="809">
        <f t="shared" si="5"/>
        <v>0</v>
      </c>
      <c r="G127" s="501"/>
    </row>
    <row r="128" spans="2:7">
      <c r="B128" s="508" t="s">
        <v>575</v>
      </c>
      <c r="C128" s="508" t="s">
        <v>140</v>
      </c>
      <c r="D128" s="810">
        <v>188007.55125000002</v>
      </c>
      <c r="E128" s="504" t="s">
        <v>152</v>
      </c>
      <c r="F128" s="809">
        <f t="shared" si="5"/>
        <v>6.9173575695716499E-2</v>
      </c>
      <c r="G128" s="501"/>
    </row>
    <row r="129" spans="2:7">
      <c r="B129" s="508" t="s">
        <v>575</v>
      </c>
      <c r="C129" s="508" t="s">
        <v>140</v>
      </c>
      <c r="D129" s="810">
        <v>-154781.54999999981</v>
      </c>
      <c r="E129" s="504" t="s">
        <v>171</v>
      </c>
      <c r="F129" s="809">
        <f t="shared" si="5"/>
        <v>0</v>
      </c>
      <c r="G129" s="501"/>
    </row>
    <row r="130" spans="2:7">
      <c r="B130" s="508" t="s">
        <v>575</v>
      </c>
      <c r="C130" s="508" t="s">
        <v>140</v>
      </c>
      <c r="D130" s="810">
        <v>6127801.0100000007</v>
      </c>
      <c r="E130" s="504" t="s">
        <v>130</v>
      </c>
      <c r="F130" s="809">
        <f t="shared" si="5"/>
        <v>6.8539355270203509E-2</v>
      </c>
      <c r="G130" s="501"/>
    </row>
    <row r="131" spans="2:7">
      <c r="B131" s="508" t="s">
        <v>575</v>
      </c>
      <c r="C131" s="508" t="s">
        <v>140</v>
      </c>
      <c r="D131" s="810">
        <v>-363.94708333339986</v>
      </c>
      <c r="E131" s="504" t="s">
        <v>172</v>
      </c>
      <c r="F131" s="809">
        <f t="shared" si="5"/>
        <v>0</v>
      </c>
      <c r="G131" s="501">
        <f>F131*D131</f>
        <v>0</v>
      </c>
    </row>
    <row r="132" spans="2:7">
      <c r="B132" s="508" t="s">
        <v>575</v>
      </c>
      <c r="C132" s="508" t="s">
        <v>140</v>
      </c>
      <c r="D132" s="810">
        <v>-38827.45374999987</v>
      </c>
      <c r="E132" s="504" t="s">
        <v>141</v>
      </c>
      <c r="F132" s="809">
        <f t="shared" si="5"/>
        <v>1</v>
      </c>
      <c r="G132" s="501">
        <f>F132*D132</f>
        <v>-38827.45374999987</v>
      </c>
    </row>
    <row r="133" spans="2:7">
      <c r="B133" s="508" t="s">
        <v>575</v>
      </c>
      <c r="C133" s="508" t="s">
        <v>140</v>
      </c>
      <c r="D133" s="810">
        <v>-98695.821250000037</v>
      </c>
      <c r="E133" s="504" t="s">
        <v>517</v>
      </c>
      <c r="F133" s="809">
        <f t="shared" si="5"/>
        <v>0</v>
      </c>
      <c r="G133" s="501">
        <f>F133*D133</f>
        <v>0</v>
      </c>
    </row>
    <row r="134" spans="2:7">
      <c r="B134" s="508" t="s">
        <v>575</v>
      </c>
      <c r="C134" s="508" t="s">
        <v>140</v>
      </c>
      <c r="D134" s="810">
        <v>-30861.986250000002</v>
      </c>
      <c r="E134" s="504" t="s">
        <v>203</v>
      </c>
      <c r="F134" s="809">
        <f t="shared" si="5"/>
        <v>0.23084885646883446</v>
      </c>
      <c r="G134" s="501"/>
    </row>
    <row r="135" spans="2:7">
      <c r="B135" s="508" t="s">
        <v>575</v>
      </c>
      <c r="C135" s="508" t="s">
        <v>140</v>
      </c>
      <c r="D135" s="810">
        <v>-42858.119999999995</v>
      </c>
      <c r="E135" s="504" t="s">
        <v>173</v>
      </c>
      <c r="F135" s="809">
        <f t="shared" si="5"/>
        <v>0</v>
      </c>
      <c r="G135" s="501"/>
    </row>
    <row r="136" spans="2:7">
      <c r="B136" s="508" t="s">
        <v>575</v>
      </c>
      <c r="C136" s="508" t="s">
        <v>140</v>
      </c>
      <c r="D136" s="810">
        <v>-316.57125000000087</v>
      </c>
      <c r="E136" s="504" t="s">
        <v>517</v>
      </c>
      <c r="F136" s="809">
        <f t="shared" si="5"/>
        <v>0</v>
      </c>
      <c r="G136" s="501"/>
    </row>
    <row r="137" spans="2:7">
      <c r="B137" s="508" t="s">
        <v>576</v>
      </c>
      <c r="C137" s="508" t="s">
        <v>140</v>
      </c>
      <c r="D137" s="810">
        <v>-137041.0466666671</v>
      </c>
      <c r="E137" s="504" t="s">
        <v>203</v>
      </c>
      <c r="F137" s="809">
        <f t="shared" si="5"/>
        <v>0.23084885646883446</v>
      </c>
      <c r="G137" s="501"/>
    </row>
    <row r="138" spans="2:7">
      <c r="B138" s="508" t="s">
        <v>180</v>
      </c>
      <c r="C138" s="508" t="s">
        <v>140</v>
      </c>
      <c r="D138" s="810">
        <v>-148840.23083333997</v>
      </c>
      <c r="E138" s="504" t="s">
        <v>261</v>
      </c>
      <c r="F138" s="809">
        <f t="shared" si="5"/>
        <v>0</v>
      </c>
      <c r="G138" s="501"/>
    </row>
    <row r="139" spans="2:7">
      <c r="B139" s="508" t="s">
        <v>180</v>
      </c>
      <c r="C139" s="508" t="s">
        <v>140</v>
      </c>
      <c r="D139" s="810">
        <v>-1933042.330416698</v>
      </c>
      <c r="E139" s="504" t="s">
        <v>214</v>
      </c>
      <c r="F139" s="809">
        <f t="shared" si="5"/>
        <v>0</v>
      </c>
      <c r="G139" s="501"/>
    </row>
    <row r="140" spans="2:7">
      <c r="B140" s="508" t="s">
        <v>180</v>
      </c>
      <c r="C140" s="508" t="s">
        <v>140</v>
      </c>
      <c r="D140" s="810">
        <v>-5649846.125</v>
      </c>
      <c r="E140" s="504" t="s">
        <v>203</v>
      </c>
      <c r="F140" s="809">
        <f t="shared" si="5"/>
        <v>0.23084885646883446</v>
      </c>
      <c r="G140" s="501"/>
    </row>
    <row r="141" spans="2:7">
      <c r="B141" s="508" t="s">
        <v>180</v>
      </c>
      <c r="C141" s="508" t="s">
        <v>140</v>
      </c>
      <c r="D141" s="810">
        <v>-1327723.0420840085</v>
      </c>
      <c r="E141" s="504" t="s">
        <v>152</v>
      </c>
      <c r="F141" s="809">
        <f t="shared" si="5"/>
        <v>6.9173575695716499E-2</v>
      </c>
      <c r="G141" s="501"/>
    </row>
    <row r="142" spans="2:7">
      <c r="B142" s="508" t="s">
        <v>180</v>
      </c>
      <c r="C142" s="508" t="s">
        <v>140</v>
      </c>
      <c r="D142" s="810">
        <v>-10582.842499999912</v>
      </c>
      <c r="E142" s="504" t="s">
        <v>173</v>
      </c>
      <c r="F142" s="809">
        <f t="shared" si="5"/>
        <v>0</v>
      </c>
      <c r="G142" s="501"/>
    </row>
    <row r="143" spans="2:7">
      <c r="B143" s="508" t="s">
        <v>180</v>
      </c>
      <c r="C143" s="508" t="s">
        <v>140</v>
      </c>
      <c r="D143" s="810">
        <v>-961.0679166666996</v>
      </c>
      <c r="E143" s="504" t="s">
        <v>231</v>
      </c>
      <c r="F143" s="809">
        <f t="shared" si="5"/>
        <v>0.22953887558714423</v>
      </c>
      <c r="G143" s="501"/>
    </row>
    <row r="144" spans="2:7">
      <c r="B144" s="508" t="s">
        <v>180</v>
      </c>
      <c r="C144" s="508" t="s">
        <v>140</v>
      </c>
      <c r="D144" s="810">
        <v>-8762.0837499999907</v>
      </c>
      <c r="E144" s="504" t="s">
        <v>171</v>
      </c>
      <c r="F144" s="809">
        <f t="shared" si="5"/>
        <v>0</v>
      </c>
      <c r="G144" s="501"/>
    </row>
    <row r="145" spans="1:9">
      <c r="B145" s="508" t="s">
        <v>180</v>
      </c>
      <c r="C145" s="508" t="s">
        <v>140</v>
      </c>
      <c r="D145" s="810">
        <v>512459.16416659951</v>
      </c>
      <c r="E145" s="504" t="s">
        <v>146</v>
      </c>
      <c r="F145" s="809">
        <f t="shared" si="5"/>
        <v>7.9057273540331513E-2</v>
      </c>
      <c r="G145" s="501"/>
    </row>
    <row r="146" spans="1:9">
      <c r="B146" s="508" t="s">
        <v>180</v>
      </c>
      <c r="C146" s="508" t="s">
        <v>140</v>
      </c>
      <c r="D146" s="810">
        <v>-7404352.3312500119</v>
      </c>
      <c r="E146" s="504" t="s">
        <v>130</v>
      </c>
      <c r="F146" s="809">
        <f t="shared" si="5"/>
        <v>6.8539355270203509E-2</v>
      </c>
      <c r="G146" s="501"/>
    </row>
    <row r="147" spans="1:9">
      <c r="B147" s="508" t="s">
        <v>180</v>
      </c>
      <c r="C147" s="508" t="s">
        <v>140</v>
      </c>
      <c r="D147" s="810">
        <v>-10340.958333333394</v>
      </c>
      <c r="E147" s="504" t="s">
        <v>172</v>
      </c>
      <c r="F147" s="809">
        <f t="shared" si="5"/>
        <v>0</v>
      </c>
      <c r="G147" s="501"/>
    </row>
    <row r="148" spans="1:9">
      <c r="B148" s="508" t="s">
        <v>180</v>
      </c>
      <c r="C148" s="508" t="s">
        <v>140</v>
      </c>
      <c r="D148" s="810">
        <v>-80878.203749999986</v>
      </c>
      <c r="E148" s="504" t="s">
        <v>517</v>
      </c>
      <c r="F148" s="809">
        <f t="shared" si="5"/>
        <v>0</v>
      </c>
      <c r="G148" s="501">
        <f>F148*D148</f>
        <v>0</v>
      </c>
    </row>
    <row r="149" spans="1:9" ht="13.5" thickBot="1">
      <c r="D149" s="811">
        <f>SUM(D95:D148)</f>
        <v>-174015090.07292712</v>
      </c>
      <c r="E149" s="504"/>
      <c r="F149" s="500"/>
      <c r="G149" s="811">
        <f>SUM(G95:G148)</f>
        <v>-914523.45000000275</v>
      </c>
    </row>
    <row r="150" spans="1:9" ht="13.5" thickTop="1"/>
    <row r="152" spans="1:9">
      <c r="A152" s="812" t="s">
        <v>145</v>
      </c>
    </row>
    <row r="153" spans="1:9" s="29" customFormat="1" ht="13.15" customHeight="1">
      <c r="A153" s="1403" t="s">
        <v>716</v>
      </c>
      <c r="B153" s="1403"/>
      <c r="C153" s="1403"/>
      <c r="D153" s="1403"/>
      <c r="E153" s="1403"/>
      <c r="F153" s="1403"/>
      <c r="G153" s="1403"/>
      <c r="H153" s="1317"/>
      <c r="I153" s="1317"/>
    </row>
    <row r="154" spans="1:9" s="29" customFormat="1">
      <c r="A154" s="1403"/>
      <c r="B154" s="1403"/>
      <c r="C154" s="1403"/>
      <c r="D154" s="1403"/>
      <c r="E154" s="1403"/>
      <c r="F154" s="1403"/>
      <c r="G154" s="1403"/>
      <c r="H154" s="1317"/>
      <c r="I154" s="1317"/>
    </row>
  </sheetData>
  <mergeCells count="1">
    <mergeCell ref="A153:G154"/>
  </mergeCells>
  <dataValidations count="1">
    <dataValidation type="list" allowBlank="1" sqref="E95:E148">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2" manualBreakCount="2">
    <brk id="63" max="6"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workbookViewId="0">
      <selection activeCell="F16" sqref="F16"/>
    </sheetView>
  </sheetViews>
  <sheetFormatPr defaultColWidth="8.85546875" defaultRowHeight="12.75"/>
  <cols>
    <col min="1" max="1" width="31.28515625" style="1" customWidth="1"/>
    <col min="2" max="2" width="9.7109375" style="1" bestFit="1" customWidth="1"/>
    <col min="3" max="3" width="5.42578125" style="1" bestFit="1" customWidth="1"/>
    <col min="4" max="4" width="12.85546875" style="1" bestFit="1" customWidth="1"/>
    <col min="5" max="5" width="11.140625" style="1" bestFit="1" customWidth="1"/>
    <col min="6" max="6" width="10" style="1" bestFit="1" customWidth="1"/>
    <col min="7" max="7" width="13.28515625" style="800" bestFit="1" customWidth="1"/>
    <col min="8" max="16384" width="8.85546875" style="1"/>
  </cols>
  <sheetData>
    <row r="1" spans="1:7">
      <c r="A1" s="17" t="str">
        <f>RevReqSummary!A1</f>
        <v>PacifiCorp General Rate Case UE-140617</v>
      </c>
      <c r="B1" s="232"/>
      <c r="C1" s="232"/>
      <c r="D1" s="232"/>
      <c r="E1" s="232"/>
      <c r="F1" s="232"/>
    </row>
    <row r="2" spans="1:7">
      <c r="A2" s="17" t="str">
        <f>RevReqSummary!A2</f>
        <v>For The Twelve Months Ended December 2013 - Staff Revenue Requirement</v>
      </c>
      <c r="B2" s="232"/>
      <c r="C2" s="232"/>
      <c r="D2" s="232"/>
      <c r="E2" s="232"/>
      <c r="F2" s="232"/>
    </row>
    <row r="3" spans="1:7">
      <c r="A3" s="235" t="s">
        <v>718</v>
      </c>
      <c r="B3" s="232"/>
      <c r="C3" s="232"/>
      <c r="D3" s="232"/>
      <c r="E3" s="232"/>
      <c r="F3" s="232"/>
    </row>
    <row r="4" spans="1:7">
      <c r="A4" s="235" t="s">
        <v>655</v>
      </c>
      <c r="B4" s="232"/>
      <c r="C4" s="232"/>
      <c r="D4" s="232"/>
      <c r="E4" s="232"/>
      <c r="F4" s="232"/>
    </row>
    <row r="5" spans="1:7">
      <c r="A5" s="234"/>
      <c r="B5" s="232"/>
      <c r="C5" s="232"/>
      <c r="D5" s="232" t="s">
        <v>131</v>
      </c>
      <c r="E5" s="232" t="s">
        <v>523</v>
      </c>
      <c r="F5" s="232"/>
      <c r="G5" s="232" t="s">
        <v>236</v>
      </c>
    </row>
    <row r="6" spans="1:7">
      <c r="A6" s="234"/>
      <c r="B6" s="236" t="s">
        <v>132</v>
      </c>
      <c r="C6" s="41" t="s">
        <v>660</v>
      </c>
      <c r="D6" s="236" t="s">
        <v>134</v>
      </c>
      <c r="E6" s="236" t="s">
        <v>135</v>
      </c>
      <c r="F6" s="236" t="s">
        <v>136</v>
      </c>
      <c r="G6" s="236" t="s">
        <v>137</v>
      </c>
    </row>
    <row r="7" spans="1:7">
      <c r="A7" s="240"/>
      <c r="B7" s="241"/>
      <c r="C7" s="241"/>
      <c r="D7" s="241"/>
      <c r="E7" s="241"/>
      <c r="F7" s="241"/>
    </row>
    <row r="8" spans="1:7">
      <c r="A8" s="240" t="s">
        <v>199</v>
      </c>
      <c r="B8" s="801"/>
      <c r="C8" s="241"/>
      <c r="D8" s="35"/>
      <c r="E8" s="802"/>
      <c r="F8" s="36"/>
    </row>
    <row r="9" spans="1:7">
      <c r="A9" s="533" t="s">
        <v>467</v>
      </c>
      <c r="B9" s="803" t="s">
        <v>186</v>
      </c>
      <c r="C9" s="241" t="s">
        <v>140</v>
      </c>
      <c r="D9" s="810">
        <v>124536092.03855678</v>
      </c>
      <c r="E9" s="804" t="s">
        <v>214</v>
      </c>
      <c r="F9" s="625">
        <f t="shared" ref="F9:F40" si="0">INDEX(WCAAllocations,IFERROR(MATCH(E9,WCAFactors,0),2),IFERROR(MATCH(E9,WCAStates,0),4))</f>
        <v>0</v>
      </c>
      <c r="G9" s="800">
        <f>D9*F9</f>
        <v>0</v>
      </c>
    </row>
    <row r="10" spans="1:7">
      <c r="A10" s="533" t="s">
        <v>467</v>
      </c>
      <c r="B10" s="803" t="s">
        <v>186</v>
      </c>
      <c r="C10" s="241" t="s">
        <v>140</v>
      </c>
      <c r="D10" s="810">
        <v>1954091.0923044377</v>
      </c>
      <c r="E10" s="804" t="s">
        <v>203</v>
      </c>
      <c r="F10" s="625">
        <f t="shared" si="0"/>
        <v>0.23084885646883446</v>
      </c>
      <c r="G10" s="800">
        <f t="shared" ref="G10:G40" si="1">D10*F10</f>
        <v>451099.69409441506</v>
      </c>
    </row>
    <row r="11" spans="1:7">
      <c r="A11" s="533" t="s">
        <v>467</v>
      </c>
      <c r="B11" s="803" t="s">
        <v>186</v>
      </c>
      <c r="C11" s="241" t="s">
        <v>140</v>
      </c>
      <c r="D11" s="810">
        <v>8809770.8728527408</v>
      </c>
      <c r="E11" s="805" t="s">
        <v>231</v>
      </c>
      <c r="F11" s="625">
        <f t="shared" si="0"/>
        <v>0.22953887558714423</v>
      </c>
      <c r="G11" s="800">
        <f t="shared" si="1"/>
        <v>2022184.9003349922</v>
      </c>
    </row>
    <row r="12" spans="1:7">
      <c r="A12" s="533" t="s">
        <v>467</v>
      </c>
      <c r="B12" s="803" t="s">
        <v>184</v>
      </c>
      <c r="C12" s="241" t="s">
        <v>140</v>
      </c>
      <c r="D12" s="810">
        <v>3959673.3636438078</v>
      </c>
      <c r="E12" s="804" t="s">
        <v>214</v>
      </c>
      <c r="F12" s="625">
        <f t="shared" si="0"/>
        <v>0</v>
      </c>
      <c r="G12" s="800">
        <f t="shared" si="1"/>
        <v>0</v>
      </c>
    </row>
    <row r="13" spans="1:7">
      <c r="A13" s="533" t="s">
        <v>467</v>
      </c>
      <c r="B13" s="803" t="s">
        <v>184</v>
      </c>
      <c r="C13" s="241" t="s">
        <v>140</v>
      </c>
      <c r="D13" s="810">
        <v>8915870.2695715614</v>
      </c>
      <c r="E13" s="804" t="s">
        <v>203</v>
      </c>
      <c r="F13" s="625">
        <f t="shared" si="0"/>
        <v>0.23084885646883446</v>
      </c>
      <c r="G13" s="800">
        <f t="shared" si="1"/>
        <v>2058218.4561550738</v>
      </c>
    </row>
    <row r="14" spans="1:7">
      <c r="A14" s="533" t="s">
        <v>467</v>
      </c>
      <c r="B14" s="803" t="s">
        <v>185</v>
      </c>
      <c r="C14" s="241" t="s">
        <v>140</v>
      </c>
      <c r="D14" s="810">
        <v>-6090878.2912179204</v>
      </c>
      <c r="E14" s="804" t="s">
        <v>214</v>
      </c>
      <c r="F14" s="625">
        <f t="shared" si="0"/>
        <v>0</v>
      </c>
      <c r="G14" s="800">
        <f t="shared" si="1"/>
        <v>0</v>
      </c>
    </row>
    <row r="15" spans="1:7">
      <c r="A15" s="533" t="s">
        <v>467</v>
      </c>
      <c r="B15" s="803" t="s">
        <v>185</v>
      </c>
      <c r="C15" s="241" t="s">
        <v>140</v>
      </c>
      <c r="D15" s="810">
        <v>-3162043.8638194986</v>
      </c>
      <c r="E15" s="804" t="s">
        <v>203</v>
      </c>
      <c r="F15" s="625">
        <f t="shared" si="0"/>
        <v>0.23084885646883446</v>
      </c>
      <c r="G15" s="800">
        <f t="shared" si="1"/>
        <v>-729954.2100670262</v>
      </c>
    </row>
    <row r="16" spans="1:7">
      <c r="A16" s="595" t="s">
        <v>467</v>
      </c>
      <c r="B16" s="807" t="s">
        <v>187</v>
      </c>
      <c r="C16" s="163" t="s">
        <v>140</v>
      </c>
      <c r="D16" s="810">
        <v>-1592323.559854269</v>
      </c>
      <c r="E16" s="805" t="s">
        <v>214</v>
      </c>
      <c r="F16" s="625">
        <f t="shared" si="0"/>
        <v>0</v>
      </c>
      <c r="G16" s="800">
        <f t="shared" si="1"/>
        <v>0</v>
      </c>
    </row>
    <row r="17" spans="1:7">
      <c r="A17" s="533" t="s">
        <v>467</v>
      </c>
      <c r="B17" s="803" t="s">
        <v>187</v>
      </c>
      <c r="C17" s="241" t="s">
        <v>140</v>
      </c>
      <c r="D17" s="810">
        <v>-1852426.9207649229</v>
      </c>
      <c r="E17" s="804" t="s">
        <v>203</v>
      </c>
      <c r="F17" s="625">
        <f t="shared" si="0"/>
        <v>0.23084885646883446</v>
      </c>
      <c r="G17" s="800">
        <f t="shared" si="1"/>
        <v>-427630.63635066664</v>
      </c>
    </row>
    <row r="18" spans="1:7">
      <c r="A18" s="533" t="s">
        <v>467</v>
      </c>
      <c r="B18" s="803" t="s">
        <v>187</v>
      </c>
      <c r="C18" s="241" t="s">
        <v>140</v>
      </c>
      <c r="D18" s="810">
        <v>-27271.455021224388</v>
      </c>
      <c r="E18" s="805" t="s">
        <v>231</v>
      </c>
      <c r="F18" s="625">
        <f t="shared" si="0"/>
        <v>0.22953887558714423</v>
      </c>
      <c r="G18" s="800">
        <f t="shared" si="1"/>
        <v>-6259.8591211972243</v>
      </c>
    </row>
    <row r="19" spans="1:7">
      <c r="A19" s="533" t="s">
        <v>467</v>
      </c>
      <c r="B19" s="803" t="s">
        <v>187</v>
      </c>
      <c r="C19" s="241" t="s">
        <v>140</v>
      </c>
      <c r="D19" s="810">
        <v>-8864.1368172686525</v>
      </c>
      <c r="E19" s="805" t="s">
        <v>146</v>
      </c>
      <c r="F19" s="625">
        <f t="shared" si="0"/>
        <v>7.9057273540331513E-2</v>
      </c>
      <c r="G19" s="800">
        <f t="shared" si="1"/>
        <v>-700.7744890617314</v>
      </c>
    </row>
    <row r="20" spans="1:7">
      <c r="A20" s="533" t="s">
        <v>467</v>
      </c>
      <c r="B20" s="803">
        <v>403364</v>
      </c>
      <c r="C20" s="241" t="s">
        <v>140</v>
      </c>
      <c r="D20" s="810">
        <v>270092.13646546466</v>
      </c>
      <c r="E20" s="807" t="s">
        <v>170</v>
      </c>
      <c r="F20" s="625">
        <f t="shared" si="0"/>
        <v>0</v>
      </c>
      <c r="G20" s="800">
        <f t="shared" si="1"/>
        <v>0</v>
      </c>
    </row>
    <row r="21" spans="1:7">
      <c r="A21" s="533" t="s">
        <v>467</v>
      </c>
      <c r="B21" s="803">
        <v>403364</v>
      </c>
      <c r="C21" s="241" t="s">
        <v>140</v>
      </c>
      <c r="D21" s="810">
        <v>487501.66359742131</v>
      </c>
      <c r="E21" s="807" t="s">
        <v>173</v>
      </c>
      <c r="F21" s="625">
        <f t="shared" si="0"/>
        <v>0</v>
      </c>
      <c r="G21" s="800">
        <f t="shared" si="1"/>
        <v>0</v>
      </c>
    </row>
    <row r="22" spans="1:7">
      <c r="A22" s="533" t="s">
        <v>467</v>
      </c>
      <c r="B22" s="803">
        <v>403364</v>
      </c>
      <c r="C22" s="241" t="s">
        <v>140</v>
      </c>
      <c r="D22" s="810">
        <v>-5061889.5521573788</v>
      </c>
      <c r="E22" s="807" t="s">
        <v>171</v>
      </c>
      <c r="F22" s="625">
        <f t="shared" si="0"/>
        <v>0</v>
      </c>
      <c r="G22" s="800">
        <f t="shared" si="1"/>
        <v>0</v>
      </c>
    </row>
    <row r="23" spans="1:7">
      <c r="A23" s="533" t="s">
        <v>467</v>
      </c>
      <c r="B23" s="803">
        <v>403364</v>
      </c>
      <c r="C23" s="241" t="s">
        <v>140</v>
      </c>
      <c r="D23" s="810">
        <v>4429830.912020918</v>
      </c>
      <c r="E23" s="807" t="s">
        <v>172</v>
      </c>
      <c r="F23" s="625">
        <f t="shared" si="0"/>
        <v>0</v>
      </c>
      <c r="G23" s="800">
        <f t="shared" si="1"/>
        <v>0</v>
      </c>
    </row>
    <row r="24" spans="1:7">
      <c r="A24" s="533" t="s">
        <v>467</v>
      </c>
      <c r="B24" s="803">
        <v>403364</v>
      </c>
      <c r="C24" s="241" t="s">
        <v>140</v>
      </c>
      <c r="D24" s="810">
        <v>-1145589.0096427337</v>
      </c>
      <c r="E24" s="807" t="s">
        <v>141</v>
      </c>
      <c r="F24" s="625">
        <f t="shared" si="0"/>
        <v>1</v>
      </c>
      <c r="G24" s="800">
        <f t="shared" si="1"/>
        <v>-1145589.0096427337</v>
      </c>
    </row>
    <row r="25" spans="1:7">
      <c r="A25" s="533" t="s">
        <v>467</v>
      </c>
      <c r="B25" s="803">
        <v>403364</v>
      </c>
      <c r="C25" s="241" t="s">
        <v>140</v>
      </c>
      <c r="D25" s="810">
        <v>728873.82539576781</v>
      </c>
      <c r="E25" s="807" t="s">
        <v>517</v>
      </c>
      <c r="F25" s="625">
        <f t="shared" si="0"/>
        <v>0</v>
      </c>
      <c r="G25" s="800">
        <f t="shared" si="1"/>
        <v>0</v>
      </c>
    </row>
    <row r="26" spans="1:7">
      <c r="A26" s="533" t="s">
        <v>467</v>
      </c>
      <c r="B26" s="803">
        <v>403364</v>
      </c>
      <c r="C26" s="241" t="s">
        <v>140</v>
      </c>
      <c r="D26" s="810">
        <v>149309.73077517931</v>
      </c>
      <c r="E26" s="807" t="s">
        <v>517</v>
      </c>
      <c r="F26" s="625">
        <f t="shared" si="0"/>
        <v>0</v>
      </c>
      <c r="G26" s="800">
        <f t="shared" si="1"/>
        <v>0</v>
      </c>
    </row>
    <row r="27" spans="1:7">
      <c r="A27" s="533" t="s">
        <v>467</v>
      </c>
      <c r="B27" s="803" t="s">
        <v>183</v>
      </c>
      <c r="C27" s="241" t="s">
        <v>140</v>
      </c>
      <c r="D27" s="810">
        <v>16677.088901260784</v>
      </c>
      <c r="E27" s="804" t="s">
        <v>170</v>
      </c>
      <c r="F27" s="625">
        <f t="shared" si="0"/>
        <v>0</v>
      </c>
      <c r="G27" s="800">
        <f t="shared" si="1"/>
        <v>0</v>
      </c>
    </row>
    <row r="28" spans="1:7">
      <c r="A28" s="533" t="s">
        <v>467</v>
      </c>
      <c r="B28" s="803" t="s">
        <v>183</v>
      </c>
      <c r="C28" s="241" t="s">
        <v>140</v>
      </c>
      <c r="D28" s="810">
        <v>66936.529615292064</v>
      </c>
      <c r="E28" s="804" t="s">
        <v>261</v>
      </c>
      <c r="F28" s="625">
        <f t="shared" si="0"/>
        <v>0</v>
      </c>
      <c r="G28" s="800">
        <f t="shared" si="1"/>
        <v>0</v>
      </c>
    </row>
    <row r="29" spans="1:7">
      <c r="A29" s="533" t="s">
        <v>467</v>
      </c>
      <c r="B29" s="803" t="s">
        <v>183</v>
      </c>
      <c r="C29" s="241" t="s">
        <v>140</v>
      </c>
      <c r="D29" s="810">
        <v>154509.63074733125</v>
      </c>
      <c r="E29" s="804" t="s">
        <v>214</v>
      </c>
      <c r="F29" s="625">
        <f t="shared" si="0"/>
        <v>0</v>
      </c>
      <c r="G29" s="800">
        <f t="shared" si="1"/>
        <v>0</v>
      </c>
    </row>
    <row r="30" spans="1:7">
      <c r="A30" s="533" t="s">
        <v>467</v>
      </c>
      <c r="B30" s="803" t="s">
        <v>183</v>
      </c>
      <c r="C30" s="241" t="s">
        <v>140</v>
      </c>
      <c r="D30" s="810">
        <v>122275.7531341275</v>
      </c>
      <c r="E30" s="804" t="s">
        <v>203</v>
      </c>
      <c r="F30" s="625">
        <f t="shared" si="0"/>
        <v>0.23084885646883446</v>
      </c>
      <c r="G30" s="800">
        <f t="shared" si="1"/>
        <v>28227.217784878834</v>
      </c>
    </row>
    <row r="31" spans="1:7">
      <c r="A31" s="533" t="s">
        <v>467</v>
      </c>
      <c r="B31" s="803" t="s">
        <v>183</v>
      </c>
      <c r="C31" s="241" t="s">
        <v>140</v>
      </c>
      <c r="D31" s="810">
        <v>-100486.72444643514</v>
      </c>
      <c r="E31" s="804" t="s">
        <v>152</v>
      </c>
      <c r="F31" s="625">
        <f t="shared" si="0"/>
        <v>6.9173575695716499E-2</v>
      </c>
      <c r="G31" s="800">
        <f t="shared" si="1"/>
        <v>-6951.0260399100871</v>
      </c>
    </row>
    <row r="32" spans="1:7">
      <c r="A32" s="533" t="s">
        <v>467</v>
      </c>
      <c r="B32" s="803" t="s">
        <v>183</v>
      </c>
      <c r="C32" s="241" t="s">
        <v>140</v>
      </c>
      <c r="D32" s="810">
        <v>21496.792970607745</v>
      </c>
      <c r="E32" s="804" t="s">
        <v>173</v>
      </c>
      <c r="F32" s="625">
        <f t="shared" si="0"/>
        <v>0</v>
      </c>
      <c r="G32" s="800">
        <f t="shared" si="1"/>
        <v>0</v>
      </c>
    </row>
    <row r="33" spans="1:7">
      <c r="A33" s="533" t="s">
        <v>467</v>
      </c>
      <c r="B33" s="803" t="s">
        <v>183</v>
      </c>
      <c r="C33" s="241" t="s">
        <v>140</v>
      </c>
      <c r="D33" s="810">
        <v>-26969.339317878839</v>
      </c>
      <c r="E33" s="805" t="s">
        <v>231</v>
      </c>
      <c r="F33" s="625">
        <f t="shared" si="0"/>
        <v>0.22953887558714423</v>
      </c>
      <c r="G33" s="800">
        <f t="shared" si="1"/>
        <v>-6190.5118223540676</v>
      </c>
    </row>
    <row r="34" spans="1:7">
      <c r="A34" s="533" t="s">
        <v>467</v>
      </c>
      <c r="B34" s="803" t="s">
        <v>183</v>
      </c>
      <c r="C34" s="241" t="s">
        <v>140</v>
      </c>
      <c r="D34" s="810">
        <v>103291.67306714682</v>
      </c>
      <c r="E34" s="805" t="s">
        <v>171</v>
      </c>
      <c r="F34" s="625">
        <f t="shared" si="0"/>
        <v>0</v>
      </c>
      <c r="G34" s="800">
        <f t="shared" si="1"/>
        <v>0</v>
      </c>
    </row>
    <row r="35" spans="1:7">
      <c r="A35" s="533" t="s">
        <v>467</v>
      </c>
      <c r="B35" s="803" t="s">
        <v>183</v>
      </c>
      <c r="C35" s="241" t="s">
        <v>140</v>
      </c>
      <c r="D35" s="810">
        <v>88.25733990147782</v>
      </c>
      <c r="E35" s="361" t="s">
        <v>146</v>
      </c>
      <c r="F35" s="625">
        <f t="shared" si="0"/>
        <v>7.9057273540331513E-2</v>
      </c>
      <c r="G35" s="800">
        <f t="shared" si="1"/>
        <v>6.9773846625331473</v>
      </c>
    </row>
    <row r="36" spans="1:7">
      <c r="A36" s="533" t="s">
        <v>467</v>
      </c>
      <c r="B36" s="803" t="s">
        <v>183</v>
      </c>
      <c r="C36" s="241" t="s">
        <v>140</v>
      </c>
      <c r="D36" s="810">
        <v>477034.4802980657</v>
      </c>
      <c r="E36" s="805" t="s">
        <v>130</v>
      </c>
      <c r="F36" s="625">
        <f t="shared" si="0"/>
        <v>6.8539355270203509E-2</v>
      </c>
      <c r="G36" s="800">
        <f t="shared" si="1"/>
        <v>32695.63572128602</v>
      </c>
    </row>
    <row r="37" spans="1:7">
      <c r="A37" s="533" t="s">
        <v>467</v>
      </c>
      <c r="B37" s="803" t="s">
        <v>183</v>
      </c>
      <c r="C37" s="241" t="s">
        <v>140</v>
      </c>
      <c r="D37" s="810">
        <v>-62605.57414234872</v>
      </c>
      <c r="E37" s="805" t="s">
        <v>172</v>
      </c>
      <c r="F37" s="625">
        <f t="shared" si="0"/>
        <v>0</v>
      </c>
      <c r="G37" s="800">
        <f t="shared" si="1"/>
        <v>0</v>
      </c>
    </row>
    <row r="38" spans="1:7">
      <c r="A38" s="533" t="s">
        <v>467</v>
      </c>
      <c r="B38" s="803" t="s">
        <v>183</v>
      </c>
      <c r="C38" s="241" t="s">
        <v>140</v>
      </c>
      <c r="D38" s="810">
        <v>-255940.88822807369</v>
      </c>
      <c r="E38" s="805" t="s">
        <v>141</v>
      </c>
      <c r="F38" s="625">
        <f t="shared" si="0"/>
        <v>1</v>
      </c>
      <c r="G38" s="800">
        <f t="shared" si="1"/>
        <v>-255940.88822807369</v>
      </c>
    </row>
    <row r="39" spans="1:7">
      <c r="A39" s="533" t="s">
        <v>467</v>
      </c>
      <c r="B39" s="803" t="s">
        <v>183</v>
      </c>
      <c r="C39" s="241" t="s">
        <v>140</v>
      </c>
      <c r="D39" s="810">
        <v>-267490.41452728567</v>
      </c>
      <c r="E39" s="805" t="s">
        <v>517</v>
      </c>
      <c r="F39" s="625">
        <f t="shared" si="0"/>
        <v>0</v>
      </c>
      <c r="G39" s="800">
        <f t="shared" si="1"/>
        <v>0</v>
      </c>
    </row>
    <row r="40" spans="1:7">
      <c r="A40" s="533" t="s">
        <v>467</v>
      </c>
      <c r="B40" s="803" t="s">
        <v>183</v>
      </c>
      <c r="C40" s="241" t="s">
        <v>140</v>
      </c>
      <c r="D40" s="810">
        <v>-88756.959390767792</v>
      </c>
      <c r="E40" s="805" t="s">
        <v>517</v>
      </c>
      <c r="F40" s="625">
        <f t="shared" si="0"/>
        <v>0</v>
      </c>
      <c r="G40" s="800">
        <f t="shared" si="1"/>
        <v>0</v>
      </c>
    </row>
    <row r="41" spans="1:7" ht="13.5" thickBot="1">
      <c r="A41" s="533"/>
      <c r="B41" s="805"/>
      <c r="C41" s="241"/>
      <c r="D41" s="38">
        <f>SUM(D9:D40)</f>
        <v>135459879.42190978</v>
      </c>
      <c r="E41" s="805"/>
      <c r="F41" s="347"/>
      <c r="G41" s="808">
        <f>SUM(G9:G40)</f>
        <v>2013215.9657142847</v>
      </c>
    </row>
    <row r="42" spans="1:7" ht="13.5" thickTop="1">
      <c r="A42" s="544"/>
      <c r="B42" s="805"/>
      <c r="C42" s="241"/>
      <c r="D42" s="35"/>
      <c r="E42" s="241"/>
      <c r="F42" s="347"/>
    </row>
    <row r="43" spans="1:7">
      <c r="A43" s="240" t="s">
        <v>578</v>
      </c>
      <c r="B43" s="801"/>
      <c r="C43" s="241"/>
      <c r="D43" s="35"/>
      <c r="E43" s="802"/>
      <c r="F43" s="36"/>
    </row>
    <row r="44" spans="1:7">
      <c r="A44" s="533" t="s">
        <v>213</v>
      </c>
      <c r="B44" s="803" t="s">
        <v>178</v>
      </c>
      <c r="C44" s="241" t="s">
        <v>140</v>
      </c>
      <c r="D44" s="810">
        <v>-124536092.03855678</v>
      </c>
      <c r="E44" s="30" t="s">
        <v>214</v>
      </c>
      <c r="F44" s="625">
        <f t="shared" ref="F44:F75" si="2">INDEX(WCAAllocations,IFERROR(MATCH(E44,WCAFactors,0),2),IFERROR(MATCH(E44,WCAStates,0),4))</f>
        <v>0</v>
      </c>
      <c r="G44" s="800">
        <f>D44*F44</f>
        <v>0</v>
      </c>
    </row>
    <row r="45" spans="1:7">
      <c r="A45" s="533" t="s">
        <v>213</v>
      </c>
      <c r="B45" s="803" t="s">
        <v>178</v>
      </c>
      <c r="C45" s="241" t="s">
        <v>140</v>
      </c>
      <c r="D45" s="810">
        <v>-1954091.0923044377</v>
      </c>
      <c r="E45" s="30" t="s">
        <v>203</v>
      </c>
      <c r="F45" s="625">
        <f t="shared" si="2"/>
        <v>0.23084885646883446</v>
      </c>
      <c r="G45" s="800">
        <f t="shared" ref="G45:G75" si="3">D45*F45</f>
        <v>-451099.69409441506</v>
      </c>
    </row>
    <row r="46" spans="1:7">
      <c r="A46" s="533" t="s">
        <v>213</v>
      </c>
      <c r="B46" s="803" t="s">
        <v>178</v>
      </c>
      <c r="C46" s="241" t="s">
        <v>140</v>
      </c>
      <c r="D46" s="810">
        <v>-8809770.8728527408</v>
      </c>
      <c r="E46" s="61" t="s">
        <v>231</v>
      </c>
      <c r="F46" s="625">
        <f t="shared" si="2"/>
        <v>0.22953887558714423</v>
      </c>
      <c r="G46" s="800">
        <f t="shared" si="3"/>
        <v>-2022184.9003349922</v>
      </c>
    </row>
    <row r="47" spans="1:7">
      <c r="A47" s="533" t="s">
        <v>213</v>
      </c>
      <c r="B47" s="803" t="s">
        <v>175</v>
      </c>
      <c r="C47" s="241" t="s">
        <v>140</v>
      </c>
      <c r="D47" s="810">
        <v>-3959673.3636438078</v>
      </c>
      <c r="E47" s="30" t="s">
        <v>214</v>
      </c>
      <c r="F47" s="625">
        <f t="shared" si="2"/>
        <v>0</v>
      </c>
      <c r="G47" s="800">
        <f t="shared" si="3"/>
        <v>0</v>
      </c>
    </row>
    <row r="48" spans="1:7">
      <c r="A48" s="533" t="s">
        <v>213</v>
      </c>
      <c r="B48" s="803" t="s">
        <v>175</v>
      </c>
      <c r="C48" s="241" t="s">
        <v>140</v>
      </c>
      <c r="D48" s="810">
        <v>-8915870.2695715614</v>
      </c>
      <c r="E48" s="30" t="s">
        <v>203</v>
      </c>
      <c r="F48" s="625">
        <f t="shared" si="2"/>
        <v>0.23084885646883446</v>
      </c>
      <c r="G48" s="800">
        <f t="shared" si="3"/>
        <v>-2058218.4561550738</v>
      </c>
    </row>
    <row r="49" spans="1:7">
      <c r="A49" s="533" t="s">
        <v>213</v>
      </c>
      <c r="B49" s="803" t="s">
        <v>177</v>
      </c>
      <c r="C49" s="241" t="s">
        <v>140</v>
      </c>
      <c r="D49" s="810">
        <v>6090878.2912179204</v>
      </c>
      <c r="E49" s="30" t="s">
        <v>214</v>
      </c>
      <c r="F49" s="625">
        <f t="shared" si="2"/>
        <v>0</v>
      </c>
      <c r="G49" s="800">
        <f t="shared" si="3"/>
        <v>0</v>
      </c>
    </row>
    <row r="50" spans="1:7">
      <c r="A50" s="533" t="s">
        <v>213</v>
      </c>
      <c r="B50" s="803" t="s">
        <v>177</v>
      </c>
      <c r="C50" s="241" t="s">
        <v>140</v>
      </c>
      <c r="D50" s="810">
        <v>3162043.8638194986</v>
      </c>
      <c r="E50" s="30" t="s">
        <v>203</v>
      </c>
      <c r="F50" s="625">
        <f t="shared" si="2"/>
        <v>0.23084885646883446</v>
      </c>
      <c r="G50" s="800">
        <f t="shared" si="3"/>
        <v>729954.2100670262</v>
      </c>
    </row>
    <row r="51" spans="1:7">
      <c r="A51" s="595" t="s">
        <v>213</v>
      </c>
      <c r="B51" s="807" t="s">
        <v>179</v>
      </c>
      <c r="C51" s="163" t="s">
        <v>140</v>
      </c>
      <c r="D51" s="810">
        <v>1592323.559854269</v>
      </c>
      <c r="E51" s="61" t="s">
        <v>214</v>
      </c>
      <c r="F51" s="625">
        <f t="shared" si="2"/>
        <v>0</v>
      </c>
      <c r="G51" s="800">
        <f t="shared" si="3"/>
        <v>0</v>
      </c>
    </row>
    <row r="52" spans="1:7">
      <c r="A52" s="533" t="s">
        <v>213</v>
      </c>
      <c r="B52" s="803" t="s">
        <v>179</v>
      </c>
      <c r="C52" s="241" t="s">
        <v>140</v>
      </c>
      <c r="D52" s="810">
        <v>1852426.9207649229</v>
      </c>
      <c r="E52" s="30" t="s">
        <v>203</v>
      </c>
      <c r="F52" s="625">
        <f t="shared" si="2"/>
        <v>0.23084885646883446</v>
      </c>
      <c r="G52" s="800">
        <f t="shared" si="3"/>
        <v>427630.63635066664</v>
      </c>
    </row>
    <row r="53" spans="1:7">
      <c r="A53" s="533" t="s">
        <v>213</v>
      </c>
      <c r="B53" s="803" t="s">
        <v>179</v>
      </c>
      <c r="C53" s="241" t="s">
        <v>140</v>
      </c>
      <c r="D53" s="810">
        <v>27271.455021224388</v>
      </c>
      <c r="E53" s="61" t="s">
        <v>231</v>
      </c>
      <c r="F53" s="625">
        <f t="shared" si="2"/>
        <v>0.22953887558714423</v>
      </c>
      <c r="G53" s="800">
        <f t="shared" si="3"/>
        <v>6259.8591211972243</v>
      </c>
    </row>
    <row r="54" spans="1:7">
      <c r="A54" s="533" t="s">
        <v>213</v>
      </c>
      <c r="B54" s="803" t="s">
        <v>179</v>
      </c>
      <c r="C54" s="241" t="s">
        <v>140</v>
      </c>
      <c r="D54" s="810">
        <v>8864.1368172686525</v>
      </c>
      <c r="E54" s="61" t="s">
        <v>146</v>
      </c>
      <c r="F54" s="625">
        <f t="shared" si="2"/>
        <v>7.9057273540331513E-2</v>
      </c>
      <c r="G54" s="800">
        <f t="shared" si="3"/>
        <v>700.7744890617314</v>
      </c>
    </row>
    <row r="55" spans="1:7">
      <c r="A55" s="533" t="s">
        <v>213</v>
      </c>
      <c r="B55" s="803">
        <v>108364</v>
      </c>
      <c r="C55" s="241" t="s">
        <v>140</v>
      </c>
      <c r="D55" s="810">
        <v>-270092.13646546466</v>
      </c>
      <c r="E55" s="15" t="s">
        <v>170</v>
      </c>
      <c r="F55" s="625">
        <f t="shared" si="2"/>
        <v>0</v>
      </c>
      <c r="G55" s="800">
        <f t="shared" si="3"/>
        <v>0</v>
      </c>
    </row>
    <row r="56" spans="1:7">
      <c r="A56" s="533" t="s">
        <v>213</v>
      </c>
      <c r="B56" s="803">
        <v>108364</v>
      </c>
      <c r="C56" s="241" t="s">
        <v>140</v>
      </c>
      <c r="D56" s="810">
        <v>-487501.66359742131</v>
      </c>
      <c r="E56" s="15" t="s">
        <v>173</v>
      </c>
      <c r="F56" s="625">
        <f t="shared" si="2"/>
        <v>0</v>
      </c>
      <c r="G56" s="800">
        <f t="shared" si="3"/>
        <v>0</v>
      </c>
    </row>
    <row r="57" spans="1:7">
      <c r="A57" s="533" t="s">
        <v>213</v>
      </c>
      <c r="B57" s="803">
        <v>108364</v>
      </c>
      <c r="C57" s="241" t="s">
        <v>140</v>
      </c>
      <c r="D57" s="810">
        <v>5061889.5521573788</v>
      </c>
      <c r="E57" s="15" t="s">
        <v>171</v>
      </c>
      <c r="F57" s="625">
        <f t="shared" si="2"/>
        <v>0</v>
      </c>
      <c r="G57" s="800">
        <f t="shared" si="3"/>
        <v>0</v>
      </c>
    </row>
    <row r="58" spans="1:7">
      <c r="A58" s="533" t="s">
        <v>213</v>
      </c>
      <c r="B58" s="803">
        <v>108364</v>
      </c>
      <c r="C58" s="241" t="s">
        <v>140</v>
      </c>
      <c r="D58" s="810">
        <v>-4429830.912020918</v>
      </c>
      <c r="E58" s="15" t="s">
        <v>172</v>
      </c>
      <c r="F58" s="625">
        <f t="shared" si="2"/>
        <v>0</v>
      </c>
      <c r="G58" s="800">
        <f t="shared" si="3"/>
        <v>0</v>
      </c>
    </row>
    <row r="59" spans="1:7">
      <c r="A59" s="533" t="s">
        <v>213</v>
      </c>
      <c r="B59" s="803">
        <v>108364</v>
      </c>
      <c r="C59" s="241" t="s">
        <v>140</v>
      </c>
      <c r="D59" s="810">
        <v>1145589.0096427337</v>
      </c>
      <c r="E59" s="15" t="s">
        <v>141</v>
      </c>
      <c r="F59" s="625">
        <f t="shared" si="2"/>
        <v>1</v>
      </c>
      <c r="G59" s="800">
        <f t="shared" si="3"/>
        <v>1145589.0096427337</v>
      </c>
    </row>
    <row r="60" spans="1:7">
      <c r="A60" s="533" t="s">
        <v>213</v>
      </c>
      <c r="B60" s="803">
        <v>108364</v>
      </c>
      <c r="C60" s="241" t="s">
        <v>140</v>
      </c>
      <c r="D60" s="810">
        <v>-728873.82539576781</v>
      </c>
      <c r="E60" s="15" t="s">
        <v>517</v>
      </c>
      <c r="F60" s="625">
        <f t="shared" si="2"/>
        <v>0</v>
      </c>
      <c r="G60" s="800">
        <f t="shared" si="3"/>
        <v>0</v>
      </c>
    </row>
    <row r="61" spans="1:7">
      <c r="A61" s="533" t="s">
        <v>213</v>
      </c>
      <c r="B61" s="803">
        <v>108364</v>
      </c>
      <c r="C61" s="241" t="s">
        <v>140</v>
      </c>
      <c r="D61" s="810">
        <v>-149309.73077517931</v>
      </c>
      <c r="E61" s="15" t="s">
        <v>517</v>
      </c>
      <c r="F61" s="625">
        <f t="shared" si="2"/>
        <v>0</v>
      </c>
      <c r="G61" s="800">
        <f t="shared" si="3"/>
        <v>0</v>
      </c>
    </row>
    <row r="62" spans="1:7">
      <c r="A62" s="533" t="s">
        <v>213</v>
      </c>
      <c r="B62" s="803" t="s">
        <v>174</v>
      </c>
      <c r="C62" s="241" t="s">
        <v>140</v>
      </c>
      <c r="D62" s="810">
        <v>-16677.088901260784</v>
      </c>
      <c r="E62" s="30" t="s">
        <v>170</v>
      </c>
      <c r="F62" s="625">
        <f t="shared" si="2"/>
        <v>0</v>
      </c>
      <c r="G62" s="800">
        <f t="shared" si="3"/>
        <v>0</v>
      </c>
    </row>
    <row r="63" spans="1:7">
      <c r="A63" s="533" t="s">
        <v>213</v>
      </c>
      <c r="B63" s="803" t="s">
        <v>174</v>
      </c>
      <c r="C63" s="241" t="s">
        <v>140</v>
      </c>
      <c r="D63" s="810">
        <v>-66936.529615292064</v>
      </c>
      <c r="E63" s="30" t="s">
        <v>261</v>
      </c>
      <c r="F63" s="625">
        <f t="shared" si="2"/>
        <v>0</v>
      </c>
      <c r="G63" s="800">
        <f t="shared" si="3"/>
        <v>0</v>
      </c>
    </row>
    <row r="64" spans="1:7">
      <c r="A64" s="533" t="s">
        <v>213</v>
      </c>
      <c r="B64" s="803" t="s">
        <v>174</v>
      </c>
      <c r="C64" s="241" t="s">
        <v>140</v>
      </c>
      <c r="D64" s="810">
        <v>-154509.63074733125</v>
      </c>
      <c r="E64" s="30" t="s">
        <v>214</v>
      </c>
      <c r="F64" s="625">
        <f t="shared" si="2"/>
        <v>0</v>
      </c>
      <c r="G64" s="800">
        <f t="shared" si="3"/>
        <v>0</v>
      </c>
    </row>
    <row r="65" spans="1:7">
      <c r="A65" s="533" t="s">
        <v>213</v>
      </c>
      <c r="B65" s="803" t="s">
        <v>174</v>
      </c>
      <c r="C65" s="241" t="s">
        <v>140</v>
      </c>
      <c r="D65" s="810">
        <v>-122275.7531341275</v>
      </c>
      <c r="E65" s="30" t="s">
        <v>203</v>
      </c>
      <c r="F65" s="625">
        <f t="shared" si="2"/>
        <v>0.23084885646883446</v>
      </c>
      <c r="G65" s="800">
        <f t="shared" si="3"/>
        <v>-28227.217784878834</v>
      </c>
    </row>
    <row r="66" spans="1:7">
      <c r="A66" s="533" t="s">
        <v>213</v>
      </c>
      <c r="B66" s="803" t="s">
        <v>174</v>
      </c>
      <c r="C66" s="241" t="s">
        <v>140</v>
      </c>
      <c r="D66" s="810">
        <v>100486.72444643514</v>
      </c>
      <c r="E66" s="30" t="s">
        <v>152</v>
      </c>
      <c r="F66" s="625">
        <f t="shared" si="2"/>
        <v>6.9173575695716499E-2</v>
      </c>
      <c r="G66" s="800">
        <f t="shared" si="3"/>
        <v>6951.0260399100871</v>
      </c>
    </row>
    <row r="67" spans="1:7">
      <c r="A67" s="533" t="s">
        <v>213</v>
      </c>
      <c r="B67" s="803" t="s">
        <v>174</v>
      </c>
      <c r="C67" s="241" t="s">
        <v>140</v>
      </c>
      <c r="D67" s="810">
        <v>-21496.792970607745</v>
      </c>
      <c r="E67" s="30" t="s">
        <v>173</v>
      </c>
      <c r="F67" s="625">
        <f t="shared" si="2"/>
        <v>0</v>
      </c>
      <c r="G67" s="800">
        <f t="shared" si="3"/>
        <v>0</v>
      </c>
    </row>
    <row r="68" spans="1:7">
      <c r="A68" s="533" t="s">
        <v>213</v>
      </c>
      <c r="B68" s="803" t="s">
        <v>174</v>
      </c>
      <c r="C68" s="241" t="s">
        <v>140</v>
      </c>
      <c r="D68" s="810">
        <v>26969.339317878839</v>
      </c>
      <c r="E68" s="61" t="s">
        <v>231</v>
      </c>
      <c r="F68" s="625">
        <f t="shared" si="2"/>
        <v>0.22953887558714423</v>
      </c>
      <c r="G68" s="800">
        <f t="shared" si="3"/>
        <v>6190.5118223540676</v>
      </c>
    </row>
    <row r="69" spans="1:7">
      <c r="A69" s="533" t="s">
        <v>213</v>
      </c>
      <c r="B69" s="803" t="s">
        <v>174</v>
      </c>
      <c r="C69" s="241" t="s">
        <v>140</v>
      </c>
      <c r="D69" s="810">
        <v>-103291.67306714682</v>
      </c>
      <c r="E69" s="61" t="s">
        <v>171</v>
      </c>
      <c r="F69" s="625">
        <f t="shared" si="2"/>
        <v>0</v>
      </c>
      <c r="G69" s="800">
        <f t="shared" si="3"/>
        <v>0</v>
      </c>
    </row>
    <row r="70" spans="1:7">
      <c r="A70" s="533" t="s">
        <v>213</v>
      </c>
      <c r="B70" s="803" t="s">
        <v>174</v>
      </c>
      <c r="C70" s="241" t="s">
        <v>140</v>
      </c>
      <c r="D70" s="810">
        <v>-88.25733990147782</v>
      </c>
      <c r="E70" s="61" t="s">
        <v>146</v>
      </c>
      <c r="F70" s="625">
        <f t="shared" si="2"/>
        <v>7.9057273540331513E-2</v>
      </c>
      <c r="G70" s="800">
        <f t="shared" si="3"/>
        <v>-6.9773846625331473</v>
      </c>
    </row>
    <row r="71" spans="1:7">
      <c r="A71" s="533" t="s">
        <v>213</v>
      </c>
      <c r="B71" s="803" t="s">
        <v>174</v>
      </c>
      <c r="C71" s="241" t="s">
        <v>140</v>
      </c>
      <c r="D71" s="810">
        <v>-477034.4802980657</v>
      </c>
      <c r="E71" s="61" t="s">
        <v>130</v>
      </c>
      <c r="F71" s="625">
        <f t="shared" si="2"/>
        <v>6.8539355270203509E-2</v>
      </c>
      <c r="G71" s="800">
        <f t="shared" si="3"/>
        <v>-32695.63572128602</v>
      </c>
    </row>
    <row r="72" spans="1:7">
      <c r="A72" s="533" t="s">
        <v>213</v>
      </c>
      <c r="B72" s="803" t="s">
        <v>174</v>
      </c>
      <c r="C72" s="241" t="s">
        <v>140</v>
      </c>
      <c r="D72" s="810">
        <v>62605.57414234872</v>
      </c>
      <c r="E72" s="61" t="s">
        <v>172</v>
      </c>
      <c r="F72" s="625">
        <f t="shared" si="2"/>
        <v>0</v>
      </c>
      <c r="G72" s="800">
        <f t="shared" si="3"/>
        <v>0</v>
      </c>
    </row>
    <row r="73" spans="1:7">
      <c r="A73" s="533" t="s">
        <v>213</v>
      </c>
      <c r="B73" s="803" t="s">
        <v>174</v>
      </c>
      <c r="C73" s="241" t="s">
        <v>140</v>
      </c>
      <c r="D73" s="810">
        <v>255940.88822807369</v>
      </c>
      <c r="E73" s="61" t="s">
        <v>141</v>
      </c>
      <c r="F73" s="625">
        <f t="shared" si="2"/>
        <v>1</v>
      </c>
      <c r="G73" s="800">
        <f t="shared" si="3"/>
        <v>255940.88822807369</v>
      </c>
    </row>
    <row r="74" spans="1:7">
      <c r="A74" s="533" t="s">
        <v>213</v>
      </c>
      <c r="B74" s="803" t="s">
        <v>174</v>
      </c>
      <c r="C74" s="241" t="s">
        <v>140</v>
      </c>
      <c r="D74" s="810">
        <v>267490.41452728567</v>
      </c>
      <c r="E74" s="61" t="s">
        <v>517</v>
      </c>
      <c r="F74" s="625">
        <f t="shared" si="2"/>
        <v>0</v>
      </c>
      <c r="G74" s="800">
        <f t="shared" si="3"/>
        <v>0</v>
      </c>
    </row>
    <row r="75" spans="1:7">
      <c r="A75" s="533" t="s">
        <v>213</v>
      </c>
      <c r="B75" s="803" t="s">
        <v>174</v>
      </c>
      <c r="C75" s="241" t="s">
        <v>140</v>
      </c>
      <c r="D75" s="810">
        <v>88756.959390767792</v>
      </c>
      <c r="E75" s="61" t="s">
        <v>517</v>
      </c>
      <c r="F75" s="625">
        <f t="shared" si="2"/>
        <v>0</v>
      </c>
      <c r="G75" s="800">
        <f t="shared" si="3"/>
        <v>0</v>
      </c>
    </row>
    <row r="76" spans="1:7" ht="13.5" thickBot="1">
      <c r="A76" s="544"/>
      <c r="B76" s="805"/>
      <c r="C76" s="241"/>
      <c r="D76" s="38">
        <f>SUM(D44:D75)</f>
        <v>-135459879.42190978</v>
      </c>
      <c r="E76" s="805"/>
      <c r="F76" s="347"/>
      <c r="G76" s="808">
        <f>SUM(G44:G75)</f>
        <v>-2013215.9657142847</v>
      </c>
    </row>
    <row r="77" spans="1:7" ht="13.5" thickTop="1">
      <c r="A77" s="544"/>
      <c r="B77" s="805"/>
      <c r="C77" s="241"/>
      <c r="D77" s="35"/>
      <c r="E77" s="241"/>
      <c r="F77" s="347"/>
    </row>
    <row r="78" spans="1:7">
      <c r="A78" s="240" t="s">
        <v>719</v>
      </c>
      <c r="B78" s="801"/>
      <c r="C78" s="241"/>
      <c r="D78" s="35"/>
      <c r="E78" s="802"/>
      <c r="F78" s="36"/>
    </row>
    <row r="79" spans="1:7">
      <c r="A79" s="533" t="s">
        <v>267</v>
      </c>
      <c r="B79" s="803" t="s">
        <v>191</v>
      </c>
      <c r="C79" s="241" t="s">
        <v>140</v>
      </c>
      <c r="D79" s="810">
        <v>120967073.18187574</v>
      </c>
      <c r="E79" s="61" t="s">
        <v>214</v>
      </c>
      <c r="F79" s="625">
        <f t="shared" ref="F79:F92" si="4">INDEX(WCAAllocations,IFERROR(MATCH(E79,WCAFactors,0),2),IFERROR(MATCH(E79,WCAStates,0),4))</f>
        <v>0</v>
      </c>
      <c r="G79" s="800">
        <f>D79*F79</f>
        <v>0</v>
      </c>
    </row>
    <row r="80" spans="1:7">
      <c r="A80" s="533" t="s">
        <v>267</v>
      </c>
      <c r="B80" s="803" t="s">
        <v>191</v>
      </c>
      <c r="C80" s="241" t="s">
        <v>140</v>
      </c>
      <c r="D80" s="810">
        <v>5977766.3304257048</v>
      </c>
      <c r="E80" s="61" t="s">
        <v>203</v>
      </c>
      <c r="F80" s="625">
        <f t="shared" si="4"/>
        <v>0.23084885646883446</v>
      </c>
      <c r="G80" s="800">
        <f t="shared" ref="G80:G92" si="5">D80*F80</f>
        <v>1379960.5216166747</v>
      </c>
    </row>
    <row r="81" spans="1:7">
      <c r="A81" s="533" t="s">
        <v>267</v>
      </c>
      <c r="B81" s="803" t="s">
        <v>191</v>
      </c>
      <c r="C81" s="241" t="s">
        <v>140</v>
      </c>
      <c r="D81" s="810">
        <v>8755530.0785136372</v>
      </c>
      <c r="E81" s="61" t="s">
        <v>231</v>
      </c>
      <c r="F81" s="625">
        <f t="shared" si="4"/>
        <v>0.22953887558714423</v>
      </c>
      <c r="G81" s="800">
        <f t="shared" si="5"/>
        <v>2009734.5293914408</v>
      </c>
    </row>
    <row r="82" spans="1:7">
      <c r="A82" s="533" t="s">
        <v>267</v>
      </c>
      <c r="B82" s="803" t="s">
        <v>191</v>
      </c>
      <c r="C82" s="241" t="s">
        <v>140</v>
      </c>
      <c r="D82" s="810">
        <v>-8775.8794773671743</v>
      </c>
      <c r="E82" s="61" t="s">
        <v>146</v>
      </c>
      <c r="F82" s="625">
        <f t="shared" si="4"/>
        <v>7.9057273540331513E-2</v>
      </c>
      <c r="G82" s="800">
        <f t="shared" si="5"/>
        <v>-693.79710439919825</v>
      </c>
    </row>
    <row r="83" spans="1:7">
      <c r="A83" s="533" t="s">
        <v>267</v>
      </c>
      <c r="B83" s="803" t="s">
        <v>191</v>
      </c>
      <c r="C83" s="241" t="s">
        <v>140</v>
      </c>
      <c r="D83" s="810">
        <v>286769.22536672547</v>
      </c>
      <c r="E83" s="61" t="s">
        <v>170</v>
      </c>
      <c r="F83" s="625">
        <f t="shared" si="4"/>
        <v>0</v>
      </c>
      <c r="G83" s="800">
        <f t="shared" si="5"/>
        <v>0</v>
      </c>
    </row>
    <row r="84" spans="1:7">
      <c r="A84" s="533" t="s">
        <v>267</v>
      </c>
      <c r="B84" s="803" t="s">
        <v>191</v>
      </c>
      <c r="C84" s="241" t="s">
        <v>140</v>
      </c>
      <c r="D84" s="810">
        <v>508998.45656802907</v>
      </c>
      <c r="E84" s="61" t="s">
        <v>173</v>
      </c>
      <c r="F84" s="625">
        <f t="shared" si="4"/>
        <v>0</v>
      </c>
      <c r="G84" s="800">
        <f t="shared" si="5"/>
        <v>0</v>
      </c>
    </row>
    <row r="85" spans="1:7">
      <c r="A85" s="533" t="s">
        <v>267</v>
      </c>
      <c r="B85" s="803" t="s">
        <v>191</v>
      </c>
      <c r="C85" s="241" t="s">
        <v>140</v>
      </c>
      <c r="D85" s="810">
        <v>-4958597.8790902318</v>
      </c>
      <c r="E85" s="61" t="s">
        <v>171</v>
      </c>
      <c r="F85" s="625">
        <f t="shared" si="4"/>
        <v>0</v>
      </c>
      <c r="G85" s="800">
        <f t="shared" si="5"/>
        <v>0</v>
      </c>
    </row>
    <row r="86" spans="1:7">
      <c r="A86" s="595" t="s">
        <v>267</v>
      </c>
      <c r="B86" s="807" t="s">
        <v>191</v>
      </c>
      <c r="C86" s="163" t="s">
        <v>140</v>
      </c>
      <c r="D86" s="810">
        <v>4367225.337878569</v>
      </c>
      <c r="E86" s="61" t="s">
        <v>172</v>
      </c>
      <c r="F86" s="625">
        <f t="shared" si="4"/>
        <v>0</v>
      </c>
      <c r="G86" s="800">
        <f t="shared" si="5"/>
        <v>0</v>
      </c>
    </row>
    <row r="87" spans="1:7">
      <c r="A87" s="533" t="s">
        <v>267</v>
      </c>
      <c r="B87" s="803" t="s">
        <v>191</v>
      </c>
      <c r="C87" s="241" t="s">
        <v>140</v>
      </c>
      <c r="D87" s="810">
        <v>-1401529.8978708074</v>
      </c>
      <c r="E87" s="61" t="s">
        <v>141</v>
      </c>
      <c r="F87" s="625">
        <f t="shared" si="4"/>
        <v>1</v>
      </c>
      <c r="G87" s="800">
        <f t="shared" si="5"/>
        <v>-1401529.8978708074</v>
      </c>
    </row>
    <row r="88" spans="1:7">
      <c r="A88" s="533" t="s">
        <v>267</v>
      </c>
      <c r="B88" s="803" t="s">
        <v>191</v>
      </c>
      <c r="C88" s="241" t="s">
        <v>140</v>
      </c>
      <c r="D88" s="810">
        <v>461383.41086848214</v>
      </c>
      <c r="E88" s="61" t="s">
        <v>517</v>
      </c>
      <c r="F88" s="625">
        <f t="shared" si="4"/>
        <v>0</v>
      </c>
      <c r="G88" s="800">
        <f t="shared" si="5"/>
        <v>0</v>
      </c>
    </row>
    <row r="89" spans="1:7">
      <c r="A89" s="533" t="s">
        <v>267</v>
      </c>
      <c r="B89" s="803" t="s">
        <v>191</v>
      </c>
      <c r="C89" s="241" t="s">
        <v>140</v>
      </c>
      <c r="D89" s="810">
        <v>60552.771384411521</v>
      </c>
      <c r="E89" s="61" t="s">
        <v>517</v>
      </c>
      <c r="F89" s="625">
        <f t="shared" si="4"/>
        <v>0</v>
      </c>
      <c r="G89" s="800">
        <f t="shared" si="5"/>
        <v>0</v>
      </c>
    </row>
    <row r="90" spans="1:7">
      <c r="A90" s="533" t="s">
        <v>267</v>
      </c>
      <c r="B90" s="803" t="s">
        <v>191</v>
      </c>
      <c r="C90" s="241" t="s">
        <v>140</v>
      </c>
      <c r="D90" s="810">
        <v>66936.529615292064</v>
      </c>
      <c r="E90" s="61" t="s">
        <v>261</v>
      </c>
      <c r="F90" s="625">
        <f t="shared" si="4"/>
        <v>0</v>
      </c>
      <c r="G90" s="800">
        <f t="shared" si="5"/>
        <v>0</v>
      </c>
    </row>
    <row r="91" spans="1:7">
      <c r="A91" s="533" t="s">
        <v>267</v>
      </c>
      <c r="B91" s="803" t="s">
        <v>191</v>
      </c>
      <c r="C91" s="241" t="s">
        <v>140</v>
      </c>
      <c r="D91" s="810">
        <v>477034.4802980657</v>
      </c>
      <c r="E91" s="61" t="s">
        <v>130</v>
      </c>
      <c r="F91" s="625">
        <f t="shared" si="4"/>
        <v>6.8539355270203509E-2</v>
      </c>
      <c r="G91" s="800">
        <f t="shared" si="5"/>
        <v>32695.63572128602</v>
      </c>
    </row>
    <row r="92" spans="1:7">
      <c r="A92" s="533" t="s">
        <v>267</v>
      </c>
      <c r="B92" s="803" t="s">
        <v>191</v>
      </c>
      <c r="C92" s="241" t="s">
        <v>140</v>
      </c>
      <c r="D92" s="810">
        <v>-100486.72444643514</v>
      </c>
      <c r="E92" s="163" t="s">
        <v>152</v>
      </c>
      <c r="F92" s="625">
        <f t="shared" si="4"/>
        <v>6.9173575695716499E-2</v>
      </c>
      <c r="G92" s="800">
        <f t="shared" si="5"/>
        <v>-6951.0260399100871</v>
      </c>
    </row>
    <row r="93" spans="1:7" ht="13.5" thickBot="1">
      <c r="A93" s="544"/>
      <c r="B93" s="805"/>
      <c r="C93" s="241"/>
      <c r="D93" s="38">
        <f>SUM(D79:D92)</f>
        <v>135459879.42190978</v>
      </c>
      <c r="E93" s="805"/>
      <c r="F93" s="347"/>
      <c r="G93" s="38">
        <f>SUM(G79:G92)</f>
        <v>2013215.9657142849</v>
      </c>
    </row>
    <row r="94" spans="1:7" ht="13.5" thickTop="1">
      <c r="A94" s="544"/>
      <c r="B94" s="805"/>
      <c r="C94" s="241"/>
      <c r="D94" s="35"/>
      <c r="E94" s="241"/>
      <c r="F94" s="347"/>
    </row>
    <row r="95" spans="1:7">
      <c r="A95" s="533" t="s">
        <v>254</v>
      </c>
      <c r="B95" s="803">
        <v>41010</v>
      </c>
      <c r="C95" s="241" t="s">
        <v>140</v>
      </c>
      <c r="D95" s="810">
        <v>-45908213.943253659</v>
      </c>
      <c r="E95" s="61" t="s">
        <v>214</v>
      </c>
      <c r="F95" s="625">
        <f t="shared" ref="F95:F108" si="6">INDEX(WCAAllocations,IFERROR(MATCH(E95,WCAFactors,0),2),IFERROR(MATCH(E95,WCAStates,0),4))</f>
        <v>0</v>
      </c>
      <c r="G95" s="800">
        <f t="shared" ref="G95:G108" si="7">D95*F95</f>
        <v>0</v>
      </c>
    </row>
    <row r="96" spans="1:7">
      <c r="A96" s="533" t="s">
        <v>254</v>
      </c>
      <c r="B96" s="803">
        <v>41010</v>
      </c>
      <c r="C96" s="241" t="s">
        <v>140</v>
      </c>
      <c r="D96" s="810">
        <v>-2268622.1000598595</v>
      </c>
      <c r="E96" s="61" t="s">
        <v>203</v>
      </c>
      <c r="F96" s="625">
        <f t="shared" si="6"/>
        <v>0.23084885646883446</v>
      </c>
      <c r="G96" s="800">
        <f t="shared" si="7"/>
        <v>-523708.81755874428</v>
      </c>
    </row>
    <row r="97" spans="1:7">
      <c r="A97" s="533" t="s">
        <v>254</v>
      </c>
      <c r="B97" s="803">
        <v>41010</v>
      </c>
      <c r="C97" s="241" t="s">
        <v>140</v>
      </c>
      <c r="D97" s="810">
        <v>-3322811.2200967106</v>
      </c>
      <c r="E97" s="61" t="s">
        <v>231</v>
      </c>
      <c r="F97" s="625">
        <f t="shared" si="6"/>
        <v>0.22953887558714423</v>
      </c>
      <c r="G97" s="800">
        <f t="shared" si="7"/>
        <v>-762714.35124934581</v>
      </c>
    </row>
    <row r="98" spans="1:7">
      <c r="A98" s="533" t="s">
        <v>254</v>
      </c>
      <c r="B98" s="803">
        <v>41010</v>
      </c>
      <c r="C98" s="241" t="s">
        <v>140</v>
      </c>
      <c r="D98" s="810">
        <v>3330.5340204556164</v>
      </c>
      <c r="E98" s="61" t="s">
        <v>146</v>
      </c>
      <c r="F98" s="625">
        <f t="shared" si="6"/>
        <v>7.9057273540331513E-2</v>
      </c>
      <c r="G98" s="800">
        <f t="shared" si="7"/>
        <v>263.30293909053972</v>
      </c>
    </row>
    <row r="99" spans="1:7">
      <c r="A99" s="533" t="s">
        <v>254</v>
      </c>
      <c r="B99" s="803">
        <v>41010</v>
      </c>
      <c r="C99" s="241" t="s">
        <v>140</v>
      </c>
      <c r="D99" s="810">
        <v>-108831.78871892599</v>
      </c>
      <c r="E99" s="61" t="s">
        <v>170</v>
      </c>
      <c r="F99" s="625">
        <f t="shared" si="6"/>
        <v>0</v>
      </c>
      <c r="G99" s="800">
        <f t="shared" si="7"/>
        <v>0</v>
      </c>
    </row>
    <row r="100" spans="1:7">
      <c r="A100" s="533" t="s">
        <v>254</v>
      </c>
      <c r="B100" s="803">
        <v>41010</v>
      </c>
      <c r="C100" s="241" t="s">
        <v>140</v>
      </c>
      <c r="D100" s="810">
        <v>-193170.00425213273</v>
      </c>
      <c r="E100" s="61" t="s">
        <v>173</v>
      </c>
      <c r="F100" s="625">
        <f t="shared" si="6"/>
        <v>0</v>
      </c>
      <c r="G100" s="800">
        <f t="shared" si="7"/>
        <v>0</v>
      </c>
    </row>
    <row r="101" spans="1:7">
      <c r="A101" s="533" t="s">
        <v>254</v>
      </c>
      <c r="B101" s="803">
        <v>41010</v>
      </c>
      <c r="C101" s="241" t="s">
        <v>140</v>
      </c>
      <c r="D101" s="810">
        <v>1881837.481093534</v>
      </c>
      <c r="E101" s="61" t="s">
        <v>171</v>
      </c>
      <c r="F101" s="625">
        <f t="shared" si="6"/>
        <v>0</v>
      </c>
      <c r="G101" s="800">
        <f t="shared" si="7"/>
        <v>0</v>
      </c>
    </row>
    <row r="102" spans="1:7">
      <c r="A102" s="595" t="s">
        <v>254</v>
      </c>
      <c r="B102" s="807">
        <v>41010</v>
      </c>
      <c r="C102" s="163" t="s">
        <v>140</v>
      </c>
      <c r="D102" s="810">
        <v>-1657405.6879782958</v>
      </c>
      <c r="E102" s="61" t="s">
        <v>172</v>
      </c>
      <c r="F102" s="625">
        <f t="shared" si="6"/>
        <v>0</v>
      </c>
      <c r="G102" s="800">
        <f t="shared" si="7"/>
        <v>0</v>
      </c>
    </row>
    <row r="103" spans="1:7">
      <c r="A103" s="533" t="s">
        <v>254</v>
      </c>
      <c r="B103" s="803">
        <v>41010</v>
      </c>
      <c r="C103" s="241" t="s">
        <v>140</v>
      </c>
      <c r="D103" s="810">
        <v>531894.61154095014</v>
      </c>
      <c r="E103" s="61" t="s">
        <v>141</v>
      </c>
      <c r="F103" s="625">
        <f t="shared" si="6"/>
        <v>1</v>
      </c>
      <c r="G103" s="800">
        <f t="shared" si="7"/>
        <v>531894.61154095014</v>
      </c>
    </row>
    <row r="104" spans="1:7">
      <c r="A104" s="533" t="s">
        <v>254</v>
      </c>
      <c r="B104" s="803">
        <v>41010</v>
      </c>
      <c r="C104" s="241" t="s">
        <v>140</v>
      </c>
      <c r="D104" s="810">
        <v>-175099.61825869765</v>
      </c>
      <c r="E104" s="61" t="s">
        <v>517</v>
      </c>
      <c r="F104" s="625">
        <f t="shared" si="6"/>
        <v>0</v>
      </c>
      <c r="G104" s="800">
        <f t="shared" si="7"/>
        <v>0</v>
      </c>
    </row>
    <row r="105" spans="1:7">
      <c r="A105" s="533" t="s">
        <v>254</v>
      </c>
      <c r="B105" s="803">
        <v>41010</v>
      </c>
      <c r="C105" s="241" t="s">
        <v>140</v>
      </c>
      <c r="D105" s="810">
        <v>-22980.382268098016</v>
      </c>
      <c r="E105" s="61" t="s">
        <v>517</v>
      </c>
      <c r="F105" s="625">
        <f t="shared" si="6"/>
        <v>0</v>
      </c>
      <c r="G105" s="800">
        <f t="shared" si="7"/>
        <v>0</v>
      </c>
    </row>
    <row r="106" spans="1:7">
      <c r="A106" s="533" t="s">
        <v>254</v>
      </c>
      <c r="B106" s="803">
        <v>41010</v>
      </c>
      <c r="C106" s="241" t="s">
        <v>140</v>
      </c>
      <c r="D106" s="810">
        <v>-25403.082354299491</v>
      </c>
      <c r="E106" s="61" t="s">
        <v>261</v>
      </c>
      <c r="F106" s="625">
        <f t="shared" si="6"/>
        <v>0</v>
      </c>
      <c r="G106" s="800">
        <f t="shared" si="7"/>
        <v>0</v>
      </c>
    </row>
    <row r="107" spans="1:7">
      <c r="A107" s="533" t="s">
        <v>254</v>
      </c>
      <c r="B107" s="803">
        <v>41010</v>
      </c>
      <c r="C107" s="241" t="s">
        <v>140</v>
      </c>
      <c r="D107" s="810">
        <v>-181039.35561791892</v>
      </c>
      <c r="E107" s="61" t="s">
        <v>130</v>
      </c>
      <c r="F107" s="625">
        <f t="shared" si="6"/>
        <v>6.8539355270203509E-2</v>
      </c>
      <c r="G107" s="800">
        <f t="shared" si="7"/>
        <v>-12408.320712585259</v>
      </c>
    </row>
    <row r="108" spans="1:7">
      <c r="A108" s="533" t="s">
        <v>254</v>
      </c>
      <c r="B108" s="803">
        <v>41010</v>
      </c>
      <c r="C108" s="241" t="s">
        <v>140</v>
      </c>
      <c r="D108" s="810">
        <v>38135.716794666601</v>
      </c>
      <c r="E108" s="163" t="s">
        <v>152</v>
      </c>
      <c r="F108" s="625">
        <f t="shared" si="6"/>
        <v>6.9173575695716499E-2</v>
      </c>
      <c r="G108" s="800">
        <f t="shared" si="7"/>
        <v>2637.9838924062769</v>
      </c>
    </row>
    <row r="109" spans="1:7" ht="13.5" thickBot="1">
      <c r="A109" s="544"/>
      <c r="B109" s="805"/>
      <c r="C109" s="241"/>
      <c r="D109" s="38">
        <f>SUM(D95:D108)</f>
        <v>-51408378.839408994</v>
      </c>
      <c r="E109" s="805"/>
      <c r="F109" s="347"/>
      <c r="G109" s="38">
        <f>SUM(G95:G108)</f>
        <v>-764035.59114822827</v>
      </c>
    </row>
    <row r="110" spans="1:7" ht="13.5" thickTop="1">
      <c r="A110" s="544"/>
      <c r="B110" s="805"/>
      <c r="C110" s="241"/>
      <c r="D110" s="35"/>
      <c r="E110" s="241"/>
      <c r="F110" s="347"/>
    </row>
    <row r="111" spans="1:7">
      <c r="A111" s="533" t="s">
        <v>720</v>
      </c>
      <c r="B111" s="803">
        <v>282</v>
      </c>
      <c r="C111" s="241" t="s">
        <v>140</v>
      </c>
      <c r="D111" s="810">
        <v>45908213.943253659</v>
      </c>
      <c r="E111" s="61" t="s">
        <v>214</v>
      </c>
      <c r="F111" s="625">
        <f t="shared" ref="F111:F124" si="8">INDEX(WCAAllocations,IFERROR(MATCH(E111,WCAFactors,0),2),IFERROR(MATCH(E111,WCAStates,0),4))</f>
        <v>0</v>
      </c>
      <c r="G111" s="800">
        <f t="shared" ref="G111:G124" si="9">D111*F111</f>
        <v>0</v>
      </c>
    </row>
    <row r="112" spans="1:7">
      <c r="A112" s="533" t="s">
        <v>720</v>
      </c>
      <c r="B112" s="803">
        <v>282</v>
      </c>
      <c r="C112" s="241" t="s">
        <v>140</v>
      </c>
      <c r="D112" s="810">
        <v>2268622.1000598595</v>
      </c>
      <c r="E112" s="61" t="s">
        <v>203</v>
      </c>
      <c r="F112" s="625">
        <f t="shared" si="8"/>
        <v>0.23084885646883446</v>
      </c>
      <c r="G112" s="800">
        <f t="shared" si="9"/>
        <v>523708.81755874428</v>
      </c>
    </row>
    <row r="113" spans="1:7">
      <c r="A113" s="533" t="s">
        <v>720</v>
      </c>
      <c r="B113" s="803">
        <v>282</v>
      </c>
      <c r="C113" s="241" t="s">
        <v>140</v>
      </c>
      <c r="D113" s="810">
        <v>3322811.2200967106</v>
      </c>
      <c r="E113" s="61" t="s">
        <v>231</v>
      </c>
      <c r="F113" s="625">
        <f t="shared" si="8"/>
        <v>0.22953887558714423</v>
      </c>
      <c r="G113" s="800">
        <f t="shared" si="9"/>
        <v>762714.35124934581</v>
      </c>
    </row>
    <row r="114" spans="1:7">
      <c r="A114" s="533" t="s">
        <v>720</v>
      </c>
      <c r="B114" s="803">
        <v>282</v>
      </c>
      <c r="C114" s="241" t="s">
        <v>140</v>
      </c>
      <c r="D114" s="810">
        <v>-3330.5340204556164</v>
      </c>
      <c r="E114" s="61" t="s">
        <v>146</v>
      </c>
      <c r="F114" s="625">
        <f t="shared" si="8"/>
        <v>7.9057273540331513E-2</v>
      </c>
      <c r="G114" s="800">
        <f t="shared" si="9"/>
        <v>-263.30293909053972</v>
      </c>
    </row>
    <row r="115" spans="1:7">
      <c r="A115" s="533" t="s">
        <v>720</v>
      </c>
      <c r="B115" s="803">
        <v>282</v>
      </c>
      <c r="C115" s="241" t="s">
        <v>140</v>
      </c>
      <c r="D115" s="810">
        <v>108831.78871892599</v>
      </c>
      <c r="E115" s="61" t="s">
        <v>170</v>
      </c>
      <c r="F115" s="625">
        <f t="shared" si="8"/>
        <v>0</v>
      </c>
      <c r="G115" s="800">
        <f t="shared" si="9"/>
        <v>0</v>
      </c>
    </row>
    <row r="116" spans="1:7">
      <c r="A116" s="533" t="s">
        <v>720</v>
      </c>
      <c r="B116" s="803">
        <v>282</v>
      </c>
      <c r="C116" s="241" t="s">
        <v>140</v>
      </c>
      <c r="D116" s="810">
        <v>193170.00425213273</v>
      </c>
      <c r="E116" s="61" t="s">
        <v>173</v>
      </c>
      <c r="F116" s="625">
        <f t="shared" si="8"/>
        <v>0</v>
      </c>
      <c r="G116" s="800">
        <f t="shared" si="9"/>
        <v>0</v>
      </c>
    </row>
    <row r="117" spans="1:7">
      <c r="A117" s="533" t="s">
        <v>720</v>
      </c>
      <c r="B117" s="803">
        <v>282</v>
      </c>
      <c r="C117" s="241" t="s">
        <v>140</v>
      </c>
      <c r="D117" s="810">
        <v>-1881837.481093534</v>
      </c>
      <c r="E117" s="61" t="s">
        <v>171</v>
      </c>
      <c r="F117" s="625">
        <f t="shared" si="8"/>
        <v>0</v>
      </c>
      <c r="G117" s="800">
        <f t="shared" si="9"/>
        <v>0</v>
      </c>
    </row>
    <row r="118" spans="1:7">
      <c r="A118" s="595" t="s">
        <v>720</v>
      </c>
      <c r="B118" s="807">
        <v>282</v>
      </c>
      <c r="C118" s="163" t="s">
        <v>140</v>
      </c>
      <c r="D118" s="810">
        <v>1657405.6879782958</v>
      </c>
      <c r="E118" s="61" t="s">
        <v>172</v>
      </c>
      <c r="F118" s="625">
        <f t="shared" si="8"/>
        <v>0</v>
      </c>
      <c r="G118" s="800">
        <f t="shared" si="9"/>
        <v>0</v>
      </c>
    </row>
    <row r="119" spans="1:7">
      <c r="A119" s="533" t="s">
        <v>720</v>
      </c>
      <c r="B119" s="803">
        <v>282</v>
      </c>
      <c r="C119" s="241" t="s">
        <v>140</v>
      </c>
      <c r="D119" s="810">
        <v>-531894.61154095014</v>
      </c>
      <c r="E119" s="61" t="s">
        <v>141</v>
      </c>
      <c r="F119" s="625">
        <f t="shared" si="8"/>
        <v>1</v>
      </c>
      <c r="G119" s="800">
        <f t="shared" si="9"/>
        <v>-531894.61154095014</v>
      </c>
    </row>
    <row r="120" spans="1:7">
      <c r="A120" s="533" t="s">
        <v>720</v>
      </c>
      <c r="B120" s="803">
        <v>282</v>
      </c>
      <c r="C120" s="241" t="s">
        <v>140</v>
      </c>
      <c r="D120" s="810">
        <v>175099.61825869765</v>
      </c>
      <c r="E120" s="61" t="s">
        <v>517</v>
      </c>
      <c r="F120" s="625">
        <f t="shared" si="8"/>
        <v>0</v>
      </c>
      <c r="G120" s="800">
        <f t="shared" si="9"/>
        <v>0</v>
      </c>
    </row>
    <row r="121" spans="1:7">
      <c r="A121" s="533" t="s">
        <v>720</v>
      </c>
      <c r="B121" s="803">
        <v>282</v>
      </c>
      <c r="C121" s="241" t="s">
        <v>140</v>
      </c>
      <c r="D121" s="810">
        <v>22980.382268098016</v>
      </c>
      <c r="E121" s="61" t="s">
        <v>517</v>
      </c>
      <c r="F121" s="625">
        <f t="shared" si="8"/>
        <v>0</v>
      </c>
      <c r="G121" s="800">
        <f t="shared" si="9"/>
        <v>0</v>
      </c>
    </row>
    <row r="122" spans="1:7">
      <c r="A122" s="533" t="s">
        <v>720</v>
      </c>
      <c r="B122" s="803">
        <v>282</v>
      </c>
      <c r="C122" s="241" t="s">
        <v>140</v>
      </c>
      <c r="D122" s="810">
        <v>25403.082354299491</v>
      </c>
      <c r="E122" s="61" t="s">
        <v>261</v>
      </c>
      <c r="F122" s="625">
        <f t="shared" si="8"/>
        <v>0</v>
      </c>
      <c r="G122" s="800">
        <f t="shared" si="9"/>
        <v>0</v>
      </c>
    </row>
    <row r="123" spans="1:7">
      <c r="A123" s="533" t="s">
        <v>720</v>
      </c>
      <c r="B123" s="803">
        <v>282</v>
      </c>
      <c r="C123" s="241" t="s">
        <v>140</v>
      </c>
      <c r="D123" s="810">
        <v>181039.35561791892</v>
      </c>
      <c r="E123" s="61" t="s">
        <v>130</v>
      </c>
      <c r="F123" s="625">
        <f t="shared" si="8"/>
        <v>6.8539355270203509E-2</v>
      </c>
      <c r="G123" s="800">
        <f t="shared" si="9"/>
        <v>12408.320712585259</v>
      </c>
    </row>
    <row r="124" spans="1:7">
      <c r="A124" s="533" t="s">
        <v>720</v>
      </c>
      <c r="B124" s="803">
        <v>282</v>
      </c>
      <c r="C124" s="241" t="s">
        <v>140</v>
      </c>
      <c r="D124" s="810">
        <v>-38135.716794666601</v>
      </c>
      <c r="E124" s="163" t="s">
        <v>152</v>
      </c>
      <c r="F124" s="625">
        <f t="shared" si="8"/>
        <v>6.9173575695716499E-2</v>
      </c>
      <c r="G124" s="800">
        <f t="shared" si="9"/>
        <v>-2637.9838924062769</v>
      </c>
    </row>
    <row r="125" spans="1:7" ht="13.5" thickBot="1">
      <c r="A125" s="544"/>
      <c r="B125" s="805"/>
      <c r="C125" s="241"/>
      <c r="D125" s="38">
        <f>SUM(D111:D124)</f>
        <v>51408378.839408994</v>
      </c>
      <c r="E125" s="805"/>
      <c r="F125" s="347"/>
      <c r="G125" s="38">
        <f>SUM(G111:G124)</f>
        <v>764035.59114822827</v>
      </c>
    </row>
    <row r="126" spans="1:7" ht="13.5" thickTop="1">
      <c r="A126" s="544"/>
      <c r="B126" s="805"/>
      <c r="C126" s="241"/>
      <c r="D126" s="35"/>
      <c r="E126" s="241"/>
      <c r="F126" s="347"/>
    </row>
    <row r="128" spans="1:7">
      <c r="A128" s="248" t="s">
        <v>145</v>
      </c>
    </row>
    <row r="129" spans="1:7">
      <c r="A129" s="1413" t="s">
        <v>1069</v>
      </c>
      <c r="B129" s="1413"/>
      <c r="C129" s="1413"/>
      <c r="D129" s="1413"/>
      <c r="E129" s="1413"/>
      <c r="F129" s="1413"/>
      <c r="G129" s="1413"/>
    </row>
    <row r="130" spans="1:7">
      <c r="A130" s="1413"/>
      <c r="B130" s="1413"/>
      <c r="C130" s="1413"/>
      <c r="D130" s="1413"/>
      <c r="E130" s="1413"/>
      <c r="F130" s="1413"/>
      <c r="G130" s="1413"/>
    </row>
    <row r="131" spans="1:7">
      <c r="A131" s="1413"/>
      <c r="B131" s="1413"/>
      <c r="C131" s="1413"/>
      <c r="D131" s="1413"/>
      <c r="E131" s="1413"/>
      <c r="F131" s="1413"/>
      <c r="G131" s="1413"/>
    </row>
    <row r="132" spans="1:7">
      <c r="A132" s="1413"/>
      <c r="B132" s="1413"/>
      <c r="C132" s="1413"/>
      <c r="D132" s="1413"/>
      <c r="E132" s="1413"/>
      <c r="F132" s="1413"/>
      <c r="G132" s="1413"/>
    </row>
    <row r="133" spans="1:7">
      <c r="A133" s="1413"/>
      <c r="B133" s="1413"/>
      <c r="C133" s="1413"/>
      <c r="D133" s="1413"/>
      <c r="E133" s="1413"/>
      <c r="F133" s="1413"/>
      <c r="G133" s="1413"/>
    </row>
  </sheetData>
  <mergeCells count="1">
    <mergeCell ref="A129:G133"/>
  </mergeCells>
  <dataValidations disablePrompts="1"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76"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workbookViewId="0">
      <selection activeCell="F16" sqref="F16"/>
    </sheetView>
  </sheetViews>
  <sheetFormatPr defaultColWidth="8.85546875" defaultRowHeight="12.75"/>
  <cols>
    <col min="1" max="1" width="26.42578125" style="1" customWidth="1"/>
    <col min="2" max="2" width="9.7109375" style="1" bestFit="1" customWidth="1"/>
    <col min="3" max="3" width="10.85546875" style="1" bestFit="1" customWidth="1"/>
    <col min="4" max="4" width="10.140625" style="1" bestFit="1" customWidth="1"/>
    <col min="5" max="5" width="8" style="1" bestFit="1" customWidth="1"/>
    <col min="6" max="6" width="10" style="1" bestFit="1" customWidth="1"/>
    <col min="7" max="7" width="13.28515625" style="1" bestFit="1" customWidth="1"/>
    <col min="8" max="16384" width="8.85546875" style="1"/>
  </cols>
  <sheetData>
    <row r="1" spans="1:8">
      <c r="A1" s="17" t="str">
        <f>RevReqSummary!A1</f>
        <v>PacifiCorp General Rate Case UE-140617</v>
      </c>
    </row>
    <row r="2" spans="1:8">
      <c r="A2" s="17" t="str">
        <f>RevReqSummary!A2</f>
        <v>For The Twelve Months Ended December 2013 - Staff Revenue Requirement</v>
      </c>
    </row>
    <row r="3" spans="1:8">
      <c r="A3" s="235" t="s">
        <v>721</v>
      </c>
    </row>
    <row r="4" spans="1:8">
      <c r="A4" s="235" t="s">
        <v>722</v>
      </c>
    </row>
    <row r="6" spans="1:8">
      <c r="A6" s="234"/>
      <c r="B6" s="232"/>
      <c r="C6" s="232"/>
      <c r="D6" s="232" t="s">
        <v>131</v>
      </c>
      <c r="E6" s="232" t="s">
        <v>523</v>
      </c>
      <c r="F6" s="232"/>
      <c r="G6" s="232" t="s">
        <v>236</v>
      </c>
    </row>
    <row r="7" spans="1:8">
      <c r="A7" s="234"/>
      <c r="B7" s="236" t="s">
        <v>132</v>
      </c>
      <c r="C7" s="41" t="s">
        <v>660</v>
      </c>
      <c r="D7" s="236" t="s">
        <v>134</v>
      </c>
      <c r="E7" s="236" t="s">
        <v>135</v>
      </c>
      <c r="F7" s="236" t="s">
        <v>136</v>
      </c>
      <c r="G7" s="236" t="s">
        <v>137</v>
      </c>
    </row>
    <row r="8" spans="1:8">
      <c r="A8" s="240" t="s">
        <v>199</v>
      </c>
      <c r="B8" s="801"/>
      <c r="C8" s="241"/>
      <c r="D8" s="35"/>
      <c r="E8" s="802"/>
      <c r="F8" s="36"/>
      <c r="G8" s="800"/>
    </row>
    <row r="9" spans="1:8">
      <c r="A9" s="533" t="s">
        <v>324</v>
      </c>
      <c r="B9" s="803" t="s">
        <v>561</v>
      </c>
      <c r="C9" s="810">
        <v>-202871.61979913691</v>
      </c>
      <c r="D9" s="35" t="s">
        <v>140</v>
      </c>
      <c r="E9" s="804" t="s">
        <v>214</v>
      </c>
      <c r="F9" s="625">
        <f t="shared" ref="F9:F40" si="0">INDEX(WCAAllocations,IFERROR(MATCH(E9,WCAFactors,0),2),IFERROR(MATCH(E9,WCAStates,0),4))</f>
        <v>0</v>
      </c>
      <c r="G9" s="800">
        <f t="shared" ref="G9:G44" si="1">F9*C9</f>
        <v>0</v>
      </c>
      <c r="H9" s="1104"/>
    </row>
    <row r="10" spans="1:8">
      <c r="A10" s="533" t="s">
        <v>324</v>
      </c>
      <c r="B10" s="803">
        <v>500</v>
      </c>
      <c r="C10" s="810">
        <v>-10.313004560389709</v>
      </c>
      <c r="D10" s="35" t="s">
        <v>140</v>
      </c>
      <c r="E10" s="804" t="s">
        <v>203</v>
      </c>
      <c r="F10" s="625">
        <f t="shared" si="0"/>
        <v>0.23084885646883446</v>
      </c>
      <c r="G10" s="800">
        <f t="shared" si="1"/>
        <v>-2.3807453095238391</v>
      </c>
      <c r="H10" s="1104"/>
    </row>
    <row r="11" spans="1:8">
      <c r="A11" s="533" t="s">
        <v>324</v>
      </c>
      <c r="B11" s="803">
        <v>500</v>
      </c>
      <c r="C11" s="810">
        <v>-13944.251243190905</v>
      </c>
      <c r="D11" s="35" t="s">
        <v>140</v>
      </c>
      <c r="E11" s="804" t="s">
        <v>231</v>
      </c>
      <c r="F11" s="625">
        <f t="shared" si="0"/>
        <v>0.22953887558714423</v>
      </c>
      <c r="G11" s="800">
        <f t="shared" si="1"/>
        <v>-3200.7477512666783</v>
      </c>
      <c r="H11" s="1104"/>
    </row>
    <row r="12" spans="1:8">
      <c r="A12" s="533" t="s">
        <v>324</v>
      </c>
      <c r="B12" s="803">
        <v>500</v>
      </c>
      <c r="C12" s="810">
        <v>-78.394762165201101</v>
      </c>
      <c r="D12" s="35" t="s">
        <v>140</v>
      </c>
      <c r="E12" s="804" t="s">
        <v>146</v>
      </c>
      <c r="F12" s="625">
        <f t="shared" si="0"/>
        <v>7.9057273540331513E-2</v>
      </c>
      <c r="G12" s="800">
        <f t="shared" si="1"/>
        <v>-6.197676156623535</v>
      </c>
      <c r="H12" s="1104"/>
    </row>
    <row r="13" spans="1:8">
      <c r="A13" s="533" t="s">
        <v>325</v>
      </c>
      <c r="B13" s="803" t="s">
        <v>545</v>
      </c>
      <c r="C13" s="810">
        <v>-2951.4220185609297</v>
      </c>
      <c r="D13" s="35" t="s">
        <v>140</v>
      </c>
      <c r="E13" s="804" t="s">
        <v>261</v>
      </c>
      <c r="F13" s="625">
        <f t="shared" si="0"/>
        <v>0</v>
      </c>
      <c r="G13" s="800">
        <f t="shared" si="1"/>
        <v>0</v>
      </c>
      <c r="H13" s="1104"/>
    </row>
    <row r="14" spans="1:8">
      <c r="A14" s="533" t="s">
        <v>325</v>
      </c>
      <c r="B14" s="803">
        <v>501</v>
      </c>
      <c r="C14" s="810">
        <v>-1830.8155919818873</v>
      </c>
      <c r="D14" s="35" t="s">
        <v>140</v>
      </c>
      <c r="E14" s="804" t="s">
        <v>232</v>
      </c>
      <c r="F14" s="625">
        <f t="shared" si="0"/>
        <v>0.22612324164332259</v>
      </c>
      <c r="G14" s="800">
        <f t="shared" si="1"/>
        <v>-413.989956510083</v>
      </c>
      <c r="H14" s="1104"/>
    </row>
    <row r="15" spans="1:8">
      <c r="A15" s="533" t="s">
        <v>325</v>
      </c>
      <c r="B15" s="803">
        <v>501</v>
      </c>
      <c r="C15" s="810">
        <v>-834.076846286928</v>
      </c>
      <c r="D15" s="35" t="s">
        <v>140</v>
      </c>
      <c r="E15" s="804" t="s">
        <v>148</v>
      </c>
      <c r="F15" s="625">
        <f t="shared" si="0"/>
        <v>7.5697931989234163E-2</v>
      </c>
      <c r="G15" s="800">
        <f t="shared" si="1"/>
        <v>-63.137892384022791</v>
      </c>
      <c r="H15" s="1104"/>
    </row>
    <row r="16" spans="1:8">
      <c r="A16" s="533" t="s">
        <v>325</v>
      </c>
      <c r="B16" s="803">
        <v>501</v>
      </c>
      <c r="C16" s="810">
        <v>-125723.42389023741</v>
      </c>
      <c r="D16" s="35" t="s">
        <v>140</v>
      </c>
      <c r="E16" s="804" t="s">
        <v>148</v>
      </c>
      <c r="F16" s="625">
        <f t="shared" si="0"/>
        <v>7.5697931989234163E-2</v>
      </c>
      <c r="G16" s="800">
        <f t="shared" si="1"/>
        <v>-9517.0031910968482</v>
      </c>
      <c r="H16" s="1104"/>
    </row>
    <row r="17" spans="1:8">
      <c r="A17" s="533" t="s">
        <v>326</v>
      </c>
      <c r="B17" s="803" t="s">
        <v>546</v>
      </c>
      <c r="C17" s="810">
        <v>-83357.325879913769</v>
      </c>
      <c r="D17" s="35" t="s">
        <v>140</v>
      </c>
      <c r="E17" s="804" t="s">
        <v>214</v>
      </c>
      <c r="F17" s="625">
        <f t="shared" si="0"/>
        <v>0</v>
      </c>
      <c r="G17" s="800">
        <f t="shared" si="1"/>
        <v>0</v>
      </c>
      <c r="H17" s="1104"/>
    </row>
    <row r="18" spans="1:8">
      <c r="A18" s="533" t="s">
        <v>326</v>
      </c>
      <c r="B18" s="803" t="s">
        <v>546</v>
      </c>
      <c r="C18" s="810">
        <v>-55247.562710976483</v>
      </c>
      <c r="D18" s="35" t="s">
        <v>140</v>
      </c>
      <c r="E18" s="804" t="s">
        <v>231</v>
      </c>
      <c r="F18" s="625">
        <f t="shared" si="0"/>
        <v>0.22953887558714423</v>
      </c>
      <c r="G18" s="800">
        <f t="shared" si="1"/>
        <v>-12681.46342360778</v>
      </c>
      <c r="H18" s="1104"/>
    </row>
    <row r="19" spans="1:8">
      <c r="A19" s="533" t="s">
        <v>326</v>
      </c>
      <c r="B19" s="803" t="s">
        <v>546</v>
      </c>
      <c r="C19" s="810">
        <v>521.62349032231691</v>
      </c>
      <c r="D19" s="35" t="s">
        <v>140</v>
      </c>
      <c r="E19" s="804" t="s">
        <v>203</v>
      </c>
      <c r="F19" s="625">
        <f t="shared" si="0"/>
        <v>0.23084885646883446</v>
      </c>
      <c r="G19" s="800">
        <f t="shared" si="1"/>
        <v>120.41618624818899</v>
      </c>
      <c r="H19" s="1104"/>
    </row>
    <row r="20" spans="1:8">
      <c r="A20" s="533" t="s">
        <v>326</v>
      </c>
      <c r="B20" s="803">
        <v>512</v>
      </c>
      <c r="C20" s="810">
        <v>-310624.92179043707</v>
      </c>
      <c r="D20" s="35" t="s">
        <v>140</v>
      </c>
      <c r="E20" s="804" t="s">
        <v>146</v>
      </c>
      <c r="F20" s="625">
        <f t="shared" si="0"/>
        <v>7.9057273540331513E-2</v>
      </c>
      <c r="G20" s="800">
        <f t="shared" si="1"/>
        <v>-24557.159410430668</v>
      </c>
      <c r="H20" s="1104"/>
    </row>
    <row r="21" spans="1:8">
      <c r="A21" s="533" t="s">
        <v>327</v>
      </c>
      <c r="B21" s="803" t="s">
        <v>547</v>
      </c>
      <c r="C21" s="810">
        <v>-17461.880414792249</v>
      </c>
      <c r="D21" s="35" t="s">
        <v>140</v>
      </c>
      <c r="E21" s="804" t="s">
        <v>214</v>
      </c>
      <c r="F21" s="625">
        <f t="shared" si="0"/>
        <v>0</v>
      </c>
      <c r="G21" s="800">
        <f t="shared" si="1"/>
        <v>0</v>
      </c>
      <c r="H21" s="1104"/>
    </row>
    <row r="22" spans="1:8">
      <c r="A22" s="533" t="s">
        <v>327</v>
      </c>
      <c r="B22" s="803" t="s">
        <v>547</v>
      </c>
      <c r="C22" s="810">
        <v>-23053.468712239715</v>
      </c>
      <c r="D22" s="35" t="s">
        <v>140</v>
      </c>
      <c r="E22" s="804" t="s">
        <v>203</v>
      </c>
      <c r="F22" s="625">
        <f t="shared" si="0"/>
        <v>0.23084885646883446</v>
      </c>
      <c r="G22" s="800">
        <f t="shared" si="1"/>
        <v>-5321.866889860592</v>
      </c>
      <c r="H22" s="1104"/>
    </row>
    <row r="23" spans="1:8">
      <c r="A23" s="533" t="s">
        <v>327</v>
      </c>
      <c r="B23" s="803">
        <v>535</v>
      </c>
      <c r="C23" s="810">
        <v>-80224.953898944092</v>
      </c>
      <c r="D23" s="35" t="s">
        <v>140</v>
      </c>
      <c r="E23" s="804" t="s">
        <v>146</v>
      </c>
      <c r="F23" s="625">
        <f t="shared" si="0"/>
        <v>7.9057273540331513E-2</v>
      </c>
      <c r="G23" s="800">
        <f t="shared" si="1"/>
        <v>-6342.3661251493086</v>
      </c>
      <c r="H23" s="1104"/>
    </row>
    <row r="24" spans="1:8">
      <c r="A24" s="533" t="s">
        <v>327</v>
      </c>
      <c r="B24" s="803">
        <v>535</v>
      </c>
      <c r="C24" s="810">
        <v>-37644.496753337073</v>
      </c>
      <c r="D24" s="35" t="s">
        <v>140</v>
      </c>
      <c r="E24" s="804" t="s">
        <v>146</v>
      </c>
      <c r="F24" s="625">
        <f t="shared" si="0"/>
        <v>7.9057273540331513E-2</v>
      </c>
      <c r="G24" s="800">
        <f t="shared" si="1"/>
        <v>-2976.0712771166905</v>
      </c>
      <c r="H24" s="1104"/>
    </row>
    <row r="25" spans="1:8">
      <c r="A25" s="533" t="s">
        <v>328</v>
      </c>
      <c r="B25" s="803" t="s">
        <v>549</v>
      </c>
      <c r="C25" s="810">
        <v>-9498.3282636293679</v>
      </c>
      <c r="D25" s="35" t="s">
        <v>140</v>
      </c>
      <c r="E25" s="804" t="s">
        <v>203</v>
      </c>
      <c r="F25" s="625">
        <f t="shared" si="0"/>
        <v>0.23084885646883446</v>
      </c>
      <c r="G25" s="800">
        <f t="shared" si="1"/>
        <v>-2192.6782180244495</v>
      </c>
      <c r="H25" s="1104"/>
    </row>
    <row r="26" spans="1:8">
      <c r="A26" s="533" t="s">
        <v>328</v>
      </c>
      <c r="B26" s="803" t="s">
        <v>549</v>
      </c>
      <c r="C26" s="810">
        <v>-3454.5428746175571</v>
      </c>
      <c r="D26" s="35" t="s">
        <v>140</v>
      </c>
      <c r="E26" s="804" t="s">
        <v>214</v>
      </c>
      <c r="F26" s="625">
        <f t="shared" si="0"/>
        <v>0</v>
      </c>
      <c r="G26" s="800">
        <f t="shared" si="1"/>
        <v>0</v>
      </c>
      <c r="H26" s="1104"/>
    </row>
    <row r="27" spans="1:8">
      <c r="A27" s="533" t="s">
        <v>329</v>
      </c>
      <c r="B27" s="803" t="s">
        <v>562</v>
      </c>
      <c r="C27" s="810">
        <v>-11760.76264775699</v>
      </c>
      <c r="D27" s="35" t="s">
        <v>140</v>
      </c>
      <c r="E27" s="804" t="s">
        <v>214</v>
      </c>
      <c r="F27" s="625">
        <f t="shared" si="0"/>
        <v>0</v>
      </c>
      <c r="G27" s="800">
        <f t="shared" si="1"/>
        <v>0</v>
      </c>
      <c r="H27" s="1104"/>
    </row>
    <row r="28" spans="1:8">
      <c r="A28" s="533" t="s">
        <v>329</v>
      </c>
      <c r="B28" s="803">
        <v>548</v>
      </c>
      <c r="C28" s="810">
        <v>-4397.4281867476238</v>
      </c>
      <c r="D28" s="35" t="s">
        <v>140</v>
      </c>
      <c r="E28" s="804" t="s">
        <v>203</v>
      </c>
      <c r="F28" s="625">
        <f t="shared" si="0"/>
        <v>0.23084885646883446</v>
      </c>
      <c r="G28" s="800">
        <f t="shared" si="1"/>
        <v>-1015.1412683145091</v>
      </c>
      <c r="H28" s="1104"/>
    </row>
    <row r="29" spans="1:8">
      <c r="A29" s="533" t="s">
        <v>329</v>
      </c>
      <c r="B29" s="803">
        <v>548</v>
      </c>
      <c r="C29" s="810">
        <v>-5433.861049328867</v>
      </c>
      <c r="D29" s="35" t="s">
        <v>140</v>
      </c>
      <c r="E29" s="804" t="s">
        <v>146</v>
      </c>
      <c r="F29" s="625">
        <f t="shared" si="0"/>
        <v>7.9057273540331513E-2</v>
      </c>
      <c r="G29" s="800">
        <f t="shared" si="1"/>
        <v>-429.58623935694504</v>
      </c>
      <c r="H29" s="1104"/>
    </row>
    <row r="30" spans="1:8">
      <c r="A30" s="533" t="s">
        <v>329</v>
      </c>
      <c r="B30" s="803">
        <v>549</v>
      </c>
      <c r="C30" s="810">
        <v>-9.6495945682643907</v>
      </c>
      <c r="D30" s="35" t="s">
        <v>140</v>
      </c>
      <c r="E30" s="804" t="s">
        <v>171</v>
      </c>
      <c r="F30" s="625">
        <f t="shared" si="0"/>
        <v>0</v>
      </c>
      <c r="G30" s="800">
        <f t="shared" si="1"/>
        <v>0</v>
      </c>
      <c r="H30" s="1104"/>
    </row>
    <row r="31" spans="1:8">
      <c r="A31" s="533" t="s">
        <v>330</v>
      </c>
      <c r="B31" s="803" t="s">
        <v>563</v>
      </c>
      <c r="C31" s="810">
        <v>-3875.914174996647</v>
      </c>
      <c r="D31" s="35" t="s">
        <v>140</v>
      </c>
      <c r="E31" s="804" t="s">
        <v>214</v>
      </c>
      <c r="F31" s="625">
        <f t="shared" si="0"/>
        <v>0</v>
      </c>
      <c r="G31" s="800">
        <f t="shared" si="1"/>
        <v>0</v>
      </c>
      <c r="H31" s="1104"/>
    </row>
    <row r="32" spans="1:8">
      <c r="A32" s="533" t="s">
        <v>330</v>
      </c>
      <c r="B32" s="803">
        <v>553</v>
      </c>
      <c r="C32" s="810">
        <v>-2250.0640004612615</v>
      </c>
      <c r="D32" s="35" t="s">
        <v>140</v>
      </c>
      <c r="E32" s="804" t="s">
        <v>203</v>
      </c>
      <c r="F32" s="625">
        <f t="shared" si="0"/>
        <v>0.23084885646883446</v>
      </c>
      <c r="G32" s="800">
        <f t="shared" si="1"/>
        <v>-519.42470148817324</v>
      </c>
      <c r="H32" s="1104"/>
    </row>
    <row r="33" spans="1:8">
      <c r="A33" s="533" t="s">
        <v>723</v>
      </c>
      <c r="B33" s="803" t="s">
        <v>550</v>
      </c>
      <c r="C33" s="810">
        <v>-75036.92604588432</v>
      </c>
      <c r="D33" s="35" t="s">
        <v>140</v>
      </c>
      <c r="E33" s="804" t="s">
        <v>146</v>
      </c>
      <c r="F33" s="625">
        <f t="shared" si="0"/>
        <v>7.9057273540331513E-2</v>
      </c>
      <c r="G33" s="800">
        <f t="shared" si="1"/>
        <v>-5932.2147880351031</v>
      </c>
      <c r="H33" s="1104"/>
    </row>
    <row r="34" spans="1:8">
      <c r="A34" s="533" t="s">
        <v>723</v>
      </c>
      <c r="B34" s="803" t="s">
        <v>550</v>
      </c>
      <c r="C34" s="810">
        <v>-28155.775176825056</v>
      </c>
      <c r="D34" s="35" t="s">
        <v>140</v>
      </c>
      <c r="E34" s="804" t="s">
        <v>214</v>
      </c>
      <c r="F34" s="625">
        <f t="shared" si="0"/>
        <v>0</v>
      </c>
      <c r="G34" s="800">
        <f t="shared" si="1"/>
        <v>0</v>
      </c>
      <c r="H34" s="1104"/>
    </row>
    <row r="35" spans="1:8">
      <c r="A35" s="533" t="s">
        <v>723</v>
      </c>
      <c r="B35" s="803" t="s">
        <v>550</v>
      </c>
      <c r="C35" s="810">
        <v>-394.30539385163542</v>
      </c>
      <c r="D35" s="35" t="s">
        <v>140</v>
      </c>
      <c r="E35" s="804" t="s">
        <v>203</v>
      </c>
      <c r="F35" s="625">
        <f t="shared" si="0"/>
        <v>0.23084885646883446</v>
      </c>
      <c r="G35" s="800">
        <f t="shared" si="1"/>
        <v>-91.024949270143424</v>
      </c>
      <c r="H35" s="1104"/>
    </row>
    <row r="36" spans="1:8">
      <c r="A36" s="533" t="s">
        <v>723</v>
      </c>
      <c r="B36" s="803" t="s">
        <v>550</v>
      </c>
      <c r="C36" s="810">
        <v>-4702.3174109492466</v>
      </c>
      <c r="D36" s="35" t="s">
        <v>140</v>
      </c>
      <c r="E36" s="804" t="s">
        <v>231</v>
      </c>
      <c r="F36" s="625">
        <f t="shared" si="0"/>
        <v>0.22953887558714423</v>
      </c>
      <c r="G36" s="800">
        <f t="shared" si="1"/>
        <v>-1079.3646511631412</v>
      </c>
      <c r="H36" s="1104"/>
    </row>
    <row r="37" spans="1:8">
      <c r="A37" s="533" t="s">
        <v>331</v>
      </c>
      <c r="B37" s="803" t="s">
        <v>551</v>
      </c>
      <c r="C37" s="810">
        <v>-11697.035724576454</v>
      </c>
      <c r="D37" s="35" t="s">
        <v>140</v>
      </c>
      <c r="E37" s="804" t="s">
        <v>214</v>
      </c>
      <c r="F37" s="625">
        <f t="shared" si="0"/>
        <v>0</v>
      </c>
      <c r="G37" s="800">
        <f t="shared" si="1"/>
        <v>0</v>
      </c>
      <c r="H37" s="1104"/>
    </row>
    <row r="38" spans="1:8">
      <c r="A38" s="533" t="s">
        <v>331</v>
      </c>
      <c r="B38" s="803" t="s">
        <v>551</v>
      </c>
      <c r="C38" s="810">
        <v>-2142.9851624088728</v>
      </c>
      <c r="D38" s="35" t="s">
        <v>140</v>
      </c>
      <c r="E38" s="804" t="s">
        <v>203</v>
      </c>
      <c r="F38" s="625">
        <f t="shared" si="0"/>
        <v>0.23084885646883446</v>
      </c>
      <c r="G38" s="800">
        <f t="shared" si="1"/>
        <v>-494.70567417176778</v>
      </c>
      <c r="H38" s="1104"/>
    </row>
    <row r="39" spans="1:8">
      <c r="A39" s="533" t="s">
        <v>331</v>
      </c>
      <c r="B39" s="803" t="s">
        <v>551</v>
      </c>
      <c r="C39" s="810">
        <v>-43748.321550166387</v>
      </c>
      <c r="D39" s="35" t="s">
        <v>140</v>
      </c>
      <c r="E39" s="804" t="s">
        <v>146</v>
      </c>
      <c r="F39" s="625">
        <f t="shared" si="0"/>
        <v>7.9057273540331513E-2</v>
      </c>
      <c r="G39" s="800">
        <f t="shared" si="1"/>
        <v>-3458.6230237218842</v>
      </c>
      <c r="H39" s="1104"/>
    </row>
    <row r="40" spans="1:8">
      <c r="A40" s="533" t="s">
        <v>331</v>
      </c>
      <c r="B40" s="803" t="s">
        <v>551</v>
      </c>
      <c r="C40" s="810">
        <v>-88.441409492140849</v>
      </c>
      <c r="D40" s="35" t="s">
        <v>140</v>
      </c>
      <c r="E40" s="804" t="s">
        <v>231</v>
      </c>
      <c r="F40" s="625">
        <f t="shared" si="0"/>
        <v>0.22953887558714423</v>
      </c>
      <c r="G40" s="800">
        <f t="shared" si="1"/>
        <v>-20.300741690168195</v>
      </c>
      <c r="H40" s="1104"/>
    </row>
    <row r="41" spans="1:8">
      <c r="A41" s="533" t="s">
        <v>332</v>
      </c>
      <c r="B41" s="803" t="s">
        <v>553</v>
      </c>
      <c r="C41" s="810">
        <v>2433.7871027108945</v>
      </c>
      <c r="D41" s="35" t="s">
        <v>140</v>
      </c>
      <c r="E41" s="804" t="s">
        <v>214</v>
      </c>
      <c r="F41" s="625">
        <f t="shared" ref="F41:F57" si="2">INDEX(WCAAllocations,IFERROR(MATCH(E41,WCAFactors,0),2),IFERROR(MATCH(E41,WCAStates,0),4))</f>
        <v>0</v>
      </c>
      <c r="G41" s="800">
        <f t="shared" si="1"/>
        <v>0</v>
      </c>
      <c r="H41" s="1104"/>
    </row>
    <row r="42" spans="1:8">
      <c r="A42" s="533" t="s">
        <v>332</v>
      </c>
      <c r="B42" s="803" t="s">
        <v>553</v>
      </c>
      <c r="C42" s="810">
        <v>-2407.7228382714748</v>
      </c>
      <c r="D42" s="35" t="s">
        <v>140</v>
      </c>
      <c r="E42" s="804" t="s">
        <v>203</v>
      </c>
      <c r="F42" s="625">
        <f t="shared" si="2"/>
        <v>0.23084885646883446</v>
      </c>
      <c r="G42" s="800">
        <f t="shared" si="1"/>
        <v>-555.82006390886636</v>
      </c>
      <c r="H42" s="1104"/>
    </row>
    <row r="43" spans="1:8">
      <c r="A43" s="533" t="s">
        <v>332</v>
      </c>
      <c r="B43" s="803" t="s">
        <v>553</v>
      </c>
      <c r="C43" s="810">
        <v>-1242.8617189806696</v>
      </c>
      <c r="D43" s="35" t="s">
        <v>140</v>
      </c>
      <c r="E43" s="804" t="s">
        <v>146</v>
      </c>
      <c r="F43" s="625">
        <f t="shared" si="2"/>
        <v>7.9057273540331513E-2</v>
      </c>
      <c r="G43" s="800">
        <f t="shared" si="1"/>
        <v>-98.257258890261426</v>
      </c>
      <c r="H43" s="1104"/>
    </row>
    <row r="44" spans="1:8">
      <c r="A44" s="533" t="s">
        <v>332</v>
      </c>
      <c r="B44" s="803" t="s">
        <v>553</v>
      </c>
      <c r="C44" s="810">
        <v>-244.61491336365989</v>
      </c>
      <c r="D44" s="35" t="s">
        <v>140</v>
      </c>
      <c r="E44" s="804" t="s">
        <v>231</v>
      </c>
      <c r="F44" s="625">
        <f t="shared" si="2"/>
        <v>0.22953887558714423</v>
      </c>
      <c r="G44" s="800">
        <f t="shared" si="1"/>
        <v>-56.148632165341191</v>
      </c>
      <c r="H44" s="1104"/>
    </row>
    <row r="45" spans="1:8">
      <c r="A45" s="533" t="s">
        <v>333</v>
      </c>
      <c r="B45" s="803" t="s">
        <v>554</v>
      </c>
      <c r="C45" s="810">
        <v>-69414.929397059299</v>
      </c>
      <c r="D45" s="35" t="s">
        <v>140</v>
      </c>
      <c r="E45" s="804" t="s">
        <v>141</v>
      </c>
      <c r="F45" s="625">
        <f t="shared" si="2"/>
        <v>1</v>
      </c>
      <c r="G45" s="800">
        <v>-5313</v>
      </c>
      <c r="H45" s="1104"/>
    </row>
    <row r="46" spans="1:8">
      <c r="A46" s="533" t="s">
        <v>333</v>
      </c>
      <c r="B46" s="803" t="s">
        <v>554</v>
      </c>
      <c r="C46" s="810">
        <v>-87736.152356412815</v>
      </c>
      <c r="D46" s="35" t="s">
        <v>140</v>
      </c>
      <c r="E46" s="804" t="s">
        <v>151</v>
      </c>
      <c r="F46" s="625">
        <f t="shared" si="2"/>
        <v>6.2803307592478125E-2</v>
      </c>
      <c r="G46" s="800">
        <f>F46*C46</f>
        <v>-5510.1205634203188</v>
      </c>
      <c r="H46" s="1104"/>
    </row>
    <row r="47" spans="1:8">
      <c r="A47" s="533" t="s">
        <v>200</v>
      </c>
      <c r="B47" s="803" t="s">
        <v>556</v>
      </c>
      <c r="C47" s="810">
        <v>-113835.50136570013</v>
      </c>
      <c r="D47" s="35" t="s">
        <v>140</v>
      </c>
      <c r="E47" s="804" t="s">
        <v>141</v>
      </c>
      <c r="F47" s="625">
        <f t="shared" si="2"/>
        <v>1</v>
      </c>
      <c r="G47" s="800">
        <v>-6731.0943731128018</v>
      </c>
      <c r="H47" s="1104"/>
    </row>
    <row r="48" spans="1:8">
      <c r="A48" s="533" t="s">
        <v>200</v>
      </c>
      <c r="B48" s="803" t="s">
        <v>556</v>
      </c>
      <c r="C48" s="810">
        <v>-17188.249554921123</v>
      </c>
      <c r="D48" s="35" t="s">
        <v>140</v>
      </c>
      <c r="E48" s="804" t="s">
        <v>151</v>
      </c>
      <c r="F48" s="625">
        <f t="shared" si="2"/>
        <v>6.2803307592478125E-2</v>
      </c>
      <c r="G48" s="800">
        <f>F48*C48</f>
        <v>-1079.4789237739865</v>
      </c>
      <c r="H48" s="1104"/>
    </row>
    <row r="49" spans="1:8">
      <c r="A49" s="533" t="s">
        <v>334</v>
      </c>
      <c r="B49" s="803" t="s">
        <v>557</v>
      </c>
      <c r="C49" s="810">
        <v>-98172.634537581602</v>
      </c>
      <c r="D49" s="35" t="s">
        <v>140</v>
      </c>
      <c r="E49" s="804" t="s">
        <v>152</v>
      </c>
      <c r="F49" s="625">
        <f t="shared" si="2"/>
        <v>6.9173575695716499E-2</v>
      </c>
      <c r="G49" s="800">
        <f>F49*C49</f>
        <v>-6790.9521664333133</v>
      </c>
      <c r="H49" s="1104"/>
    </row>
    <row r="50" spans="1:8">
      <c r="A50" s="533" t="s">
        <v>334</v>
      </c>
      <c r="B50" s="803" t="s">
        <v>557</v>
      </c>
      <c r="C50" s="810">
        <v>-56709.204209746786</v>
      </c>
      <c r="D50" s="35" t="s">
        <v>140</v>
      </c>
      <c r="E50" s="804" t="s">
        <v>141</v>
      </c>
      <c r="F50" s="625">
        <f t="shared" si="2"/>
        <v>1</v>
      </c>
      <c r="G50" s="800">
        <v>-3297.0424386717427</v>
      </c>
      <c r="H50" s="1104"/>
    </row>
    <row r="51" spans="1:8">
      <c r="A51" s="533" t="s">
        <v>334</v>
      </c>
      <c r="B51" s="803">
        <v>903</v>
      </c>
      <c r="C51" s="810">
        <v>-237.00840734738406</v>
      </c>
      <c r="D51" s="35" t="s">
        <v>140</v>
      </c>
      <c r="E51" s="804" t="s">
        <v>152</v>
      </c>
      <c r="F51" s="625">
        <f t="shared" si="2"/>
        <v>6.9173575695716499E-2</v>
      </c>
      <c r="G51" s="800">
        <f>F51*C51</f>
        <v>-16.394719006165481</v>
      </c>
      <c r="H51" s="1104"/>
    </row>
    <row r="52" spans="1:8">
      <c r="A52" s="533" t="s">
        <v>335</v>
      </c>
      <c r="B52" s="803" t="s">
        <v>564</v>
      </c>
      <c r="C52" s="810">
        <v>-7197.0980418359659</v>
      </c>
      <c r="D52" s="35" t="s">
        <v>140</v>
      </c>
      <c r="E52" s="804" t="s">
        <v>152</v>
      </c>
      <c r="F52" s="625">
        <f t="shared" si="2"/>
        <v>6.9173575695716499E-2</v>
      </c>
      <c r="G52" s="800">
        <f>F52*C52</f>
        <v>-497.8490061864332</v>
      </c>
      <c r="H52" s="1104"/>
    </row>
    <row r="53" spans="1:8">
      <c r="A53" s="533" t="s">
        <v>335</v>
      </c>
      <c r="B53" s="803" t="s">
        <v>564</v>
      </c>
      <c r="C53" s="810">
        <v>-17962.682774726956</v>
      </c>
      <c r="D53" s="35" t="s">
        <v>140</v>
      </c>
      <c r="E53" s="804" t="s">
        <v>141</v>
      </c>
      <c r="F53" s="625">
        <f t="shared" si="2"/>
        <v>1</v>
      </c>
      <c r="G53" s="800">
        <v>-1050.1142617053988</v>
      </c>
      <c r="H53" s="1104"/>
    </row>
    <row r="54" spans="1:8">
      <c r="A54" s="533" t="s">
        <v>26</v>
      </c>
      <c r="B54" s="803" t="s">
        <v>565</v>
      </c>
      <c r="C54" s="810">
        <v>-6850.5417047068031</v>
      </c>
      <c r="D54" s="35" t="s">
        <v>140</v>
      </c>
      <c r="E54" s="804" t="s">
        <v>141</v>
      </c>
      <c r="F54" s="625">
        <f t="shared" si="2"/>
        <v>1</v>
      </c>
      <c r="G54" s="800">
        <v>-1632.270438420202</v>
      </c>
      <c r="H54" s="1104"/>
    </row>
    <row r="55" spans="1:8">
      <c r="A55" s="533" t="s">
        <v>26</v>
      </c>
      <c r="B55" s="803" t="s">
        <v>565</v>
      </c>
      <c r="C55" s="810">
        <v>-274691.54367393424</v>
      </c>
      <c r="D55" s="35" t="s">
        <v>140</v>
      </c>
      <c r="E55" s="804" t="s">
        <v>130</v>
      </c>
      <c r="F55" s="625">
        <f t="shared" si="2"/>
        <v>6.8539355270203509E-2</v>
      </c>
      <c r="G55" s="800">
        <f>F55*C55</f>
        <v>-18827.181301588404</v>
      </c>
      <c r="H55" s="1104"/>
    </row>
    <row r="56" spans="1:8">
      <c r="A56" s="533" t="s">
        <v>26</v>
      </c>
      <c r="B56" s="803" t="s">
        <v>566</v>
      </c>
      <c r="C56" s="810">
        <v>92.814281346625151</v>
      </c>
      <c r="D56" s="35" t="s">
        <v>140</v>
      </c>
      <c r="E56" s="804" t="s">
        <v>141</v>
      </c>
      <c r="F56" s="625">
        <f t="shared" si="2"/>
        <v>1</v>
      </c>
      <c r="G56" s="800">
        <v>0</v>
      </c>
      <c r="H56" s="1104"/>
    </row>
    <row r="57" spans="1:8">
      <c r="A57" s="533" t="s">
        <v>26</v>
      </c>
      <c r="B57" s="803" t="s">
        <v>566</v>
      </c>
      <c r="C57" s="810">
        <v>-7394.631766544544</v>
      </c>
      <c r="D57" s="35" t="s">
        <v>140</v>
      </c>
      <c r="E57" s="804" t="s">
        <v>130</v>
      </c>
      <c r="F57" s="625">
        <f t="shared" si="2"/>
        <v>6.8539355270203509E-2</v>
      </c>
      <c r="G57" s="800">
        <f>F57*C57</f>
        <v>-506.82329373952905</v>
      </c>
      <c r="H57" s="1104"/>
    </row>
    <row r="58" spans="1:8" ht="13.5" thickBot="1">
      <c r="C58" s="38">
        <f>SUM(C9:C57)</f>
        <v>-1920742.7383697752</v>
      </c>
      <c r="D58" s="805"/>
      <c r="E58" s="347"/>
      <c r="G58" s="38">
        <f>SUM(G9:G57)</f>
        <v>-132157.57984889965</v>
      </c>
    </row>
    <row r="59" spans="1:8" ht="13.5" thickTop="1">
      <c r="A59" s="1" t="s">
        <v>719</v>
      </c>
      <c r="G59" s="806"/>
    </row>
    <row r="60" spans="1:8">
      <c r="A60" s="1" t="s">
        <v>267</v>
      </c>
      <c r="B60" s="1" t="s">
        <v>191</v>
      </c>
      <c r="C60" s="810">
        <v>-360201.0695899048</v>
      </c>
      <c r="D60" s="23" t="s">
        <v>140</v>
      </c>
      <c r="E60" s="804" t="s">
        <v>214</v>
      </c>
      <c r="F60" s="625">
        <f t="shared" ref="F60:F105" si="3">INDEX(WCAAllocations,IFERROR(MATCH(E60,WCAFactors,0),2),IFERROR(MATCH(E60,WCAStates,0),4))</f>
        <v>0</v>
      </c>
      <c r="G60" s="800">
        <f>F60*C60</f>
        <v>0</v>
      </c>
    </row>
    <row r="61" spans="1:8">
      <c r="A61" s="1" t="s">
        <v>267</v>
      </c>
      <c r="B61" s="1" t="s">
        <v>191</v>
      </c>
      <c r="C61" s="810">
        <v>-43632.992071848028</v>
      </c>
      <c r="D61" s="23" t="s">
        <v>140</v>
      </c>
      <c r="E61" s="804" t="s">
        <v>203</v>
      </c>
      <c r="F61" s="625">
        <f t="shared" si="3"/>
        <v>0.23084885646883446</v>
      </c>
      <c r="G61" s="800">
        <f>F61*C61</f>
        <v>-10072.626324099838</v>
      </c>
    </row>
    <row r="62" spans="1:8">
      <c r="A62" s="1" t="s">
        <v>267</v>
      </c>
      <c r="B62" s="1" t="s">
        <v>191</v>
      </c>
      <c r="C62" s="810">
        <v>-74227.18768797243</v>
      </c>
      <c r="D62" s="23" t="s">
        <v>140</v>
      </c>
      <c r="E62" s="804" t="s">
        <v>231</v>
      </c>
      <c r="F62" s="625">
        <f t="shared" si="3"/>
        <v>0.22953887558714423</v>
      </c>
      <c r="G62" s="800">
        <f>F62*C62</f>
        <v>-17038.025199893109</v>
      </c>
    </row>
    <row r="63" spans="1:8">
      <c r="A63" s="1" t="s">
        <v>267</v>
      </c>
      <c r="B63" s="1" t="s">
        <v>191</v>
      </c>
      <c r="C63" s="810">
        <v>-1830.8155919818873</v>
      </c>
      <c r="D63" s="23" t="s">
        <v>140</v>
      </c>
      <c r="E63" s="804" t="s">
        <v>232</v>
      </c>
      <c r="F63" s="625">
        <f t="shared" si="3"/>
        <v>0.22612324164332259</v>
      </c>
      <c r="G63" s="800">
        <f>F63*C63</f>
        <v>-413.989956510083</v>
      </c>
    </row>
    <row r="64" spans="1:8">
      <c r="A64" s="1" t="s">
        <v>267</v>
      </c>
      <c r="B64" s="1" t="s">
        <v>191</v>
      </c>
      <c r="C64" s="810">
        <v>-436165.28691696253</v>
      </c>
      <c r="D64" s="23" t="s">
        <v>140</v>
      </c>
      <c r="E64" s="804" t="s">
        <v>146</v>
      </c>
      <c r="F64" s="625">
        <f t="shared" si="3"/>
        <v>7.9057273540331513E-2</v>
      </c>
      <c r="G64" s="800">
        <f>F64*C64</f>
        <v>-34482.038396591488</v>
      </c>
    </row>
    <row r="65" spans="1:7">
      <c r="A65" s="1" t="s">
        <v>267</v>
      </c>
      <c r="B65" s="1" t="s">
        <v>191</v>
      </c>
      <c r="C65" s="810">
        <v>-80224.953898944092</v>
      </c>
      <c r="D65" s="23" t="s">
        <v>140</v>
      </c>
      <c r="E65" s="804" t="s">
        <v>1013</v>
      </c>
      <c r="F65" s="625">
        <f t="shared" si="3"/>
        <v>1</v>
      </c>
      <c r="G65" s="800">
        <v>-6342.3661251493086</v>
      </c>
    </row>
    <row r="66" spans="1:7">
      <c r="A66" s="1" t="s">
        <v>267</v>
      </c>
      <c r="B66" s="1" t="s">
        <v>191</v>
      </c>
      <c r="C66" s="810">
        <v>-37644.496753337073</v>
      </c>
      <c r="D66" s="23" t="s">
        <v>140</v>
      </c>
      <c r="E66" s="804" t="s">
        <v>1014</v>
      </c>
      <c r="F66" s="625">
        <f t="shared" si="3"/>
        <v>1</v>
      </c>
      <c r="G66" s="800">
        <v>-2976.0712771166905</v>
      </c>
    </row>
    <row r="67" spans="1:7">
      <c r="A67" s="1" t="s">
        <v>267</v>
      </c>
      <c r="B67" s="1" t="s">
        <v>191</v>
      </c>
      <c r="C67" s="810">
        <v>-9.6495945682643907</v>
      </c>
      <c r="D67" s="23" t="s">
        <v>140</v>
      </c>
      <c r="E67" s="804" t="s">
        <v>171</v>
      </c>
      <c r="F67" s="625">
        <f t="shared" si="3"/>
        <v>0</v>
      </c>
      <c r="G67" s="800">
        <f t="shared" ref="G67:G73" si="4">F67*C67</f>
        <v>0</v>
      </c>
    </row>
    <row r="68" spans="1:7">
      <c r="A68" s="1" t="s">
        <v>267</v>
      </c>
      <c r="B68" s="1" t="s">
        <v>191</v>
      </c>
      <c r="C68" s="810">
        <v>-264680.04517059331</v>
      </c>
      <c r="D68" s="23" t="s">
        <v>140</v>
      </c>
      <c r="E68" s="804" t="s">
        <v>141</v>
      </c>
      <c r="F68" s="625">
        <f t="shared" si="3"/>
        <v>1</v>
      </c>
      <c r="G68" s="800">
        <f t="shared" si="4"/>
        <v>-264680.04517059331</v>
      </c>
    </row>
    <row r="69" spans="1:7">
      <c r="A69" s="1" t="s">
        <v>267</v>
      </c>
      <c r="B69" s="1" t="s">
        <v>191</v>
      </c>
      <c r="C69" s="810">
        <v>-104924.40191133393</v>
      </c>
      <c r="D69" s="23" t="s">
        <v>140</v>
      </c>
      <c r="E69" s="804" t="s">
        <v>151</v>
      </c>
      <c r="F69" s="625">
        <f t="shared" si="3"/>
        <v>6.2803307592478125E-2</v>
      </c>
      <c r="G69" s="800">
        <f t="shared" si="4"/>
        <v>-6589.5994871943049</v>
      </c>
    </row>
    <row r="70" spans="1:7">
      <c r="A70" s="1" t="s">
        <v>267</v>
      </c>
      <c r="B70" s="1" t="s">
        <v>191</v>
      </c>
      <c r="C70" s="810">
        <v>-2951.4220185609297</v>
      </c>
      <c r="D70" s="23" t="s">
        <v>140</v>
      </c>
      <c r="E70" s="804" t="s">
        <v>261</v>
      </c>
      <c r="F70" s="625">
        <f t="shared" si="3"/>
        <v>0</v>
      </c>
      <c r="G70" s="800">
        <f t="shared" si="4"/>
        <v>0</v>
      </c>
    </row>
    <row r="71" spans="1:7">
      <c r="A71" s="1" t="s">
        <v>267</v>
      </c>
      <c r="B71" s="1" t="s">
        <v>191</v>
      </c>
      <c r="C71" s="810">
        <v>-126557.50073652434</v>
      </c>
      <c r="D71" s="23" t="s">
        <v>140</v>
      </c>
      <c r="E71" s="804" t="s">
        <v>148</v>
      </c>
      <c r="F71" s="625">
        <f t="shared" si="3"/>
        <v>7.5697931989234163E-2</v>
      </c>
      <c r="G71" s="800">
        <f t="shared" si="4"/>
        <v>-9580.1410834808721</v>
      </c>
    </row>
    <row r="72" spans="1:7">
      <c r="A72" s="1" t="s">
        <v>267</v>
      </c>
      <c r="B72" s="1" t="s">
        <v>191</v>
      </c>
      <c r="C72" s="810">
        <v>-282086.17544047878</v>
      </c>
      <c r="D72" s="23" t="s">
        <v>140</v>
      </c>
      <c r="E72" s="804" t="s">
        <v>130</v>
      </c>
      <c r="F72" s="625">
        <f t="shared" si="3"/>
        <v>6.8539355270203509E-2</v>
      </c>
      <c r="G72" s="800">
        <f t="shared" si="4"/>
        <v>-19334.00459532793</v>
      </c>
    </row>
    <row r="73" spans="1:7">
      <c r="A73" s="1" t="s">
        <v>267</v>
      </c>
      <c r="B73" s="1" t="s">
        <v>191</v>
      </c>
      <c r="C73" s="810">
        <v>-105606.74098676495</v>
      </c>
      <c r="D73" s="23" t="s">
        <v>140</v>
      </c>
      <c r="E73" s="804" t="s">
        <v>152</v>
      </c>
      <c r="F73" s="625">
        <f t="shared" si="3"/>
        <v>6.9173575695716499E-2</v>
      </c>
      <c r="G73" s="800">
        <f t="shared" si="4"/>
        <v>-7305.1958916259118</v>
      </c>
    </row>
    <row r="74" spans="1:7" ht="13.5" thickBot="1">
      <c r="C74" s="38">
        <f>SUM(C60:C73)</f>
        <v>-1920742.7383697752</v>
      </c>
      <c r="D74" s="23"/>
      <c r="E74" s="347"/>
      <c r="G74" s="38">
        <f>SUM(G60:G73)</f>
        <v>-378814.10350758285</v>
      </c>
    </row>
    <row r="75" spans="1:7" ht="13.5" thickTop="1">
      <c r="D75" s="23"/>
      <c r="E75" s="804"/>
      <c r="G75" s="800"/>
    </row>
    <row r="76" spans="1:7">
      <c r="A76" s="1" t="s">
        <v>254</v>
      </c>
      <c r="B76" s="1">
        <v>41010</v>
      </c>
      <c r="C76" s="810">
        <v>136699.90792006478</v>
      </c>
      <c r="D76" s="23" t="s">
        <v>140</v>
      </c>
      <c r="E76" s="804" t="s">
        <v>214</v>
      </c>
      <c r="F76" s="625">
        <f t="shared" si="3"/>
        <v>0</v>
      </c>
      <c r="G76" s="800">
        <f>F76*C76</f>
        <v>0</v>
      </c>
    </row>
    <row r="77" spans="1:7">
      <c r="A77" s="1" t="s">
        <v>254</v>
      </c>
      <c r="B77" s="1">
        <v>41010</v>
      </c>
      <c r="C77" s="810">
        <v>16559.156821187047</v>
      </c>
      <c r="D77" s="23" t="s">
        <v>140</v>
      </c>
      <c r="E77" s="804" t="s">
        <v>203</v>
      </c>
      <c r="F77" s="625">
        <f t="shared" si="3"/>
        <v>0.23084885646883446</v>
      </c>
      <c r="G77" s="800">
        <f>F77*C77</f>
        <v>3822.6624162591297</v>
      </c>
    </row>
    <row r="78" spans="1:7">
      <c r="A78" s="1" t="s">
        <v>254</v>
      </c>
      <c r="B78" s="1">
        <v>41010</v>
      </c>
      <c r="C78" s="810">
        <v>28169.959999462419</v>
      </c>
      <c r="D78" s="23" t="s">
        <v>140</v>
      </c>
      <c r="E78" s="804" t="s">
        <v>231</v>
      </c>
      <c r="F78" s="625">
        <f t="shared" si="3"/>
        <v>0.22953887558714423</v>
      </c>
      <c r="G78" s="800">
        <f>F78*C78</f>
        <v>6466.1009436114336</v>
      </c>
    </row>
    <row r="79" spans="1:7">
      <c r="A79" s="1" t="s">
        <v>254</v>
      </c>
      <c r="B79" s="1">
        <v>41010</v>
      </c>
      <c r="C79" s="810">
        <v>694.81282531304612</v>
      </c>
      <c r="D79" s="23" t="s">
        <v>140</v>
      </c>
      <c r="E79" s="804" t="s">
        <v>232</v>
      </c>
      <c r="F79" s="625">
        <f t="shared" si="3"/>
        <v>0.22612324164332259</v>
      </c>
      <c r="G79" s="800">
        <f>F79*C79</f>
        <v>157.11332839514162</v>
      </c>
    </row>
    <row r="80" spans="1:7">
      <c r="A80" s="1" t="s">
        <v>254</v>
      </c>
      <c r="B80" s="1">
        <v>41010</v>
      </c>
      <c r="C80" s="810">
        <v>165529.08803785645</v>
      </c>
      <c r="D80" s="23" t="s">
        <v>140</v>
      </c>
      <c r="E80" s="804" t="s">
        <v>146</v>
      </c>
      <c r="F80" s="625">
        <f t="shared" si="3"/>
        <v>7.9057273540331513E-2</v>
      </c>
      <c r="G80" s="800">
        <f>F80*C80</f>
        <v>13086.278391890433</v>
      </c>
    </row>
    <row r="81" spans="1:7">
      <c r="A81" s="1" t="s">
        <v>254</v>
      </c>
      <c r="B81" s="1">
        <v>41010</v>
      </c>
      <c r="C81" s="810">
        <v>30446.172254188274</v>
      </c>
      <c r="D81" s="23" t="s">
        <v>140</v>
      </c>
      <c r="E81" s="804" t="s">
        <v>1013</v>
      </c>
      <c r="F81" s="625">
        <f t="shared" si="3"/>
        <v>1</v>
      </c>
      <c r="G81" s="800">
        <v>2406.991368155414</v>
      </c>
    </row>
    <row r="82" spans="1:7">
      <c r="A82" s="1" t="s">
        <v>254</v>
      </c>
      <c r="B82" s="1">
        <v>41010</v>
      </c>
      <c r="C82" s="810">
        <v>14286.462962858954</v>
      </c>
      <c r="D82" s="23" t="s">
        <v>140</v>
      </c>
      <c r="E82" s="804" t="s">
        <v>1014</v>
      </c>
      <c r="F82" s="625">
        <f t="shared" si="3"/>
        <v>1</v>
      </c>
      <c r="G82" s="800">
        <v>1129.4488103785552</v>
      </c>
    </row>
    <row r="83" spans="1:7">
      <c r="A83" s="1" t="s">
        <v>254</v>
      </c>
      <c r="B83" s="1">
        <v>41010</v>
      </c>
      <c r="C83" s="810">
        <v>3.6621176346020192</v>
      </c>
      <c r="D83" s="23" t="s">
        <v>140</v>
      </c>
      <c r="E83" s="804" t="s">
        <v>171</v>
      </c>
      <c r="F83" s="625">
        <f t="shared" si="3"/>
        <v>0</v>
      </c>
      <c r="G83" s="800">
        <f t="shared" ref="G83:G89" si="5">F83*C83</f>
        <v>0</v>
      </c>
    </row>
    <row r="84" spans="1:7">
      <c r="A84" s="1" t="s">
        <v>254</v>
      </c>
      <c r="B84" s="1">
        <v>41010</v>
      </c>
      <c r="C84" s="810">
        <v>100448.72394269187</v>
      </c>
      <c r="D84" s="23" t="s">
        <v>140</v>
      </c>
      <c r="E84" s="804" t="s">
        <v>141</v>
      </c>
      <c r="F84" s="625">
        <f t="shared" si="3"/>
        <v>1</v>
      </c>
      <c r="G84" s="800">
        <f t="shared" si="5"/>
        <v>100448.72394269187</v>
      </c>
    </row>
    <row r="85" spans="1:7">
      <c r="A85" s="1" t="s">
        <v>254</v>
      </c>
      <c r="B85" s="1">
        <v>41010</v>
      </c>
      <c r="C85" s="810">
        <v>39819.859769370341</v>
      </c>
      <c r="D85" s="23" t="s">
        <v>140</v>
      </c>
      <c r="E85" s="804" t="s">
        <v>151</v>
      </c>
      <c r="F85" s="625">
        <f t="shared" si="3"/>
        <v>6.2803307592478125E-2</v>
      </c>
      <c r="G85" s="800">
        <f t="shared" si="5"/>
        <v>2500.8189013851106</v>
      </c>
    </row>
    <row r="86" spans="1:7">
      <c r="A86" s="1" t="s">
        <v>254</v>
      </c>
      <c r="B86" s="1">
        <v>41010</v>
      </c>
      <c r="C86" s="810">
        <v>1120.0941702640584</v>
      </c>
      <c r="D86" s="23" t="s">
        <v>140</v>
      </c>
      <c r="E86" s="804" t="s">
        <v>261</v>
      </c>
      <c r="F86" s="625">
        <f t="shared" si="3"/>
        <v>0</v>
      </c>
      <c r="G86" s="800">
        <f t="shared" si="5"/>
        <v>0</v>
      </c>
    </row>
    <row r="87" spans="1:7">
      <c r="A87" s="1" t="s">
        <v>254</v>
      </c>
      <c r="B87" s="1">
        <v>41010</v>
      </c>
      <c r="C87" s="810">
        <v>48029.837104518352</v>
      </c>
      <c r="D87" s="23" t="s">
        <v>140</v>
      </c>
      <c r="E87" s="804" t="s">
        <v>148</v>
      </c>
      <c r="F87" s="625">
        <f t="shared" si="3"/>
        <v>7.5697931989234163E-2</v>
      </c>
      <c r="G87" s="800">
        <f t="shared" si="5"/>
        <v>3635.7593425918258</v>
      </c>
    </row>
    <row r="88" spans="1:7">
      <c r="A88" s="1" t="s">
        <v>254</v>
      </c>
      <c r="B88" s="1">
        <v>41010</v>
      </c>
      <c r="C88" s="810">
        <v>107054.5244414161</v>
      </c>
      <c r="D88" s="23" t="s">
        <v>140</v>
      </c>
      <c r="E88" s="804" t="s">
        <v>130</v>
      </c>
      <c r="F88" s="625">
        <f t="shared" si="3"/>
        <v>6.8539355270203509E-2</v>
      </c>
      <c r="G88" s="800">
        <f t="shared" si="5"/>
        <v>7337.4480839729031</v>
      </c>
    </row>
    <row r="89" spans="1:7">
      <c r="A89" s="1" t="s">
        <v>254</v>
      </c>
      <c r="B89" s="1">
        <v>41010</v>
      </c>
      <c r="C89" s="810">
        <v>40078.814271887168</v>
      </c>
      <c r="D89" s="23" t="s">
        <v>140</v>
      </c>
      <c r="E89" s="804" t="s">
        <v>152</v>
      </c>
      <c r="F89" s="625">
        <f t="shared" si="3"/>
        <v>6.9173575695716499E-2</v>
      </c>
      <c r="G89" s="800">
        <f t="shared" si="5"/>
        <v>2772.3948928309496</v>
      </c>
    </row>
    <row r="90" spans="1:7" ht="13.5" thickBot="1">
      <c r="C90" s="38">
        <f>SUM(C76:C89)</f>
        <v>728941.07663871348</v>
      </c>
      <c r="D90" s="23"/>
      <c r="E90" s="347"/>
      <c r="G90" s="38">
        <f>SUM(G76:G89)</f>
        <v>143763.74042216278</v>
      </c>
    </row>
    <row r="91" spans="1:7" ht="13.5" thickTop="1">
      <c r="D91" s="23"/>
      <c r="E91" s="804"/>
      <c r="G91" s="800">
        <f t="shared" ref="G91:G96" si="6">F91*C91</f>
        <v>0</v>
      </c>
    </row>
    <row r="92" spans="1:7">
      <c r="A92" s="1" t="s">
        <v>259</v>
      </c>
      <c r="B92" s="1">
        <v>282</v>
      </c>
      <c r="C92" s="810">
        <v>-136699.90792006478</v>
      </c>
      <c r="D92" s="23" t="s">
        <v>140</v>
      </c>
      <c r="E92" s="804" t="s">
        <v>214</v>
      </c>
      <c r="F92" s="625">
        <f t="shared" si="3"/>
        <v>0</v>
      </c>
      <c r="G92" s="800">
        <f t="shared" si="6"/>
        <v>0</v>
      </c>
    </row>
    <row r="93" spans="1:7">
      <c r="A93" s="1" t="s">
        <v>259</v>
      </c>
      <c r="B93" s="1">
        <v>282</v>
      </c>
      <c r="C93" s="810">
        <v>-16559.156821187047</v>
      </c>
      <c r="D93" s="23" t="s">
        <v>140</v>
      </c>
      <c r="E93" s="804" t="s">
        <v>203</v>
      </c>
      <c r="F93" s="625">
        <f t="shared" si="3"/>
        <v>0.23084885646883446</v>
      </c>
      <c r="G93" s="800">
        <f t="shared" si="6"/>
        <v>-3822.6624162591297</v>
      </c>
    </row>
    <row r="94" spans="1:7">
      <c r="A94" s="1" t="s">
        <v>259</v>
      </c>
      <c r="B94" s="1">
        <v>282</v>
      </c>
      <c r="C94" s="810">
        <v>-28169.959999462419</v>
      </c>
      <c r="D94" s="23" t="s">
        <v>140</v>
      </c>
      <c r="E94" s="804" t="s">
        <v>231</v>
      </c>
      <c r="F94" s="625">
        <f t="shared" si="3"/>
        <v>0.22953887558714423</v>
      </c>
      <c r="G94" s="800">
        <f t="shared" si="6"/>
        <v>-6466.1009436114336</v>
      </c>
    </row>
    <row r="95" spans="1:7">
      <c r="A95" s="1" t="s">
        <v>259</v>
      </c>
      <c r="B95" s="1">
        <v>282</v>
      </c>
      <c r="C95" s="810">
        <v>-694.81282531304612</v>
      </c>
      <c r="D95" s="23" t="s">
        <v>140</v>
      </c>
      <c r="E95" s="804" t="s">
        <v>232</v>
      </c>
      <c r="F95" s="625">
        <f t="shared" si="3"/>
        <v>0.22612324164332259</v>
      </c>
      <c r="G95" s="800">
        <f t="shared" si="6"/>
        <v>-157.11332839514162</v>
      </c>
    </row>
    <row r="96" spans="1:7">
      <c r="A96" s="1" t="s">
        <v>259</v>
      </c>
      <c r="B96" s="1">
        <v>282</v>
      </c>
      <c r="C96" s="810">
        <v>-165529.08803785645</v>
      </c>
      <c r="D96" s="23" t="s">
        <v>140</v>
      </c>
      <c r="E96" s="804" t="s">
        <v>146</v>
      </c>
      <c r="F96" s="625">
        <f t="shared" si="3"/>
        <v>7.9057273540331513E-2</v>
      </c>
      <c r="G96" s="800">
        <f t="shared" si="6"/>
        <v>-13086.278391890433</v>
      </c>
    </row>
    <row r="97" spans="1:7">
      <c r="A97" s="1" t="s">
        <v>259</v>
      </c>
      <c r="B97" s="1">
        <v>282</v>
      </c>
      <c r="C97" s="810">
        <v>-30446.172254188274</v>
      </c>
      <c r="D97" s="23" t="s">
        <v>140</v>
      </c>
      <c r="E97" s="804" t="s">
        <v>1013</v>
      </c>
      <c r="F97" s="625">
        <f t="shared" si="3"/>
        <v>1</v>
      </c>
      <c r="G97" s="800">
        <v>-2406.991368155414</v>
      </c>
    </row>
    <row r="98" spans="1:7">
      <c r="A98" s="1" t="s">
        <v>259</v>
      </c>
      <c r="B98" s="1">
        <v>282</v>
      </c>
      <c r="C98" s="810">
        <v>-14286.462962858954</v>
      </c>
      <c r="D98" s="23" t="s">
        <v>140</v>
      </c>
      <c r="E98" s="804" t="s">
        <v>1014</v>
      </c>
      <c r="F98" s="625">
        <f t="shared" si="3"/>
        <v>1</v>
      </c>
      <c r="G98" s="800">
        <v>-1129.4488103785552</v>
      </c>
    </row>
    <row r="99" spans="1:7">
      <c r="A99" s="1" t="s">
        <v>259</v>
      </c>
      <c r="B99" s="1">
        <v>282</v>
      </c>
      <c r="C99" s="810">
        <v>-3.6621176346020192</v>
      </c>
      <c r="D99" s="23" t="s">
        <v>140</v>
      </c>
      <c r="E99" s="804" t="s">
        <v>171</v>
      </c>
      <c r="F99" s="625">
        <f t="shared" si="3"/>
        <v>0</v>
      </c>
      <c r="G99" s="800">
        <f t="shared" ref="G99:G105" si="7">F99*C99</f>
        <v>0</v>
      </c>
    </row>
    <row r="100" spans="1:7">
      <c r="A100" s="1" t="s">
        <v>259</v>
      </c>
      <c r="B100" s="1">
        <v>282</v>
      </c>
      <c r="C100" s="810">
        <v>-100448.72394269187</v>
      </c>
      <c r="D100" s="23" t="s">
        <v>140</v>
      </c>
      <c r="E100" s="804" t="s">
        <v>141</v>
      </c>
      <c r="F100" s="625">
        <f t="shared" si="3"/>
        <v>1</v>
      </c>
      <c r="G100" s="800">
        <f t="shared" si="7"/>
        <v>-100448.72394269187</v>
      </c>
    </row>
    <row r="101" spans="1:7">
      <c r="A101" s="1" t="s">
        <v>259</v>
      </c>
      <c r="B101" s="1">
        <v>282</v>
      </c>
      <c r="C101" s="810">
        <v>-39819.859769370341</v>
      </c>
      <c r="D101" s="23" t="s">
        <v>140</v>
      </c>
      <c r="E101" s="804" t="s">
        <v>151</v>
      </c>
      <c r="F101" s="625">
        <f t="shared" si="3"/>
        <v>6.2803307592478125E-2</v>
      </c>
      <c r="G101" s="800">
        <f t="shared" si="7"/>
        <v>-2500.8189013851106</v>
      </c>
    </row>
    <row r="102" spans="1:7">
      <c r="A102" s="1" t="s">
        <v>259</v>
      </c>
      <c r="B102" s="1">
        <v>282</v>
      </c>
      <c r="C102" s="810">
        <v>-1120.0941702640584</v>
      </c>
      <c r="D102" s="23" t="s">
        <v>140</v>
      </c>
      <c r="E102" s="804" t="s">
        <v>261</v>
      </c>
      <c r="F102" s="625">
        <f t="shared" si="3"/>
        <v>0</v>
      </c>
      <c r="G102" s="800">
        <f t="shared" si="7"/>
        <v>0</v>
      </c>
    </row>
    <row r="103" spans="1:7">
      <c r="A103" s="1" t="s">
        <v>259</v>
      </c>
      <c r="B103" s="1">
        <v>282</v>
      </c>
      <c r="C103" s="810">
        <v>-48029.837104518352</v>
      </c>
      <c r="D103" s="23" t="s">
        <v>140</v>
      </c>
      <c r="E103" s="804" t="s">
        <v>148</v>
      </c>
      <c r="F103" s="625">
        <f t="shared" si="3"/>
        <v>7.5697931989234163E-2</v>
      </c>
      <c r="G103" s="800">
        <f t="shared" si="7"/>
        <v>-3635.7593425918258</v>
      </c>
    </row>
    <row r="104" spans="1:7">
      <c r="A104" s="1" t="s">
        <v>259</v>
      </c>
      <c r="B104" s="1">
        <v>282</v>
      </c>
      <c r="C104" s="810">
        <v>-107054.5244414161</v>
      </c>
      <c r="D104" s="23" t="s">
        <v>140</v>
      </c>
      <c r="E104" s="804" t="s">
        <v>130</v>
      </c>
      <c r="F104" s="625">
        <f t="shared" si="3"/>
        <v>6.8539355270203509E-2</v>
      </c>
      <c r="G104" s="800">
        <f t="shared" si="7"/>
        <v>-7337.4480839729031</v>
      </c>
    </row>
    <row r="105" spans="1:7">
      <c r="A105" s="1" t="s">
        <v>259</v>
      </c>
      <c r="B105" s="1">
        <v>282</v>
      </c>
      <c r="C105" s="810">
        <v>-40078.814271887168</v>
      </c>
      <c r="D105" s="23" t="s">
        <v>140</v>
      </c>
      <c r="E105" s="804" t="s">
        <v>152</v>
      </c>
      <c r="F105" s="625">
        <f t="shared" si="3"/>
        <v>6.9173575695716499E-2</v>
      </c>
      <c r="G105" s="800">
        <f t="shared" si="7"/>
        <v>-2772.3948928309496</v>
      </c>
    </row>
    <row r="106" spans="1:7" ht="13.5" thickBot="1">
      <c r="C106" s="38">
        <f>SUM(C92:C105)</f>
        <v>-728941.07663871348</v>
      </c>
      <c r="E106" s="347"/>
      <c r="G106" s="38">
        <f>SUM(G92:G105)</f>
        <v>-143763.74042216278</v>
      </c>
    </row>
    <row r="107" spans="1:7" ht="13.5" thickTop="1">
      <c r="G107" s="806"/>
    </row>
    <row r="109" spans="1:7">
      <c r="A109" s="248" t="s">
        <v>145</v>
      </c>
      <c r="G109" s="800"/>
    </row>
    <row r="110" spans="1:7">
      <c r="A110" s="1414" t="s">
        <v>1070</v>
      </c>
      <c r="B110" s="1414"/>
      <c r="C110" s="1414"/>
      <c r="D110" s="1414"/>
      <c r="E110" s="1414"/>
      <c r="F110" s="1414"/>
      <c r="G110" s="1414"/>
    </row>
    <row r="111" spans="1:7">
      <c r="A111" s="1414"/>
      <c r="B111" s="1414"/>
      <c r="C111" s="1414"/>
      <c r="D111" s="1414"/>
      <c r="E111" s="1414"/>
      <c r="F111" s="1414"/>
      <c r="G111" s="1414"/>
    </row>
    <row r="112" spans="1:7">
      <c r="A112" s="1414"/>
      <c r="B112" s="1414"/>
      <c r="C112" s="1414"/>
      <c r="D112" s="1414"/>
      <c r="E112" s="1414"/>
      <c r="F112" s="1414"/>
      <c r="G112" s="1414"/>
    </row>
    <row r="113" spans="1:7">
      <c r="A113" s="1414"/>
      <c r="B113" s="1414"/>
      <c r="C113" s="1414"/>
      <c r="D113" s="1414"/>
      <c r="E113" s="1414"/>
      <c r="F113" s="1414"/>
      <c r="G113" s="1414"/>
    </row>
    <row r="114" spans="1:7">
      <c r="A114" s="1414"/>
      <c r="B114" s="1414"/>
      <c r="C114" s="1414"/>
      <c r="D114" s="1414"/>
      <c r="E114" s="1414"/>
      <c r="F114" s="1414"/>
      <c r="G114" s="1414"/>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Q47"/>
  <sheetViews>
    <sheetView workbookViewId="0">
      <selection activeCell="F16" sqref="F16"/>
    </sheetView>
  </sheetViews>
  <sheetFormatPr defaultColWidth="9.140625" defaultRowHeight="12.75"/>
  <cols>
    <col min="1" max="1" width="37.85546875" style="29" customWidth="1"/>
    <col min="2" max="2" width="9.7109375" style="29" bestFit="1" customWidth="1"/>
    <col min="3" max="3" width="5.42578125" style="29" bestFit="1" customWidth="1"/>
    <col min="4" max="4" width="12.7109375" style="29" customWidth="1"/>
    <col min="5" max="5" width="8" style="29" bestFit="1" customWidth="1"/>
    <col min="6" max="6" width="10" style="29" bestFit="1" customWidth="1"/>
    <col min="7" max="7" width="13.28515625" style="29" bestFit="1" customWidth="1"/>
    <col min="8" max="8" width="9.140625" style="29"/>
    <col min="9" max="9" width="11" style="29" bestFit="1" customWidth="1"/>
    <col min="10" max="10" width="12.28515625" style="29" bestFit="1" customWidth="1"/>
    <col min="11" max="12" width="12.5703125" style="29" bestFit="1" customWidth="1"/>
    <col min="13" max="14" width="10.42578125" style="29" bestFit="1" customWidth="1"/>
    <col min="15" max="15" width="11.28515625" style="29" bestFit="1" customWidth="1"/>
    <col min="16" max="16" width="10.42578125" style="29" bestFit="1" customWidth="1"/>
    <col min="17" max="17" width="9.5703125" style="29" bestFit="1" customWidth="1"/>
    <col min="18" max="16384" width="9.140625" style="29"/>
  </cols>
  <sheetData>
    <row r="1" spans="1:17">
      <c r="A1" s="17" t="str">
        <f>RevReqSummary!A1</f>
        <v>PacifiCorp General Rate Case UE-140617</v>
      </c>
      <c r="B1" s="774"/>
      <c r="C1" s="774"/>
      <c r="D1" s="773"/>
      <c r="E1" s="774"/>
      <c r="F1" s="775"/>
      <c r="G1" s="776"/>
      <c r="H1" s="569"/>
      <c r="I1" s="569"/>
      <c r="J1" s="20"/>
      <c r="K1" s="20"/>
      <c r="L1" s="20"/>
      <c r="M1" s="20"/>
      <c r="N1" s="20"/>
      <c r="O1" s="20"/>
      <c r="P1" s="20"/>
      <c r="Q1" s="20"/>
    </row>
    <row r="2" spans="1:17">
      <c r="A2" s="17" t="str">
        <f>RevReqSummary!A2</f>
        <v>For The Twelve Months Ended December 2013 - Staff Revenue Requirement</v>
      </c>
      <c r="B2" s="774"/>
      <c r="C2" s="774"/>
      <c r="D2" s="773"/>
      <c r="E2" s="774"/>
      <c r="F2" s="774"/>
      <c r="G2" s="773"/>
      <c r="H2" s="569"/>
      <c r="I2" s="569"/>
      <c r="J2" s="20"/>
      <c r="K2" s="20"/>
      <c r="L2" s="20"/>
      <c r="M2" s="20"/>
      <c r="N2" s="20"/>
      <c r="O2" s="20"/>
      <c r="P2" s="20"/>
      <c r="Q2" s="682"/>
    </row>
    <row r="3" spans="1:17">
      <c r="A3" s="761" t="s">
        <v>106</v>
      </c>
      <c r="B3" s="774"/>
      <c r="C3" s="774"/>
      <c r="D3" s="773"/>
      <c r="E3" s="774"/>
      <c r="F3" s="774"/>
      <c r="G3" s="773"/>
      <c r="H3" s="576"/>
      <c r="I3" s="576"/>
      <c r="J3" s="20"/>
      <c r="K3" s="20"/>
      <c r="L3" s="20"/>
      <c r="M3" s="20"/>
      <c r="N3" s="20"/>
      <c r="O3" s="20"/>
      <c r="P3" s="20"/>
      <c r="Q3" s="20"/>
    </row>
    <row r="4" spans="1:17">
      <c r="A4" s="761" t="s">
        <v>503</v>
      </c>
      <c r="B4" s="774"/>
      <c r="C4" s="774"/>
      <c r="D4" s="773"/>
      <c r="E4" s="774"/>
      <c r="F4" s="774"/>
      <c r="G4" s="773"/>
      <c r="H4" s="576"/>
      <c r="I4" s="576"/>
      <c r="J4" s="20"/>
      <c r="K4" s="20"/>
      <c r="L4" s="20"/>
      <c r="M4" s="20"/>
      <c r="N4" s="20"/>
      <c r="O4" s="20"/>
      <c r="P4" s="20"/>
      <c r="Q4" s="20"/>
    </row>
    <row r="5" spans="1:17">
      <c r="A5" s="773"/>
      <c r="B5" s="774"/>
      <c r="C5" s="774"/>
      <c r="D5" s="773"/>
      <c r="E5" s="774"/>
      <c r="F5" s="774"/>
      <c r="G5" s="773"/>
      <c r="H5" s="576"/>
      <c r="I5" s="576"/>
      <c r="J5" s="20"/>
      <c r="K5" s="20"/>
      <c r="L5" s="20"/>
      <c r="M5" s="20"/>
      <c r="N5" s="20"/>
      <c r="O5" s="20"/>
      <c r="P5" s="20"/>
      <c r="Q5" s="20"/>
    </row>
    <row r="6" spans="1:17">
      <c r="A6" s="775"/>
      <c r="B6" s="775"/>
      <c r="C6" s="775"/>
      <c r="D6" s="777" t="s">
        <v>131</v>
      </c>
      <c r="E6" s="775"/>
      <c r="F6" s="775"/>
      <c r="G6" s="777" t="s">
        <v>236</v>
      </c>
      <c r="H6" s="576"/>
      <c r="I6" s="576"/>
      <c r="J6" s="20"/>
      <c r="K6" s="20"/>
      <c r="L6" s="20"/>
      <c r="M6" s="20"/>
      <c r="N6" s="20"/>
      <c r="O6" s="20"/>
      <c r="P6" s="20"/>
      <c r="Q6" s="20"/>
    </row>
    <row r="7" spans="1:17">
      <c r="A7" s="775"/>
      <c r="B7" s="778" t="s">
        <v>132</v>
      </c>
      <c r="C7" s="778" t="s">
        <v>660</v>
      </c>
      <c r="D7" s="778" t="s">
        <v>134</v>
      </c>
      <c r="E7" s="778" t="s">
        <v>135</v>
      </c>
      <c r="F7" s="778" t="s">
        <v>136</v>
      </c>
      <c r="G7" s="778" t="s">
        <v>137</v>
      </c>
      <c r="H7" s="30"/>
      <c r="I7" s="30"/>
      <c r="J7" s="572"/>
      <c r="K7" s="683"/>
      <c r="L7" s="572"/>
      <c r="M7" s="20"/>
      <c r="N7" s="20"/>
      <c r="O7" s="20"/>
      <c r="P7" s="20"/>
      <c r="Q7" s="20"/>
    </row>
    <row r="8" spans="1:17">
      <c r="A8" s="779" t="s">
        <v>199</v>
      </c>
      <c r="B8" s="775"/>
      <c r="C8" s="775"/>
      <c r="D8" s="775"/>
      <c r="E8" s="780"/>
      <c r="F8" s="780"/>
      <c r="G8" s="139"/>
      <c r="H8" s="30"/>
      <c r="I8" s="30"/>
      <c r="J8" s="572"/>
      <c r="K8" s="572"/>
      <c r="L8" s="572"/>
      <c r="M8" s="572"/>
      <c r="N8" s="572"/>
      <c r="O8" s="572"/>
      <c r="P8" s="572"/>
      <c r="Q8" s="572"/>
    </row>
    <row r="9" spans="1:17">
      <c r="A9" s="781" t="s">
        <v>262</v>
      </c>
      <c r="B9" s="777">
        <v>427</v>
      </c>
      <c r="C9" s="777">
        <v>1</v>
      </c>
      <c r="D9" s="782">
        <v>-1166077</v>
      </c>
      <c r="E9" s="70" t="s">
        <v>141</v>
      </c>
      <c r="F9" s="783">
        <f>INDEX(WCAAllocations,IFERROR(MATCH(E9,WCAFactors,0),2),IFERROR(MATCH(E9,WCAStates,0),4))</f>
        <v>1</v>
      </c>
      <c r="G9" s="784">
        <f>F9*D9</f>
        <v>-1166077</v>
      </c>
      <c r="H9" s="569"/>
      <c r="I9" s="569"/>
      <c r="J9" s="1047"/>
      <c r="K9" s="1047"/>
      <c r="L9" s="1047"/>
      <c r="M9" s="1048"/>
      <c r="N9" s="1047"/>
      <c r="O9" s="1047"/>
      <c r="P9" s="1047"/>
      <c r="Q9" s="1047"/>
    </row>
    <row r="10" spans="1:17">
      <c r="A10" s="785" t="s">
        <v>458</v>
      </c>
      <c r="B10" s="786">
        <v>427</v>
      </c>
      <c r="C10" s="787">
        <v>2</v>
      </c>
      <c r="D10" s="788"/>
      <c r="E10" s="789" t="s">
        <v>141</v>
      </c>
      <c r="F10" s="783">
        <f>INDEX(WCAAllocations,IFERROR(MATCH(E10,WCAFactors,0),2),IFERROR(MATCH(E10,WCAStates,0),4))</f>
        <v>1</v>
      </c>
      <c r="G10" s="790"/>
      <c r="H10" s="569"/>
      <c r="I10" s="134"/>
      <c r="J10" s="1047"/>
      <c r="K10" s="1047"/>
      <c r="L10" s="1047"/>
      <c r="M10" s="1048"/>
      <c r="N10" s="1047"/>
      <c r="O10" s="1047"/>
      <c r="P10" s="1047"/>
      <c r="Q10" s="1047"/>
    </row>
    <row r="11" spans="1:17">
      <c r="A11" s="781" t="s">
        <v>724</v>
      </c>
      <c r="B11" s="777">
        <v>427</v>
      </c>
      <c r="C11" s="774">
        <v>3</v>
      </c>
      <c r="D11" s="782">
        <v>925285.69738062471</v>
      </c>
      <c r="E11" s="70" t="s">
        <v>141</v>
      </c>
      <c r="F11" s="783">
        <f>INDEX(WCAAllocations,IFERROR(MATCH(E11,WCAFactors,0),2),IFERROR(MATCH(E11,WCAStates,0),4))</f>
        <v>1</v>
      </c>
      <c r="G11" s="784">
        <f>D11</f>
        <v>925285.69738062471</v>
      </c>
      <c r="H11" s="569"/>
      <c r="I11" s="134"/>
      <c r="J11" s="1047"/>
      <c r="K11" s="1047"/>
      <c r="L11" s="1047"/>
      <c r="M11" s="1048"/>
      <c r="N11" s="1047"/>
      <c r="O11" s="1047"/>
      <c r="P11" s="1047"/>
      <c r="Q11" s="1047"/>
    </row>
    <row r="12" spans="1:17" ht="13.5" thickBot="1">
      <c r="A12" s="773"/>
      <c r="B12" s="774"/>
      <c r="C12" s="774"/>
      <c r="D12" s="791">
        <f>SUM(D9:D11)</f>
        <v>-240791.30261937529</v>
      </c>
      <c r="E12" s="773"/>
      <c r="F12" s="773"/>
      <c r="G12" s="792">
        <f>SUM(G9:G11)</f>
        <v>-240791.30261937529</v>
      </c>
      <c r="H12" s="134"/>
      <c r="I12" s="134"/>
      <c r="J12" s="134"/>
      <c r="K12" s="134"/>
      <c r="L12" s="20"/>
      <c r="M12" s="1049"/>
      <c r="N12" s="134"/>
      <c r="O12" s="134"/>
      <c r="P12" s="134"/>
      <c r="Q12" s="134"/>
    </row>
    <row r="13" spans="1:17" ht="13.5" thickTop="1">
      <c r="A13" s="761"/>
      <c r="B13" s="775"/>
      <c r="C13" s="775"/>
      <c r="D13" s="775"/>
      <c r="E13" s="780"/>
      <c r="F13" s="780"/>
      <c r="G13" s="139"/>
      <c r="H13" s="134"/>
      <c r="I13" s="134"/>
      <c r="J13" s="134"/>
      <c r="K13" s="134"/>
      <c r="L13" s="20"/>
      <c r="M13" s="1050"/>
      <c r="N13" s="134"/>
      <c r="O13" s="134"/>
      <c r="P13" s="134"/>
      <c r="Q13" s="134"/>
    </row>
    <row r="14" spans="1:17">
      <c r="A14" s="761" t="s">
        <v>204</v>
      </c>
      <c r="B14" s="775"/>
      <c r="C14" s="775"/>
      <c r="D14" s="775"/>
      <c r="E14" s="780"/>
      <c r="F14" s="780"/>
      <c r="G14" s="139"/>
      <c r="H14" s="134"/>
      <c r="I14" s="134"/>
      <c r="J14" s="134"/>
      <c r="K14" s="134"/>
      <c r="L14" s="20"/>
      <c r="M14" s="1049"/>
      <c r="N14" s="134"/>
      <c r="O14" s="134"/>
      <c r="P14" s="134"/>
      <c r="Q14" s="134"/>
    </row>
    <row r="15" spans="1:17">
      <c r="A15" s="779" t="s">
        <v>263</v>
      </c>
      <c r="B15" s="775"/>
      <c r="C15" s="775"/>
      <c r="D15" s="775"/>
      <c r="E15" s="780"/>
      <c r="F15" s="780"/>
      <c r="G15" s="139"/>
      <c r="H15" s="134"/>
      <c r="I15" s="134"/>
      <c r="J15" s="134"/>
      <c r="K15" s="134"/>
      <c r="L15" s="20"/>
      <c r="M15" s="1049"/>
      <c r="N15" s="134"/>
      <c r="O15" s="134"/>
      <c r="P15" s="134"/>
      <c r="Q15" s="134"/>
    </row>
    <row r="16" spans="1:17">
      <c r="A16" s="793" t="s">
        <v>70</v>
      </c>
      <c r="B16" s="775"/>
      <c r="C16" s="775"/>
      <c r="D16" s="775"/>
      <c r="E16" s="780"/>
      <c r="F16" s="780"/>
      <c r="G16" s="798">
        <f>+RevReqSummary!C64+RevReqSummary!E64</f>
        <v>812604391.53220916</v>
      </c>
      <c r="H16" s="569"/>
      <c r="I16" s="569"/>
      <c r="J16" s="597"/>
      <c r="K16" s="597"/>
      <c r="L16" s="597"/>
      <c r="M16" s="1048"/>
      <c r="N16" s="597"/>
      <c r="O16" s="597"/>
      <c r="P16" s="597"/>
      <c r="Q16" s="597"/>
    </row>
    <row r="17" spans="1:17">
      <c r="A17" s="781" t="s">
        <v>264</v>
      </c>
      <c r="B17" s="775"/>
      <c r="C17" s="775"/>
      <c r="D17" s="775"/>
      <c r="F17" s="780"/>
      <c r="G17" s="1105">
        <f>+G26</f>
        <v>2.6221159999999997E-2</v>
      </c>
      <c r="H17" s="569"/>
      <c r="I17" s="569"/>
      <c r="J17" s="1051"/>
      <c r="K17" s="1051"/>
      <c r="L17" s="1052"/>
      <c r="M17" s="1051"/>
      <c r="N17" s="1051"/>
      <c r="O17" s="1051"/>
      <c r="P17" s="1051"/>
      <c r="Q17" s="1051"/>
    </row>
    <row r="18" spans="1:17">
      <c r="A18" s="793" t="s">
        <v>459</v>
      </c>
      <c r="B18" s="775"/>
      <c r="C18" s="775"/>
      <c r="D18" s="775"/>
      <c r="E18" s="780"/>
      <c r="F18" s="780"/>
      <c r="G18" s="784">
        <f>G16*G17</f>
        <v>21307429.767068699</v>
      </c>
      <c r="H18" s="569"/>
      <c r="I18" s="569"/>
      <c r="J18" s="127"/>
      <c r="K18" s="127"/>
      <c r="L18" s="686"/>
      <c r="M18" s="127"/>
      <c r="N18" s="127"/>
      <c r="O18" s="127"/>
      <c r="P18" s="127"/>
      <c r="Q18" s="127"/>
    </row>
    <row r="19" spans="1:17">
      <c r="A19" s="793"/>
      <c r="B19" s="775"/>
      <c r="C19" s="775"/>
      <c r="D19" s="775"/>
      <c r="E19" s="780"/>
      <c r="F19" s="780"/>
      <c r="G19" s="127"/>
      <c r="H19" s="569"/>
      <c r="I19" s="569"/>
      <c r="J19" s="134"/>
      <c r="K19" s="134"/>
      <c r="L19" s="20"/>
      <c r="M19" s="134"/>
      <c r="N19" s="134"/>
      <c r="O19" s="127"/>
      <c r="P19" s="134"/>
      <c r="Q19" s="134"/>
    </row>
    <row r="20" spans="1:17">
      <c r="A20" s="794" t="s">
        <v>460</v>
      </c>
      <c r="B20" s="775"/>
      <c r="C20" s="775"/>
      <c r="D20" s="775"/>
      <c r="E20" s="780"/>
      <c r="F20" s="780"/>
      <c r="G20" s="795">
        <v>21485186.423176125</v>
      </c>
      <c r="H20" s="569"/>
      <c r="I20" s="569"/>
      <c r="J20" s="127"/>
      <c r="K20" s="127"/>
      <c r="L20" s="686"/>
      <c r="M20" s="1048"/>
      <c r="N20" s="127"/>
      <c r="O20" s="127"/>
      <c r="P20" s="127"/>
      <c r="Q20" s="127"/>
    </row>
    <row r="21" spans="1:17" ht="13.5" thickBot="1">
      <c r="A21" s="773" t="s">
        <v>461</v>
      </c>
      <c r="B21" s="775"/>
      <c r="C21" s="775"/>
      <c r="D21" s="775"/>
      <c r="E21" s="780"/>
      <c r="F21" s="780"/>
      <c r="G21" s="796">
        <f>G18-G20</f>
        <v>-177756.65610742569</v>
      </c>
      <c r="H21" s="569"/>
      <c r="I21" s="569"/>
      <c r="J21" s="1047"/>
      <c r="K21" s="1047"/>
      <c r="L21" s="1053"/>
      <c r="M21" s="1047"/>
      <c r="N21" s="1047"/>
      <c r="O21" s="1047"/>
      <c r="P21" s="1047"/>
      <c r="Q21" s="1047"/>
    </row>
    <row r="22" spans="1:17" ht="13.5" thickTop="1">
      <c r="A22" s="793"/>
      <c r="B22" s="775"/>
      <c r="C22" s="775"/>
      <c r="D22" s="775"/>
      <c r="E22" s="780"/>
      <c r="F22" s="780"/>
      <c r="G22" s="775"/>
      <c r="H22" s="569"/>
      <c r="I22" s="569"/>
      <c r="J22" s="134"/>
      <c r="K22" s="1054"/>
      <c r="L22" s="20"/>
      <c r="M22" s="134"/>
      <c r="N22" s="134"/>
      <c r="O22" s="134"/>
      <c r="P22" s="134"/>
      <c r="Q22" s="134"/>
    </row>
    <row r="23" spans="1:17">
      <c r="A23" s="794"/>
      <c r="B23" s="774"/>
      <c r="C23" s="774"/>
      <c r="D23" s="773"/>
      <c r="E23" s="773"/>
      <c r="F23" s="773"/>
      <c r="G23" s="127"/>
      <c r="H23" s="569"/>
      <c r="I23" s="569"/>
      <c r="J23" s="134"/>
      <c r="K23" s="1054"/>
      <c r="L23" s="20"/>
      <c r="M23" s="134"/>
      <c r="N23" s="134"/>
      <c r="O23" s="134"/>
      <c r="P23" s="134"/>
      <c r="Q23" s="134"/>
    </row>
    <row r="24" spans="1:17">
      <c r="A24" s="779" t="s">
        <v>462</v>
      </c>
      <c r="B24" s="774"/>
      <c r="C24" s="774"/>
      <c r="D24" s="773"/>
      <c r="F24" s="773"/>
      <c r="G24" s="797"/>
      <c r="H24" s="1055"/>
      <c r="I24" s="1055"/>
      <c r="J24" s="127"/>
      <c r="K24" s="127"/>
      <c r="L24" s="686"/>
      <c r="M24" s="1048"/>
      <c r="N24" s="127"/>
      <c r="O24" s="127"/>
      <c r="P24" s="127"/>
      <c r="Q24" s="127"/>
    </row>
    <row r="25" spans="1:17">
      <c r="A25" s="793" t="s">
        <v>70</v>
      </c>
      <c r="B25" s="774"/>
      <c r="C25" s="774"/>
      <c r="D25" s="127"/>
      <c r="F25" s="773"/>
      <c r="G25" s="798">
        <f>+RevReqSummary!H64</f>
        <v>849625444.90131009</v>
      </c>
      <c r="H25" s="1055"/>
      <c r="I25" s="1055"/>
      <c r="J25" s="134"/>
      <c r="K25" s="134"/>
      <c r="L25" s="20"/>
      <c r="M25" s="134"/>
      <c r="N25" s="134"/>
      <c r="O25" s="127"/>
      <c r="P25" s="134"/>
      <c r="Q25" s="134"/>
    </row>
    <row r="26" spans="1:17">
      <c r="A26" s="781" t="s">
        <v>264</v>
      </c>
      <c r="B26" s="774"/>
      <c r="C26" s="774"/>
      <c r="D26" s="127"/>
      <c r="F26" s="773"/>
      <c r="G26" s="799">
        <f>'Cost of Capital'!D18*'Cost of Capital'!C18</f>
        <v>2.6221159999999997E-2</v>
      </c>
      <c r="H26" s="1055"/>
      <c r="I26" s="1055"/>
      <c r="J26" s="686"/>
      <c r="K26" s="686"/>
      <c r="L26" s="686"/>
      <c r="M26" s="686"/>
      <c r="N26" s="686"/>
      <c r="O26" s="686"/>
      <c r="P26" s="686"/>
      <c r="Q26" s="686"/>
    </row>
    <row r="27" spans="1:17">
      <c r="A27" s="793" t="s">
        <v>459</v>
      </c>
      <c r="B27" s="774"/>
      <c r="C27" s="774"/>
      <c r="D27" s="127"/>
      <c r="F27" s="773"/>
      <c r="G27" s="784">
        <f>G25*G26</f>
        <v>22278164.730828434</v>
      </c>
      <c r="H27" s="1055"/>
      <c r="I27" s="1055"/>
      <c r="J27" s="1047"/>
      <c r="K27" s="1047"/>
      <c r="L27" s="1053"/>
      <c r="M27" s="1047"/>
      <c r="N27" s="1047"/>
      <c r="O27" s="1047"/>
      <c r="P27" s="1047"/>
      <c r="Q27" s="1047"/>
    </row>
    <row r="28" spans="1:17">
      <c r="A28" s="793"/>
      <c r="B28" s="774"/>
      <c r="C28" s="774"/>
      <c r="D28" s="127"/>
      <c r="F28" s="773"/>
      <c r="G28" s="127"/>
      <c r="H28" s="569"/>
      <c r="I28" s="569"/>
      <c r="J28" s="134"/>
      <c r="K28" s="134"/>
      <c r="L28" s="20"/>
      <c r="M28" s="134"/>
      <c r="N28" s="134"/>
      <c r="O28" s="134"/>
      <c r="P28" s="134"/>
      <c r="Q28" s="134"/>
    </row>
    <row r="29" spans="1:17">
      <c r="A29" s="794" t="s">
        <v>265</v>
      </c>
      <c r="B29" s="774"/>
      <c r="C29" s="774"/>
      <c r="D29" s="127"/>
      <c r="F29" s="773"/>
      <c r="G29" s="784">
        <f>G18</f>
        <v>21307429.767068699</v>
      </c>
      <c r="H29" s="1055"/>
      <c r="I29" s="1055"/>
      <c r="J29" s="127"/>
      <c r="K29" s="127"/>
      <c r="L29" s="686"/>
      <c r="M29" s="1048"/>
      <c r="N29" s="127"/>
      <c r="O29" s="127"/>
      <c r="P29" s="127"/>
      <c r="Q29" s="127"/>
    </row>
    <row r="30" spans="1:17" ht="13.5" thickBot="1">
      <c r="A30" s="773" t="s">
        <v>463</v>
      </c>
      <c r="B30" s="774"/>
      <c r="C30" s="774"/>
      <c r="D30" s="127"/>
      <c r="F30" s="773"/>
      <c r="G30" s="796">
        <f>G27-G29</f>
        <v>970734.96375973523</v>
      </c>
      <c r="H30" s="569"/>
      <c r="I30" s="569"/>
      <c r="J30" s="597"/>
      <c r="K30" s="597"/>
      <c r="L30" s="597"/>
      <c r="M30" s="1048"/>
      <c r="N30" s="597"/>
      <c r="O30" s="597"/>
      <c r="P30" s="597"/>
      <c r="Q30" s="597"/>
    </row>
    <row r="31" spans="1:17" ht="13.5" thickTop="1">
      <c r="A31" s="794"/>
      <c r="B31" s="774"/>
      <c r="C31" s="774"/>
      <c r="D31" s="773"/>
      <c r="E31" s="773"/>
      <c r="F31" s="773"/>
      <c r="G31" s="127"/>
      <c r="H31" s="569"/>
      <c r="I31" s="569"/>
      <c r="J31" s="1051"/>
      <c r="K31" s="1051"/>
      <c r="L31" s="1056"/>
      <c r="M31" s="1051"/>
      <c r="N31" s="1051"/>
      <c r="O31" s="1051"/>
      <c r="P31" s="1051"/>
      <c r="Q31" s="1051"/>
    </row>
    <row r="32" spans="1:17">
      <c r="H32" s="576"/>
      <c r="I32" s="576"/>
      <c r="J32" s="127"/>
      <c r="K32" s="127"/>
      <c r="L32" s="686"/>
      <c r="M32" s="127"/>
      <c r="N32" s="127"/>
      <c r="O32" s="127"/>
      <c r="P32" s="127"/>
      <c r="Q32" s="127"/>
    </row>
    <row r="33" spans="1:17">
      <c r="A33" s="53" t="s">
        <v>435</v>
      </c>
      <c r="H33" s="569"/>
      <c r="I33" s="569"/>
      <c r="J33" s="134"/>
      <c r="K33" s="134"/>
      <c r="L33" s="20"/>
      <c r="M33" s="134"/>
      <c r="N33" s="134"/>
      <c r="O33" s="127"/>
      <c r="P33" s="134"/>
      <c r="Q33" s="134"/>
    </row>
    <row r="34" spans="1:17" ht="13.15" customHeight="1">
      <c r="A34" s="1415" t="s">
        <v>725</v>
      </c>
      <c r="B34" s="1415"/>
      <c r="C34" s="1415"/>
      <c r="D34" s="1415"/>
      <c r="E34" s="1415"/>
      <c r="F34" s="1415"/>
      <c r="G34" s="1415"/>
      <c r="H34" s="569"/>
      <c r="I34" s="569"/>
      <c r="J34" s="686"/>
      <c r="K34" s="686"/>
      <c r="L34" s="686"/>
      <c r="M34" s="686"/>
      <c r="N34" s="686"/>
      <c r="O34" s="686"/>
      <c r="P34" s="686"/>
      <c r="Q34" s="686"/>
    </row>
    <row r="35" spans="1:17">
      <c r="A35" s="1415"/>
      <c r="B35" s="1415"/>
      <c r="C35" s="1415"/>
      <c r="D35" s="1415"/>
      <c r="E35" s="1415"/>
      <c r="F35" s="1415"/>
      <c r="G35" s="1415"/>
      <c r="H35" s="1329"/>
      <c r="I35" s="569"/>
      <c r="J35" s="1047"/>
      <c r="K35" s="1047"/>
      <c r="L35" s="1053"/>
      <c r="M35" s="1047"/>
      <c r="N35" s="1047"/>
      <c r="O35" s="1047"/>
      <c r="P35" s="1047"/>
      <c r="Q35" s="1047"/>
    </row>
    <row r="36" spans="1:17">
      <c r="A36" s="1415"/>
      <c r="B36" s="1415"/>
      <c r="C36" s="1415"/>
      <c r="D36" s="1415"/>
      <c r="E36" s="1415"/>
      <c r="F36" s="1415"/>
      <c r="G36" s="1415"/>
      <c r="H36" s="1329"/>
      <c r="I36" s="569"/>
      <c r="J36" s="135"/>
      <c r="K36" s="134"/>
      <c r="L36" s="572"/>
      <c r="M36" s="134"/>
      <c r="N36" s="134"/>
      <c r="O36" s="134"/>
      <c r="P36" s="134"/>
      <c r="Q36" s="134"/>
    </row>
    <row r="37" spans="1:17">
      <c r="A37" s="1415"/>
      <c r="B37" s="1415"/>
      <c r="C37" s="1415"/>
      <c r="D37" s="1415"/>
      <c r="E37" s="1415"/>
      <c r="F37" s="1415"/>
      <c r="G37" s="1415"/>
      <c r="H37" s="1329"/>
      <c r="I37" s="569"/>
      <c r="J37" s="1057"/>
      <c r="K37" s="20"/>
      <c r="L37" s="572"/>
      <c r="M37" s="20"/>
      <c r="N37" s="20"/>
      <c r="O37" s="20"/>
      <c r="P37" s="20"/>
      <c r="Q37" s="20"/>
    </row>
    <row r="38" spans="1:17">
      <c r="A38" s="1415"/>
      <c r="B38" s="1415"/>
      <c r="C38" s="1415"/>
      <c r="D38" s="1415"/>
      <c r="E38" s="1415"/>
      <c r="F38" s="1415"/>
      <c r="G38" s="1415"/>
      <c r="H38" s="1329"/>
      <c r="I38" s="569"/>
      <c r="J38" s="20"/>
      <c r="K38" s="20"/>
      <c r="L38" s="20"/>
      <c r="M38" s="20"/>
      <c r="N38" s="20"/>
      <c r="O38" s="20"/>
      <c r="P38" s="20"/>
      <c r="Q38" s="20"/>
    </row>
    <row r="39" spans="1:17">
      <c r="A39" s="1415"/>
      <c r="B39" s="1415"/>
      <c r="C39" s="1415"/>
      <c r="D39" s="1415"/>
      <c r="E39" s="1415"/>
      <c r="F39" s="1415"/>
      <c r="G39" s="1415"/>
      <c r="H39" s="1329"/>
      <c r="I39" s="569"/>
      <c r="J39" s="20"/>
      <c r="K39" s="1058"/>
      <c r="L39" s="20"/>
      <c r="M39" s="20"/>
      <c r="N39" s="20"/>
      <c r="O39" s="20"/>
      <c r="P39" s="20"/>
      <c r="Q39" s="20"/>
    </row>
    <row r="40" spans="1:17">
      <c r="A40" s="1415"/>
      <c r="B40" s="1415"/>
      <c r="C40" s="1415"/>
      <c r="D40" s="1415"/>
      <c r="E40" s="1415"/>
      <c r="F40" s="1415"/>
      <c r="G40" s="1415"/>
      <c r="H40" s="1329"/>
      <c r="I40" s="569"/>
      <c r="J40" s="20"/>
      <c r="K40" s="20"/>
      <c r="L40" s="20"/>
      <c r="M40" s="20"/>
      <c r="N40" s="20"/>
      <c r="O40" s="20"/>
      <c r="P40" s="20"/>
      <c r="Q40" s="20"/>
    </row>
    <row r="41" spans="1:17">
      <c r="A41" s="1329"/>
      <c r="B41" s="1329"/>
      <c r="C41" s="1329"/>
      <c r="D41" s="1329"/>
      <c r="E41" s="1329"/>
      <c r="F41" s="1329"/>
      <c r="G41" s="1329"/>
      <c r="H41" s="1329"/>
      <c r="I41" s="569"/>
      <c r="J41" s="20"/>
      <c r="K41" s="20"/>
      <c r="L41" s="20"/>
      <c r="M41" s="20"/>
      <c r="N41" s="20"/>
      <c r="O41" s="20"/>
      <c r="P41" s="20"/>
      <c r="Q41" s="20"/>
    </row>
    <row r="42" spans="1:17">
      <c r="A42" s="1329"/>
      <c r="B42" s="1329"/>
      <c r="C42" s="1329"/>
      <c r="D42" s="1329"/>
      <c r="E42" s="1329"/>
      <c r="F42" s="1329"/>
      <c r="G42" s="1329"/>
      <c r="H42" s="1329"/>
      <c r="I42" s="569"/>
      <c r="J42" s="20"/>
      <c r="K42" s="20"/>
      <c r="L42" s="20"/>
      <c r="M42" s="20"/>
      <c r="N42" s="20"/>
      <c r="O42" s="20"/>
      <c r="P42" s="20"/>
      <c r="Q42" s="20"/>
    </row>
    <row r="43" spans="1:17">
      <c r="A43" s="1329"/>
      <c r="B43" s="1329"/>
      <c r="C43" s="1329"/>
      <c r="D43" s="1329"/>
      <c r="E43" s="1329"/>
      <c r="F43" s="1329"/>
      <c r="G43" s="1329"/>
      <c r="H43" s="1329"/>
      <c r="I43" s="569"/>
      <c r="J43" s="20"/>
      <c r="K43" s="20"/>
      <c r="L43" s="20"/>
      <c r="M43" s="20"/>
      <c r="N43" s="20"/>
      <c r="O43" s="20"/>
      <c r="P43" s="20"/>
      <c r="Q43" s="20"/>
    </row>
    <row r="44" spans="1:17">
      <c r="A44" s="574"/>
      <c r="B44" s="569"/>
      <c r="C44" s="134"/>
      <c r="D44" s="569"/>
      <c r="E44" s="569"/>
      <c r="F44" s="134"/>
      <c r="G44" s="569"/>
      <c r="H44" s="569"/>
      <c r="I44" s="569"/>
      <c r="J44" s="20"/>
      <c r="K44" s="20"/>
      <c r="L44" s="20"/>
      <c r="M44" s="20"/>
      <c r="N44" s="20"/>
      <c r="O44" s="20"/>
      <c r="P44" s="20"/>
      <c r="Q44" s="20"/>
    </row>
    <row r="45" spans="1:17">
      <c r="A45" s="134"/>
      <c r="B45" s="569"/>
      <c r="C45" s="134"/>
      <c r="D45" s="569"/>
      <c r="E45" s="569"/>
      <c r="F45" s="134"/>
      <c r="G45" s="569"/>
      <c r="H45" s="569"/>
      <c r="I45" s="569"/>
      <c r="J45" s="20"/>
      <c r="K45" s="20"/>
      <c r="L45" s="20"/>
      <c r="M45" s="20"/>
      <c r="N45" s="20"/>
      <c r="O45" s="20"/>
      <c r="P45" s="20"/>
      <c r="Q45" s="20"/>
    </row>
    <row r="46" spans="1:17">
      <c r="B46" s="569"/>
      <c r="C46" s="134"/>
      <c r="D46" s="569"/>
      <c r="E46" s="569"/>
      <c r="F46" s="134"/>
      <c r="G46" s="569"/>
      <c r="H46" s="569"/>
      <c r="I46" s="569"/>
      <c r="J46" s="20"/>
      <c r="K46" s="20"/>
      <c r="L46" s="20"/>
      <c r="M46" s="20"/>
      <c r="N46" s="20"/>
      <c r="O46" s="20"/>
      <c r="P46" s="20"/>
      <c r="Q46" s="20"/>
    </row>
    <row r="47" spans="1:17">
      <c r="A47" s="134"/>
      <c r="B47" s="569"/>
      <c r="C47" s="134"/>
      <c r="D47" s="569"/>
      <c r="E47" s="569"/>
      <c r="F47" s="134"/>
      <c r="G47" s="569"/>
      <c r="H47" s="569"/>
      <c r="I47" s="569"/>
      <c r="J47" s="20"/>
      <c r="K47" s="20"/>
      <c r="L47" s="20"/>
      <c r="M47" s="20"/>
      <c r="N47" s="20"/>
      <c r="O47" s="20"/>
      <c r="P47" s="20"/>
      <c r="Q47" s="20"/>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E60"/>
  <sheetViews>
    <sheetView workbookViewId="0">
      <selection activeCell="F16" sqref="F16"/>
    </sheetView>
  </sheetViews>
  <sheetFormatPr defaultColWidth="9.140625" defaultRowHeight="12.75"/>
  <cols>
    <col min="1" max="1" width="3.5703125" style="1" customWidth="1"/>
    <col min="2" max="2" width="52.85546875" style="1" customWidth="1"/>
    <col min="3" max="4" width="13.28515625" style="1" bestFit="1" customWidth="1"/>
    <col min="5" max="5" width="16.42578125" style="1" customWidth="1"/>
    <col min="6" max="16384" width="9.140625" style="1"/>
  </cols>
  <sheetData>
    <row r="1" spans="1:5">
      <c r="A1" s="1379" t="str">
        <f>RevReqSummary!A1</f>
        <v>PacifiCorp General Rate Case UE-140617</v>
      </c>
      <c r="B1" s="1379"/>
      <c r="C1" s="1379"/>
      <c r="D1" s="1379"/>
    </row>
    <row r="2" spans="1:5">
      <c r="A2" s="1379" t="str">
        <f>RevReqSummary!A2</f>
        <v>For The Twelve Months Ended December 2013 - Staff Revenue Requirement</v>
      </c>
      <c r="B2" s="1379"/>
      <c r="C2" s="1379"/>
      <c r="D2" s="1379"/>
    </row>
    <row r="3" spans="1:5">
      <c r="A3" s="1379" t="s">
        <v>77</v>
      </c>
      <c r="B3" s="1379"/>
      <c r="C3" s="1379"/>
      <c r="D3" s="1379"/>
    </row>
    <row r="4" spans="1:5">
      <c r="B4" s="1017"/>
      <c r="C4" s="23" t="s">
        <v>630</v>
      </c>
      <c r="D4" s="23" t="s">
        <v>630</v>
      </c>
    </row>
    <row r="5" spans="1:5">
      <c r="C5" s="1018" t="s">
        <v>627</v>
      </c>
      <c r="D5" s="1018" t="s">
        <v>107</v>
      </c>
      <c r="E5" s="1033"/>
    </row>
    <row r="6" spans="1:5">
      <c r="A6" s="1">
        <v>1</v>
      </c>
      <c r="B6" s="1015" t="s">
        <v>61</v>
      </c>
      <c r="C6" s="1019">
        <v>1</v>
      </c>
      <c r="D6" s="1019">
        <v>1</v>
      </c>
    </row>
    <row r="7" spans="1:5">
      <c r="A7" s="1">
        <f>A6+1</f>
        <v>2</v>
      </c>
      <c r="B7" s="138" t="s">
        <v>78</v>
      </c>
      <c r="C7" s="1019"/>
      <c r="D7" s="1019"/>
    </row>
    <row r="8" spans="1:5">
      <c r="A8" s="1">
        <f t="shared" ref="A8:A58" si="0">A7+1</f>
        <v>3</v>
      </c>
      <c r="B8" s="1016" t="s">
        <v>79</v>
      </c>
      <c r="C8" s="862">
        <f>C31</f>
        <v>6.3400000000000001E-3</v>
      </c>
      <c r="D8" s="862">
        <f>D31</f>
        <v>6.11E-3</v>
      </c>
    </row>
    <row r="9" spans="1:5">
      <c r="A9" s="1">
        <f t="shared" si="0"/>
        <v>4</v>
      </c>
      <c r="B9" s="1016" t="s">
        <v>651</v>
      </c>
      <c r="C9" s="1020">
        <v>3.8730000000000001E-2</v>
      </c>
      <c r="D9" s="1020">
        <v>3.8730000000000001E-2</v>
      </c>
    </row>
    <row r="10" spans="1:5">
      <c r="A10" s="1">
        <f t="shared" si="0"/>
        <v>5</v>
      </c>
      <c r="B10" s="706" t="s">
        <v>80</v>
      </c>
      <c r="C10" s="1021">
        <v>2E-3</v>
      </c>
      <c r="D10" s="1021">
        <v>2E-3</v>
      </c>
    </row>
    <row r="11" spans="1:5">
      <c r="A11" s="1">
        <f t="shared" si="0"/>
        <v>6</v>
      </c>
      <c r="B11" s="706" t="s">
        <v>81</v>
      </c>
      <c r="C11" s="1020">
        <f>C6-SUM(C8:C10)</f>
        <v>0.95293000000000005</v>
      </c>
      <c r="D11" s="1020">
        <f>D6-SUM(D8:D10)</f>
        <v>0.95316000000000001</v>
      </c>
    </row>
    <row r="12" spans="1:5">
      <c r="A12" s="1">
        <f t="shared" si="0"/>
        <v>7</v>
      </c>
      <c r="B12" s="708"/>
      <c r="C12" s="1020"/>
      <c r="D12" s="1020"/>
    </row>
    <row r="13" spans="1:5">
      <c r="A13" s="1">
        <f t="shared" si="0"/>
        <v>8</v>
      </c>
      <c r="B13" s="706" t="s">
        <v>67</v>
      </c>
      <c r="C13" s="1020">
        <f>C11*0</f>
        <v>0</v>
      </c>
      <c r="D13" s="1020">
        <f>D11*E13</f>
        <v>0</v>
      </c>
    </row>
    <row r="14" spans="1:5">
      <c r="A14" s="1">
        <f t="shared" si="0"/>
        <v>9</v>
      </c>
      <c r="B14" s="706"/>
      <c r="C14" s="1019"/>
      <c r="D14" s="1019"/>
    </row>
    <row r="15" spans="1:5">
      <c r="A15" s="1">
        <f t="shared" si="0"/>
        <v>10</v>
      </c>
      <c r="B15" s="706" t="s">
        <v>81</v>
      </c>
      <c r="C15" s="1022">
        <f>C11-C13</f>
        <v>0.95293000000000005</v>
      </c>
      <c r="D15" s="1022">
        <f>D11-D13</f>
        <v>0.95316000000000001</v>
      </c>
    </row>
    <row r="16" spans="1:5">
      <c r="A16" s="1">
        <f t="shared" si="0"/>
        <v>11</v>
      </c>
      <c r="B16" s="708"/>
      <c r="C16" s="1023"/>
      <c r="D16" s="1023"/>
    </row>
    <row r="17" spans="1:5">
      <c r="A17" s="1">
        <f t="shared" si="0"/>
        <v>12</v>
      </c>
      <c r="B17" s="1016" t="s">
        <v>82</v>
      </c>
      <c r="C17" s="1023">
        <f>+C15*D27</f>
        <v>0.33352549999999997</v>
      </c>
      <c r="D17" s="1023">
        <f>+D15*D27</f>
        <v>0.33360599999999996</v>
      </c>
    </row>
    <row r="18" spans="1:5">
      <c r="A18" s="1">
        <f t="shared" si="0"/>
        <v>13</v>
      </c>
      <c r="B18" s="1016"/>
      <c r="C18" s="1023"/>
      <c r="D18" s="1023"/>
    </row>
    <row r="19" spans="1:5" ht="13.5" thickBot="1">
      <c r="A19" s="1">
        <f t="shared" si="0"/>
        <v>14</v>
      </c>
      <c r="B19" s="1350" t="s">
        <v>86</v>
      </c>
      <c r="C19" s="1024">
        <f>ROUND(C15-C17,5)</f>
        <v>0.61939999999999995</v>
      </c>
      <c r="D19" s="1024">
        <f>ROUND(D15-D17,5)</f>
        <v>0.61955000000000005</v>
      </c>
    </row>
    <row r="20" spans="1:5" ht="13.5" thickTop="1">
      <c r="A20" s="1">
        <f t="shared" si="0"/>
        <v>15</v>
      </c>
    </row>
    <row r="21" spans="1:5">
      <c r="A21" s="1">
        <f t="shared" si="0"/>
        <v>16</v>
      </c>
      <c r="B21" s="42" t="s">
        <v>100</v>
      </c>
      <c r="C21" s="1025">
        <f>ROUND(1/C19,6)</f>
        <v>1.614466</v>
      </c>
      <c r="D21" s="1025">
        <f>ROUND(1/D19,6)</f>
        <v>1.6140749999999999</v>
      </c>
    </row>
    <row r="22" spans="1:5">
      <c r="A22" s="1">
        <f t="shared" si="0"/>
        <v>17</v>
      </c>
      <c r="B22" s="23"/>
    </row>
    <row r="23" spans="1:5">
      <c r="A23" s="1">
        <f t="shared" si="0"/>
        <v>18</v>
      </c>
      <c r="B23" s="1" t="s">
        <v>1102</v>
      </c>
    </row>
    <row r="24" spans="1:5">
      <c r="A24" s="1">
        <f t="shared" si="0"/>
        <v>19</v>
      </c>
      <c r="B24" s="1016" t="s">
        <v>84</v>
      </c>
      <c r="C24" s="1026">
        <f>+C8</f>
        <v>6.3400000000000001E-3</v>
      </c>
      <c r="D24" s="1026">
        <f>+D8</f>
        <v>6.11E-3</v>
      </c>
    </row>
    <row r="25" spans="1:5">
      <c r="A25" s="1">
        <f t="shared" si="0"/>
        <v>20</v>
      </c>
      <c r="B25" s="1027" t="s">
        <v>85</v>
      </c>
      <c r="C25" s="1027">
        <f>SUM(C9:C10)</f>
        <v>4.0730000000000002E-2</v>
      </c>
      <c r="D25" s="1027">
        <f>SUM(D9:D10)</f>
        <v>4.0730000000000002E-2</v>
      </c>
    </row>
    <row r="26" spans="1:5">
      <c r="A26" s="1">
        <f t="shared" si="0"/>
        <v>21</v>
      </c>
      <c r="B26" s="1028"/>
      <c r="C26" s="1028"/>
      <c r="D26" s="1028"/>
    </row>
    <row r="27" spans="1:5">
      <c r="A27" s="1">
        <f t="shared" si="0"/>
        <v>22</v>
      </c>
      <c r="B27" s="42" t="s">
        <v>1039</v>
      </c>
      <c r="D27" s="1099">
        <v>0.35</v>
      </c>
    </row>
    <row r="28" spans="1:5">
      <c r="A28" s="1">
        <f t="shared" si="0"/>
        <v>23</v>
      </c>
      <c r="B28" s="1" t="s">
        <v>473</v>
      </c>
    </row>
    <row r="29" spans="1:5">
      <c r="A29" s="1">
        <f t="shared" si="0"/>
        <v>24</v>
      </c>
      <c r="B29" s="42" t="s">
        <v>1103</v>
      </c>
      <c r="C29" s="1029">
        <v>2038688</v>
      </c>
      <c r="D29" s="1029">
        <v>1963863</v>
      </c>
      <c r="E29" s="1366" t="s">
        <v>1110</v>
      </c>
    </row>
    <row r="30" spans="1:5">
      <c r="A30" s="1">
        <f t="shared" si="0"/>
        <v>25</v>
      </c>
      <c r="B30" s="42" t="s">
        <v>11</v>
      </c>
      <c r="C30" s="1029">
        <f>RevReqSummary!H9</f>
        <v>321605659.11952311</v>
      </c>
      <c r="D30" s="1029">
        <f>RevReqSummary!H9</f>
        <v>321605659.11952311</v>
      </c>
      <c r="E30" s="1366" t="s">
        <v>1113</v>
      </c>
    </row>
    <row r="31" spans="1:5">
      <c r="A31" s="1">
        <f t="shared" si="0"/>
        <v>26</v>
      </c>
      <c r="B31" s="42" t="s">
        <v>383</v>
      </c>
      <c r="C31" s="425">
        <f>ROUND(C29/C30,5)</f>
        <v>6.3400000000000001E-3</v>
      </c>
      <c r="D31" s="425">
        <f>ROUND(D29/D30,5)</f>
        <v>6.11E-3</v>
      </c>
      <c r="E31" s="1366" t="s">
        <v>1111</v>
      </c>
    </row>
    <row r="32" spans="1:5">
      <c r="A32" s="1">
        <f t="shared" si="0"/>
        <v>27</v>
      </c>
    </row>
    <row r="33" spans="1:5">
      <c r="A33" s="1">
        <f t="shared" si="0"/>
        <v>28</v>
      </c>
      <c r="B33" s="29"/>
      <c r="C33" s="29"/>
      <c r="D33" s="29"/>
    </row>
    <row r="34" spans="1:5" s="6" customFormat="1">
      <c r="A34" s="1">
        <f t="shared" si="0"/>
        <v>29</v>
      </c>
    </row>
    <row r="35" spans="1:5" s="6" customFormat="1">
      <c r="A35" s="1">
        <f t="shared" si="0"/>
        <v>30</v>
      </c>
      <c r="B35" s="1352" t="s">
        <v>1109</v>
      </c>
      <c r="C35" s="1353"/>
      <c r="D35" s="1354"/>
    </row>
    <row r="36" spans="1:5" s="6" customFormat="1">
      <c r="A36" s="1">
        <f t="shared" si="0"/>
        <v>31</v>
      </c>
      <c r="B36" s="1357" t="s">
        <v>1107</v>
      </c>
      <c r="C36" s="6" t="s">
        <v>245</v>
      </c>
      <c r="D36" s="1369">
        <v>0</v>
      </c>
      <c r="E36" s="1351"/>
    </row>
    <row r="37" spans="1:5" s="6" customFormat="1">
      <c r="A37" s="1">
        <f t="shared" si="0"/>
        <v>32</v>
      </c>
      <c r="B37" s="1357"/>
      <c r="C37" s="6" t="s">
        <v>152</v>
      </c>
      <c r="D37" s="1370">
        <v>168766.95555096187</v>
      </c>
    </row>
    <row r="38" spans="1:5" s="6" customFormat="1">
      <c r="A38" s="1">
        <f t="shared" si="0"/>
        <v>33</v>
      </c>
      <c r="B38" s="1357"/>
      <c r="D38" s="1355">
        <f>SUM(D36:D37)</f>
        <v>168766.95555096187</v>
      </c>
    </row>
    <row r="39" spans="1:5" s="6" customFormat="1">
      <c r="A39" s="1">
        <f t="shared" si="0"/>
        <v>34</v>
      </c>
      <c r="B39" s="1357"/>
      <c r="D39" s="1356"/>
    </row>
    <row r="40" spans="1:5" s="6" customFormat="1">
      <c r="A40" s="1">
        <f t="shared" si="0"/>
        <v>35</v>
      </c>
      <c r="B40" s="1357" t="s">
        <v>1108</v>
      </c>
      <c r="C40" s="6" t="s">
        <v>245</v>
      </c>
      <c r="D40" s="1369">
        <v>792590.91</v>
      </c>
    </row>
    <row r="41" spans="1:5" s="6" customFormat="1">
      <c r="A41" s="1">
        <f t="shared" si="0"/>
        <v>36</v>
      </c>
      <c r="B41" s="1357"/>
      <c r="C41" s="6" t="s">
        <v>152</v>
      </c>
      <c r="D41" s="1370">
        <v>148290.70624971177</v>
      </c>
    </row>
    <row r="42" spans="1:5" s="6" customFormat="1">
      <c r="A42" s="1">
        <f t="shared" si="0"/>
        <v>37</v>
      </c>
      <c r="B42" s="1357"/>
      <c r="D42" s="1355">
        <f>SUM(D40:D41)</f>
        <v>940881.61624971183</v>
      </c>
    </row>
    <row r="43" spans="1:5" s="6" customFormat="1">
      <c r="A43" s="1">
        <f t="shared" si="0"/>
        <v>38</v>
      </c>
      <c r="B43" s="1357"/>
      <c r="D43" s="1356"/>
      <c r="E43" s="1351"/>
    </row>
    <row r="44" spans="1:5" s="6" customFormat="1">
      <c r="A44" s="1">
        <f t="shared" si="0"/>
        <v>39</v>
      </c>
      <c r="B44" s="1357" t="s">
        <v>1104</v>
      </c>
      <c r="C44" s="6" t="s">
        <v>245</v>
      </c>
      <c r="D44" s="1369">
        <v>667816.81053857692</v>
      </c>
    </row>
    <row r="45" spans="1:5" s="6" customFormat="1">
      <c r="A45" s="1">
        <f t="shared" si="0"/>
        <v>40</v>
      </c>
      <c r="B45" s="1358"/>
      <c r="C45" s="6" t="s">
        <v>152</v>
      </c>
      <c r="D45" s="1370">
        <v>3142045.0970605849</v>
      </c>
    </row>
    <row r="46" spans="1:5" s="6" customFormat="1">
      <c r="A46" s="1">
        <f t="shared" si="0"/>
        <v>41</v>
      </c>
      <c r="B46" s="1359"/>
      <c r="D46" s="1355">
        <f>SUM(D44:D45)</f>
        <v>3809861.9075991618</v>
      </c>
    </row>
    <row r="47" spans="1:5" s="6" customFormat="1">
      <c r="A47" s="1">
        <f t="shared" si="0"/>
        <v>42</v>
      </c>
      <c r="B47" s="1358"/>
      <c r="D47" s="1356"/>
      <c r="E47" s="688"/>
    </row>
    <row r="48" spans="1:5" s="6" customFormat="1">
      <c r="A48" s="1">
        <f t="shared" si="0"/>
        <v>43</v>
      </c>
      <c r="B48" s="1358" t="s">
        <v>1105</v>
      </c>
      <c r="C48" s="6" t="s">
        <v>245</v>
      </c>
      <c r="D48" s="1369">
        <v>1963862.7300384282</v>
      </c>
    </row>
    <row r="49" spans="1:5" s="6" customFormat="1">
      <c r="A49" s="1">
        <f t="shared" si="0"/>
        <v>44</v>
      </c>
      <c r="B49" s="1359"/>
      <c r="C49" s="6" t="s">
        <v>146</v>
      </c>
      <c r="D49" s="1369">
        <v>0</v>
      </c>
    </row>
    <row r="50" spans="1:5" s="6" customFormat="1">
      <c r="A50" s="1">
        <f t="shared" si="0"/>
        <v>45</v>
      </c>
      <c r="B50" s="1359"/>
      <c r="C50" s="6" t="s">
        <v>152</v>
      </c>
      <c r="D50" s="1369">
        <v>1191.0714387385071</v>
      </c>
    </row>
    <row r="51" spans="1:5" s="6" customFormat="1">
      <c r="A51" s="1">
        <f t="shared" si="0"/>
        <v>46</v>
      </c>
      <c r="B51" s="1359"/>
      <c r="D51" s="1355">
        <f>SUM(D48:D50)</f>
        <v>1965053.8014771668</v>
      </c>
    </row>
    <row r="52" spans="1:5">
      <c r="A52" s="1">
        <f t="shared" si="0"/>
        <v>47</v>
      </c>
      <c r="B52" s="1358"/>
      <c r="C52" s="6"/>
      <c r="D52" s="1356"/>
      <c r="E52" s="6"/>
    </row>
    <row r="53" spans="1:5">
      <c r="A53" s="1">
        <f t="shared" si="0"/>
        <v>48</v>
      </c>
      <c r="B53" s="1359" t="s">
        <v>1106</v>
      </c>
      <c r="C53" s="6" t="s">
        <v>245</v>
      </c>
      <c r="D53" s="1369">
        <v>0</v>
      </c>
      <c r="E53" s="6"/>
    </row>
    <row r="54" spans="1:5">
      <c r="A54" s="1">
        <f t="shared" si="0"/>
        <v>49</v>
      </c>
      <c r="B54" s="1361"/>
      <c r="C54" s="6" t="s">
        <v>152</v>
      </c>
      <c r="D54" s="1370">
        <v>5067.1166015777635</v>
      </c>
      <c r="E54" s="6"/>
    </row>
    <row r="55" spans="1:5">
      <c r="A55" s="1">
        <f t="shared" si="0"/>
        <v>50</v>
      </c>
      <c r="B55" s="1361"/>
      <c r="C55" s="6"/>
      <c r="D55" s="1355">
        <f>SUM(D53:D54)</f>
        <v>5067.1166015777635</v>
      </c>
      <c r="E55" s="6"/>
    </row>
    <row r="56" spans="1:5">
      <c r="A56" s="1">
        <f t="shared" si="0"/>
        <v>51</v>
      </c>
      <c r="B56" s="1361"/>
      <c r="C56" s="6"/>
      <c r="D56" s="1356"/>
      <c r="E56" s="6"/>
    </row>
    <row r="57" spans="1:5" ht="13.5" thickBot="1">
      <c r="A57" s="1">
        <f t="shared" si="0"/>
        <v>52</v>
      </c>
      <c r="B57" s="1360" t="s">
        <v>1114</v>
      </c>
      <c r="C57" s="6"/>
      <c r="D57" s="1362">
        <f>D38+D42+D46+D51+D55</f>
        <v>6889631.3974785805</v>
      </c>
      <c r="E57" s="1366" t="s">
        <v>1112</v>
      </c>
    </row>
    <row r="58" spans="1:5" ht="13.5" thickTop="1">
      <c r="A58" s="1">
        <f t="shared" si="0"/>
        <v>53</v>
      </c>
      <c r="B58" s="1363"/>
      <c r="C58" s="1364"/>
      <c r="D58" s="1365"/>
      <c r="E58" s="6"/>
    </row>
    <row r="59" spans="1:5">
      <c r="A59" s="6"/>
      <c r="B59" s="1101"/>
      <c r="C59" s="1101"/>
      <c r="D59" s="1101"/>
      <c r="E59" s="6"/>
    </row>
    <row r="60" spans="1:5">
      <c r="A60" s="6"/>
      <c r="B60" s="1102"/>
      <c r="C60" s="1102"/>
      <c r="D60" s="1102"/>
      <c r="E60" s="6"/>
    </row>
  </sheetData>
  <mergeCells count="3">
    <mergeCell ref="A1:D1"/>
    <mergeCell ref="A2:D2"/>
    <mergeCell ref="A3:D3"/>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I21"/>
  <sheetViews>
    <sheetView workbookViewId="0">
      <selection activeCell="F16" sqref="F16"/>
    </sheetView>
  </sheetViews>
  <sheetFormatPr defaultColWidth="8.85546875" defaultRowHeight="12.75"/>
  <cols>
    <col min="1" max="1" width="21.42578125" style="1" customWidth="1"/>
    <col min="2" max="2" width="9.7109375" style="1" bestFit="1" customWidth="1"/>
    <col min="3" max="3" width="5.42578125" style="1" bestFit="1" customWidth="1"/>
    <col min="4" max="4" width="10.28515625" style="1" bestFit="1" customWidth="1"/>
    <col min="5" max="5" width="8" style="1" bestFit="1" customWidth="1"/>
    <col min="6" max="6" width="10" style="1" bestFit="1" customWidth="1"/>
    <col min="7" max="7" width="13.28515625" style="1" bestFit="1" customWidth="1"/>
    <col min="8" max="16384" width="8.85546875" style="1"/>
  </cols>
  <sheetData>
    <row r="1" spans="1:9">
      <c r="A1" s="17" t="str">
        <f>RevReqSummary!A1</f>
        <v>PacifiCorp General Rate Case UE-140617</v>
      </c>
      <c r="B1" s="759"/>
      <c r="C1" s="759"/>
      <c r="D1" s="759"/>
      <c r="E1" s="759"/>
      <c r="F1" s="759"/>
      <c r="G1" s="759"/>
    </row>
    <row r="2" spans="1:9">
      <c r="A2" s="17" t="str">
        <f>RevReqSummary!A2</f>
        <v>For The Twelve Months Ended December 2013 - Staff Revenue Requirement</v>
      </c>
      <c r="B2" s="759"/>
      <c r="C2" s="759"/>
      <c r="D2" s="759"/>
      <c r="E2" s="759"/>
      <c r="F2" s="759"/>
      <c r="G2" s="759"/>
    </row>
    <row r="3" spans="1:9">
      <c r="A3" s="760" t="s">
        <v>657</v>
      </c>
      <c r="B3" s="759"/>
      <c r="C3" s="759"/>
      <c r="D3" s="759"/>
      <c r="E3" s="759"/>
      <c r="F3" s="759"/>
      <c r="G3" s="759"/>
    </row>
    <row r="4" spans="1:9">
      <c r="A4" s="761" t="s">
        <v>658</v>
      </c>
      <c r="B4" s="759"/>
      <c r="C4" s="759"/>
      <c r="D4" s="759"/>
      <c r="E4" s="759"/>
      <c r="F4" s="759"/>
      <c r="G4" s="759"/>
    </row>
    <row r="5" spans="1:9">
      <c r="A5" s="765"/>
      <c r="B5" s="759"/>
      <c r="C5" s="759"/>
      <c r="D5" s="759"/>
      <c r="E5" s="759"/>
      <c r="F5" s="759"/>
      <c r="G5" s="759"/>
    </row>
    <row r="6" spans="1:9">
      <c r="A6" s="765"/>
      <c r="B6" s="775"/>
      <c r="C6" s="775"/>
      <c r="D6" s="777" t="s">
        <v>131</v>
      </c>
      <c r="E6" s="775"/>
      <c r="F6" s="775"/>
      <c r="G6" s="777" t="s">
        <v>236</v>
      </c>
    </row>
    <row r="7" spans="1:9">
      <c r="A7" s="765"/>
      <c r="B7" s="778" t="s">
        <v>132</v>
      </c>
      <c r="C7" s="778" t="s">
        <v>660</v>
      </c>
      <c r="D7" s="778" t="s">
        <v>134</v>
      </c>
      <c r="E7" s="778" t="s">
        <v>135</v>
      </c>
      <c r="F7" s="778" t="s">
        <v>136</v>
      </c>
      <c r="G7" s="778" t="s">
        <v>137</v>
      </c>
    </row>
    <row r="8" spans="1:9">
      <c r="A8" s="762" t="s">
        <v>199</v>
      </c>
      <c r="B8" s="763"/>
      <c r="C8" s="763"/>
      <c r="D8" s="763"/>
      <c r="E8" s="763"/>
      <c r="F8" s="763"/>
      <c r="G8" s="764"/>
    </row>
    <row r="9" spans="1:9">
      <c r="A9" s="765" t="s">
        <v>580</v>
      </c>
      <c r="B9" s="763">
        <v>408</v>
      </c>
      <c r="C9" s="763">
        <v>3</v>
      </c>
      <c r="D9" s="782">
        <v>7525571</v>
      </c>
      <c r="E9" s="763" t="s">
        <v>149</v>
      </c>
      <c r="F9" s="766">
        <f>INDEX(WCAAllocations,IFERROR(MATCH(E9,WCAFactors,0),2),IFERROR(MATCH(E9,WCAStates,0),4))</f>
        <v>6.8539355270203509E-2</v>
      </c>
      <c r="G9" s="767">
        <v>0</v>
      </c>
    </row>
    <row r="10" spans="1:9">
      <c r="A10" s="768"/>
      <c r="B10" s="763"/>
      <c r="C10" s="763"/>
      <c r="D10" s="769"/>
      <c r="E10" s="763"/>
      <c r="F10" s="770"/>
      <c r="G10" s="767"/>
    </row>
    <row r="11" spans="1:9">
      <c r="A11" s="771"/>
      <c r="B11" s="763"/>
      <c r="C11" s="763"/>
      <c r="D11" s="769"/>
      <c r="E11" s="763"/>
      <c r="F11" s="770"/>
      <c r="G11" s="767"/>
    </row>
    <row r="12" spans="1:9">
      <c r="A12" s="762"/>
      <c r="B12" s="763"/>
      <c r="C12" s="763"/>
      <c r="D12" s="769"/>
      <c r="E12" s="763"/>
      <c r="F12" s="770"/>
      <c r="G12" s="767"/>
    </row>
    <row r="13" spans="1:9">
      <c r="A13" s="772" t="s">
        <v>145</v>
      </c>
      <c r="B13" s="763"/>
      <c r="C13" s="763"/>
      <c r="D13" s="769"/>
      <c r="E13" s="763"/>
      <c r="F13" s="770"/>
      <c r="G13" s="767"/>
    </row>
    <row r="14" spans="1:9" s="29" customFormat="1">
      <c r="A14" s="1410" t="s">
        <v>1073</v>
      </c>
      <c r="B14" s="1410"/>
      <c r="C14" s="1410"/>
      <c r="D14" s="1410"/>
      <c r="E14" s="1410"/>
      <c r="F14" s="1410"/>
      <c r="G14" s="1410"/>
    </row>
    <row r="15" spans="1:9" s="29" customFormat="1" ht="13.15" customHeight="1">
      <c r="A15" s="1410"/>
      <c r="B15" s="1410"/>
      <c r="C15" s="1410"/>
      <c r="D15" s="1410"/>
      <c r="E15" s="1410"/>
      <c r="F15" s="1410"/>
      <c r="G15" s="1410"/>
      <c r="H15" s="1326"/>
      <c r="I15" s="1326"/>
    </row>
    <row r="16" spans="1:9">
      <c r="A16" s="1410"/>
      <c r="B16" s="1410"/>
      <c r="C16" s="1410"/>
      <c r="D16" s="1410"/>
      <c r="E16" s="1410"/>
      <c r="F16" s="1410"/>
      <c r="G16" s="1410"/>
    </row>
    <row r="17" spans="1:7">
      <c r="A17" s="1412" t="s">
        <v>726</v>
      </c>
      <c r="B17" s="1412"/>
      <c r="C17" s="1412"/>
      <c r="D17" s="1412"/>
      <c r="E17" s="1412"/>
      <c r="F17" s="1412"/>
      <c r="G17" s="1412"/>
    </row>
    <row r="18" spans="1:7">
      <c r="A18" s="1412"/>
      <c r="B18" s="1412"/>
      <c r="C18" s="1412"/>
      <c r="D18" s="1412"/>
      <c r="E18" s="1412"/>
      <c r="F18" s="1412"/>
      <c r="G18" s="1412"/>
    </row>
    <row r="21" spans="1:7">
      <c r="E21" s="122"/>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H365"/>
  <sheetViews>
    <sheetView workbookViewId="0">
      <selection activeCell="F16" sqref="F16"/>
    </sheetView>
  </sheetViews>
  <sheetFormatPr defaultRowHeight="12.75"/>
  <cols>
    <col min="1" max="1" width="34.28515625" style="29" bestFit="1" customWidth="1"/>
    <col min="2" max="2" width="9.7109375" style="29" bestFit="1" customWidth="1"/>
    <col min="3" max="3" width="5.42578125" style="29" bestFit="1" customWidth="1"/>
    <col min="4" max="4" width="11.85546875" style="29" bestFit="1" customWidth="1"/>
    <col min="5" max="5" width="8" style="29" bestFit="1" customWidth="1"/>
    <col min="6" max="6" width="10" style="29" bestFit="1" customWidth="1"/>
    <col min="7" max="7" width="13.28515625" style="29" bestFit="1" customWidth="1"/>
    <col min="8" max="8" width="12.28515625" style="29" bestFit="1" customWidth="1"/>
    <col min="9" max="253" width="10" style="29"/>
    <col min="254" max="254" width="2.5703125" style="29" customWidth="1"/>
    <col min="255" max="255" width="7.140625" style="29" customWidth="1"/>
    <col min="256" max="256" width="23.5703125" style="29" customWidth="1"/>
    <col min="257" max="257" width="9.7109375" style="29" customWidth="1"/>
    <col min="258" max="258" width="4.7109375" style="29" customWidth="1"/>
    <col min="259" max="259" width="14.42578125" style="29" customWidth="1"/>
    <col min="260" max="260" width="11.140625" style="29" customWidth="1"/>
    <col min="261" max="261" width="10.28515625" style="29" customWidth="1"/>
    <col min="262" max="262" width="13" style="29" customWidth="1"/>
    <col min="263" max="263" width="8.28515625" style="29" customWidth="1"/>
    <col min="264" max="509" width="10" style="29"/>
    <col min="510" max="510" width="2.5703125" style="29" customWidth="1"/>
    <col min="511" max="511" width="7.140625" style="29" customWidth="1"/>
    <col min="512" max="512" width="23.5703125" style="29" customWidth="1"/>
    <col min="513" max="513" width="9.7109375" style="29" customWidth="1"/>
    <col min="514" max="514" width="4.7109375" style="29" customWidth="1"/>
    <col min="515" max="515" width="14.42578125" style="29" customWidth="1"/>
    <col min="516" max="516" width="11.140625" style="29" customWidth="1"/>
    <col min="517" max="517" width="10.28515625" style="29" customWidth="1"/>
    <col min="518" max="518" width="13" style="29" customWidth="1"/>
    <col min="519" max="519" width="8.28515625" style="29" customWidth="1"/>
    <col min="520" max="765" width="10" style="29"/>
    <col min="766" max="766" width="2.5703125" style="29" customWidth="1"/>
    <col min="767" max="767" width="7.140625" style="29" customWidth="1"/>
    <col min="768" max="768" width="23.5703125" style="29" customWidth="1"/>
    <col min="769" max="769" width="9.7109375" style="29" customWidth="1"/>
    <col min="770" max="770" width="4.7109375" style="29" customWidth="1"/>
    <col min="771" max="771" width="14.42578125" style="29" customWidth="1"/>
    <col min="772" max="772" width="11.140625" style="29" customWidth="1"/>
    <col min="773" max="773" width="10.28515625" style="29" customWidth="1"/>
    <col min="774" max="774" width="13" style="29" customWidth="1"/>
    <col min="775" max="775" width="8.28515625" style="29" customWidth="1"/>
    <col min="776" max="1021" width="9.140625" style="29"/>
    <col min="1022" max="1022" width="2.5703125" style="29" customWidth="1"/>
    <col min="1023" max="1023" width="7.140625" style="29" customWidth="1"/>
    <col min="1024" max="1024" width="23.5703125" style="29" customWidth="1"/>
    <col min="1025" max="1025" width="9.7109375" style="29" customWidth="1"/>
    <col min="1026" max="1026" width="4.7109375" style="29" customWidth="1"/>
    <col min="1027" max="1027" width="14.42578125" style="29" customWidth="1"/>
    <col min="1028" max="1028" width="11.140625" style="29" customWidth="1"/>
    <col min="1029" max="1029" width="10.28515625" style="29" customWidth="1"/>
    <col min="1030" max="1030" width="13" style="29" customWidth="1"/>
    <col min="1031" max="1031" width="8.28515625" style="29" customWidth="1"/>
    <col min="1032" max="1277" width="10" style="29"/>
    <col min="1278" max="1278" width="2.5703125" style="29" customWidth="1"/>
    <col min="1279" max="1279" width="7.140625" style="29" customWidth="1"/>
    <col min="1280" max="1280" width="23.5703125" style="29" customWidth="1"/>
    <col min="1281" max="1281" width="9.7109375" style="29" customWidth="1"/>
    <col min="1282" max="1282" width="4.7109375" style="29" customWidth="1"/>
    <col min="1283" max="1283" width="14.42578125" style="29" customWidth="1"/>
    <col min="1284" max="1284" width="11.140625" style="29" customWidth="1"/>
    <col min="1285" max="1285" width="10.28515625" style="29" customWidth="1"/>
    <col min="1286" max="1286" width="13" style="29" customWidth="1"/>
    <col min="1287" max="1287" width="8.28515625" style="29" customWidth="1"/>
    <col min="1288" max="1533" width="10" style="29"/>
    <col min="1534" max="1534" width="2.5703125" style="29" customWidth="1"/>
    <col min="1535" max="1535" width="7.140625" style="29" customWidth="1"/>
    <col min="1536" max="1536" width="23.5703125" style="29" customWidth="1"/>
    <col min="1537" max="1537" width="9.7109375" style="29" customWidth="1"/>
    <col min="1538" max="1538" width="4.7109375" style="29" customWidth="1"/>
    <col min="1539" max="1539" width="14.42578125" style="29" customWidth="1"/>
    <col min="1540" max="1540" width="11.140625" style="29" customWidth="1"/>
    <col min="1541" max="1541" width="10.28515625" style="29" customWidth="1"/>
    <col min="1542" max="1542" width="13" style="29" customWidth="1"/>
    <col min="1543" max="1543" width="8.28515625" style="29" customWidth="1"/>
    <col min="1544" max="1789" width="10" style="29"/>
    <col min="1790" max="1790" width="2.5703125" style="29" customWidth="1"/>
    <col min="1791" max="1791" width="7.140625" style="29" customWidth="1"/>
    <col min="1792" max="1792" width="23.5703125" style="29" customWidth="1"/>
    <col min="1793" max="1793" width="9.7109375" style="29" customWidth="1"/>
    <col min="1794" max="1794" width="4.7109375" style="29" customWidth="1"/>
    <col min="1795" max="1795" width="14.42578125" style="29" customWidth="1"/>
    <col min="1796" max="1796" width="11.140625" style="29" customWidth="1"/>
    <col min="1797" max="1797" width="10.28515625" style="29" customWidth="1"/>
    <col min="1798" max="1798" width="13" style="29" customWidth="1"/>
    <col min="1799" max="1799" width="8.28515625" style="29" customWidth="1"/>
    <col min="1800" max="2045" width="9.140625" style="29"/>
    <col min="2046" max="2046" width="2.5703125" style="29" customWidth="1"/>
    <col min="2047" max="2047" width="7.140625" style="29" customWidth="1"/>
    <col min="2048" max="2048" width="23.5703125" style="29" customWidth="1"/>
    <col min="2049" max="2049" width="9.7109375" style="29" customWidth="1"/>
    <col min="2050" max="2050" width="4.7109375" style="29" customWidth="1"/>
    <col min="2051" max="2051" width="14.42578125" style="29" customWidth="1"/>
    <col min="2052" max="2052" width="11.140625" style="29" customWidth="1"/>
    <col min="2053" max="2053" width="10.28515625" style="29" customWidth="1"/>
    <col min="2054" max="2054" width="13" style="29" customWidth="1"/>
    <col min="2055" max="2055" width="8.28515625" style="29" customWidth="1"/>
    <col min="2056" max="2301" width="10" style="29"/>
    <col min="2302" max="2302" width="2.5703125" style="29" customWidth="1"/>
    <col min="2303" max="2303" width="7.140625" style="29" customWidth="1"/>
    <col min="2304" max="2304" width="23.5703125" style="29" customWidth="1"/>
    <col min="2305" max="2305" width="9.7109375" style="29" customWidth="1"/>
    <col min="2306" max="2306" width="4.7109375" style="29" customWidth="1"/>
    <col min="2307" max="2307" width="14.42578125" style="29" customWidth="1"/>
    <col min="2308" max="2308" width="11.140625" style="29" customWidth="1"/>
    <col min="2309" max="2309" width="10.28515625" style="29" customWidth="1"/>
    <col min="2310" max="2310" width="13" style="29" customWidth="1"/>
    <col min="2311" max="2311" width="8.28515625" style="29" customWidth="1"/>
    <col min="2312" max="2557" width="10" style="29"/>
    <col min="2558" max="2558" width="2.5703125" style="29" customWidth="1"/>
    <col min="2559" max="2559" width="7.140625" style="29" customWidth="1"/>
    <col min="2560" max="2560" width="23.5703125" style="29" customWidth="1"/>
    <col min="2561" max="2561" width="9.7109375" style="29" customWidth="1"/>
    <col min="2562" max="2562" width="4.7109375" style="29" customWidth="1"/>
    <col min="2563" max="2563" width="14.42578125" style="29" customWidth="1"/>
    <col min="2564" max="2564" width="11.140625" style="29" customWidth="1"/>
    <col min="2565" max="2565" width="10.28515625" style="29" customWidth="1"/>
    <col min="2566" max="2566" width="13" style="29" customWidth="1"/>
    <col min="2567" max="2567" width="8.28515625" style="29" customWidth="1"/>
    <col min="2568" max="2813" width="10" style="29"/>
    <col min="2814" max="2814" width="2.5703125" style="29" customWidth="1"/>
    <col min="2815" max="2815" width="7.140625" style="29" customWidth="1"/>
    <col min="2816" max="2816" width="23.5703125" style="29" customWidth="1"/>
    <col min="2817" max="2817" width="9.7109375" style="29" customWidth="1"/>
    <col min="2818" max="2818" width="4.7109375" style="29" customWidth="1"/>
    <col min="2819" max="2819" width="14.42578125" style="29" customWidth="1"/>
    <col min="2820" max="2820" width="11.140625" style="29" customWidth="1"/>
    <col min="2821" max="2821" width="10.28515625" style="29" customWidth="1"/>
    <col min="2822" max="2822" width="13" style="29" customWidth="1"/>
    <col min="2823" max="2823" width="8.28515625" style="29" customWidth="1"/>
    <col min="2824" max="3069" width="9.140625" style="29"/>
    <col min="3070" max="3070" width="2.5703125" style="29" customWidth="1"/>
    <col min="3071" max="3071" width="7.140625" style="29" customWidth="1"/>
    <col min="3072" max="3072" width="23.5703125" style="29" customWidth="1"/>
    <col min="3073" max="3073" width="9.7109375" style="29" customWidth="1"/>
    <col min="3074" max="3074" width="4.7109375" style="29" customWidth="1"/>
    <col min="3075" max="3075" width="14.42578125" style="29" customWidth="1"/>
    <col min="3076" max="3076" width="11.140625" style="29" customWidth="1"/>
    <col min="3077" max="3077" width="10.28515625" style="29" customWidth="1"/>
    <col min="3078" max="3078" width="13" style="29" customWidth="1"/>
    <col min="3079" max="3079" width="8.28515625" style="29" customWidth="1"/>
    <col min="3080" max="3325" width="10" style="29"/>
    <col min="3326" max="3326" width="2.5703125" style="29" customWidth="1"/>
    <col min="3327" max="3327" width="7.140625" style="29" customWidth="1"/>
    <col min="3328" max="3328" width="23.5703125" style="29" customWidth="1"/>
    <col min="3329" max="3329" width="9.7109375" style="29" customWidth="1"/>
    <col min="3330" max="3330" width="4.7109375" style="29" customWidth="1"/>
    <col min="3331" max="3331" width="14.42578125" style="29" customWidth="1"/>
    <col min="3332" max="3332" width="11.140625" style="29" customWidth="1"/>
    <col min="3333" max="3333" width="10.28515625" style="29" customWidth="1"/>
    <col min="3334" max="3334" width="13" style="29" customWidth="1"/>
    <col min="3335" max="3335" width="8.28515625" style="29" customWidth="1"/>
    <col min="3336" max="3581" width="10" style="29"/>
    <col min="3582" max="3582" width="2.5703125" style="29" customWidth="1"/>
    <col min="3583" max="3583" width="7.140625" style="29" customWidth="1"/>
    <col min="3584" max="3584" width="23.5703125" style="29" customWidth="1"/>
    <col min="3585" max="3585" width="9.7109375" style="29" customWidth="1"/>
    <col min="3586" max="3586" width="4.7109375" style="29" customWidth="1"/>
    <col min="3587" max="3587" width="14.42578125" style="29" customWidth="1"/>
    <col min="3588" max="3588" width="11.140625" style="29" customWidth="1"/>
    <col min="3589" max="3589" width="10.28515625" style="29" customWidth="1"/>
    <col min="3590" max="3590" width="13" style="29" customWidth="1"/>
    <col min="3591" max="3591" width="8.28515625" style="29" customWidth="1"/>
    <col min="3592" max="3837" width="10" style="29"/>
    <col min="3838" max="3838" width="2.5703125" style="29" customWidth="1"/>
    <col min="3839" max="3839" width="7.140625" style="29" customWidth="1"/>
    <col min="3840" max="3840" width="23.5703125" style="29" customWidth="1"/>
    <col min="3841" max="3841" width="9.7109375" style="29" customWidth="1"/>
    <col min="3842" max="3842" width="4.7109375" style="29" customWidth="1"/>
    <col min="3843" max="3843" width="14.42578125" style="29" customWidth="1"/>
    <col min="3844" max="3844" width="11.140625" style="29" customWidth="1"/>
    <col min="3845" max="3845" width="10.28515625" style="29" customWidth="1"/>
    <col min="3846" max="3846" width="13" style="29" customWidth="1"/>
    <col min="3847" max="3847" width="8.28515625" style="29" customWidth="1"/>
    <col min="3848" max="4093" width="9.140625" style="29"/>
    <col min="4094" max="4094" width="2.5703125" style="29" customWidth="1"/>
    <col min="4095" max="4095" width="7.140625" style="29" customWidth="1"/>
    <col min="4096" max="4096" width="23.5703125" style="29" customWidth="1"/>
    <col min="4097" max="4097" width="9.7109375" style="29" customWidth="1"/>
    <col min="4098" max="4098" width="4.7109375" style="29" customWidth="1"/>
    <col min="4099" max="4099" width="14.42578125" style="29" customWidth="1"/>
    <col min="4100" max="4100" width="11.140625" style="29" customWidth="1"/>
    <col min="4101" max="4101" width="10.28515625" style="29" customWidth="1"/>
    <col min="4102" max="4102" width="13" style="29" customWidth="1"/>
    <col min="4103" max="4103" width="8.28515625" style="29" customWidth="1"/>
    <col min="4104" max="4349" width="10" style="29"/>
    <col min="4350" max="4350" width="2.5703125" style="29" customWidth="1"/>
    <col min="4351" max="4351" width="7.140625" style="29" customWidth="1"/>
    <col min="4352" max="4352" width="23.5703125" style="29" customWidth="1"/>
    <col min="4353" max="4353" width="9.7109375" style="29" customWidth="1"/>
    <col min="4354" max="4354" width="4.7109375" style="29" customWidth="1"/>
    <col min="4355" max="4355" width="14.42578125" style="29" customWidth="1"/>
    <col min="4356" max="4356" width="11.140625" style="29" customWidth="1"/>
    <col min="4357" max="4357" width="10.28515625" style="29" customWidth="1"/>
    <col min="4358" max="4358" width="13" style="29" customWidth="1"/>
    <col min="4359" max="4359" width="8.28515625" style="29" customWidth="1"/>
    <col min="4360" max="4605" width="10" style="29"/>
    <col min="4606" max="4606" width="2.5703125" style="29" customWidth="1"/>
    <col min="4607" max="4607" width="7.140625" style="29" customWidth="1"/>
    <col min="4608" max="4608" width="23.5703125" style="29" customWidth="1"/>
    <col min="4609" max="4609" width="9.7109375" style="29" customWidth="1"/>
    <col min="4610" max="4610" width="4.7109375" style="29" customWidth="1"/>
    <col min="4611" max="4611" width="14.42578125" style="29" customWidth="1"/>
    <col min="4612" max="4612" width="11.140625" style="29" customWidth="1"/>
    <col min="4613" max="4613" width="10.28515625" style="29" customWidth="1"/>
    <col min="4614" max="4614" width="13" style="29" customWidth="1"/>
    <col min="4615" max="4615" width="8.28515625" style="29" customWidth="1"/>
    <col min="4616" max="4861" width="10" style="29"/>
    <col min="4862" max="4862" width="2.5703125" style="29" customWidth="1"/>
    <col min="4863" max="4863" width="7.140625" style="29" customWidth="1"/>
    <col min="4864" max="4864" width="23.5703125" style="29" customWidth="1"/>
    <col min="4865" max="4865" width="9.7109375" style="29" customWidth="1"/>
    <col min="4866" max="4866" width="4.7109375" style="29" customWidth="1"/>
    <col min="4867" max="4867" width="14.42578125" style="29" customWidth="1"/>
    <col min="4868" max="4868" width="11.140625" style="29" customWidth="1"/>
    <col min="4869" max="4869" width="10.28515625" style="29" customWidth="1"/>
    <col min="4870" max="4870" width="13" style="29" customWidth="1"/>
    <col min="4871" max="4871" width="8.28515625" style="29" customWidth="1"/>
    <col min="4872" max="5117" width="9.140625" style="29"/>
    <col min="5118" max="5118" width="2.5703125" style="29" customWidth="1"/>
    <col min="5119" max="5119" width="7.140625" style="29" customWidth="1"/>
    <col min="5120" max="5120" width="23.5703125" style="29" customWidth="1"/>
    <col min="5121" max="5121" width="9.7109375" style="29" customWidth="1"/>
    <col min="5122" max="5122" width="4.7109375" style="29" customWidth="1"/>
    <col min="5123" max="5123" width="14.42578125" style="29" customWidth="1"/>
    <col min="5124" max="5124" width="11.140625" style="29" customWidth="1"/>
    <col min="5125" max="5125" width="10.28515625" style="29" customWidth="1"/>
    <col min="5126" max="5126" width="13" style="29" customWidth="1"/>
    <col min="5127" max="5127" width="8.28515625" style="29" customWidth="1"/>
    <col min="5128" max="5373" width="10" style="29"/>
    <col min="5374" max="5374" width="2.5703125" style="29" customWidth="1"/>
    <col min="5375" max="5375" width="7.140625" style="29" customWidth="1"/>
    <col min="5376" max="5376" width="23.5703125" style="29" customWidth="1"/>
    <col min="5377" max="5377" width="9.7109375" style="29" customWidth="1"/>
    <col min="5378" max="5378" width="4.7109375" style="29" customWidth="1"/>
    <col min="5379" max="5379" width="14.42578125" style="29" customWidth="1"/>
    <col min="5380" max="5380" width="11.140625" style="29" customWidth="1"/>
    <col min="5381" max="5381" width="10.28515625" style="29" customWidth="1"/>
    <col min="5382" max="5382" width="13" style="29" customWidth="1"/>
    <col min="5383" max="5383" width="8.28515625" style="29" customWidth="1"/>
    <col min="5384" max="5629" width="10" style="29"/>
    <col min="5630" max="5630" width="2.5703125" style="29" customWidth="1"/>
    <col min="5631" max="5631" width="7.140625" style="29" customWidth="1"/>
    <col min="5632" max="5632" width="23.5703125" style="29" customWidth="1"/>
    <col min="5633" max="5633" width="9.7109375" style="29" customWidth="1"/>
    <col min="5634" max="5634" width="4.7109375" style="29" customWidth="1"/>
    <col min="5635" max="5635" width="14.42578125" style="29" customWidth="1"/>
    <col min="5636" max="5636" width="11.140625" style="29" customWidth="1"/>
    <col min="5637" max="5637" width="10.28515625" style="29" customWidth="1"/>
    <col min="5638" max="5638" width="13" style="29" customWidth="1"/>
    <col min="5639" max="5639" width="8.28515625" style="29" customWidth="1"/>
    <col min="5640" max="5885" width="10" style="29"/>
    <col min="5886" max="5886" width="2.5703125" style="29" customWidth="1"/>
    <col min="5887" max="5887" width="7.140625" style="29" customWidth="1"/>
    <col min="5888" max="5888" width="23.5703125" style="29" customWidth="1"/>
    <col min="5889" max="5889" width="9.7109375" style="29" customWidth="1"/>
    <col min="5890" max="5890" width="4.7109375" style="29" customWidth="1"/>
    <col min="5891" max="5891" width="14.42578125" style="29" customWidth="1"/>
    <col min="5892" max="5892" width="11.140625" style="29" customWidth="1"/>
    <col min="5893" max="5893" width="10.28515625" style="29" customWidth="1"/>
    <col min="5894" max="5894" width="13" style="29" customWidth="1"/>
    <col min="5895" max="5895" width="8.28515625" style="29" customWidth="1"/>
    <col min="5896" max="6141" width="9.140625" style="29"/>
    <col min="6142" max="6142" width="2.5703125" style="29" customWidth="1"/>
    <col min="6143" max="6143" width="7.140625" style="29" customWidth="1"/>
    <col min="6144" max="6144" width="23.5703125" style="29" customWidth="1"/>
    <col min="6145" max="6145" width="9.7109375" style="29" customWidth="1"/>
    <col min="6146" max="6146" width="4.7109375" style="29" customWidth="1"/>
    <col min="6147" max="6147" width="14.42578125" style="29" customWidth="1"/>
    <col min="6148" max="6148" width="11.140625" style="29" customWidth="1"/>
    <col min="6149" max="6149" width="10.28515625" style="29" customWidth="1"/>
    <col min="6150" max="6150" width="13" style="29" customWidth="1"/>
    <col min="6151" max="6151" width="8.28515625" style="29" customWidth="1"/>
    <col min="6152" max="6397" width="10" style="29"/>
    <col min="6398" max="6398" width="2.5703125" style="29" customWidth="1"/>
    <col min="6399" max="6399" width="7.140625" style="29" customWidth="1"/>
    <col min="6400" max="6400" width="23.5703125" style="29" customWidth="1"/>
    <col min="6401" max="6401" width="9.7109375" style="29" customWidth="1"/>
    <col min="6402" max="6402" width="4.7109375" style="29" customWidth="1"/>
    <col min="6403" max="6403" width="14.42578125" style="29" customWidth="1"/>
    <col min="6404" max="6404" width="11.140625" style="29" customWidth="1"/>
    <col min="6405" max="6405" width="10.28515625" style="29" customWidth="1"/>
    <col min="6406" max="6406" width="13" style="29" customWidth="1"/>
    <col min="6407" max="6407" width="8.28515625" style="29" customWidth="1"/>
    <col min="6408" max="6653" width="10" style="29"/>
    <col min="6654" max="6654" width="2.5703125" style="29" customWidth="1"/>
    <col min="6655" max="6655" width="7.140625" style="29" customWidth="1"/>
    <col min="6656" max="6656" width="23.5703125" style="29" customWidth="1"/>
    <col min="6657" max="6657" width="9.7109375" style="29" customWidth="1"/>
    <col min="6658" max="6658" width="4.7109375" style="29" customWidth="1"/>
    <col min="6659" max="6659" width="14.42578125" style="29" customWidth="1"/>
    <col min="6660" max="6660" width="11.140625" style="29" customWidth="1"/>
    <col min="6661" max="6661" width="10.28515625" style="29" customWidth="1"/>
    <col min="6662" max="6662" width="13" style="29" customWidth="1"/>
    <col min="6663" max="6663" width="8.28515625" style="29" customWidth="1"/>
    <col min="6664" max="6909" width="10" style="29"/>
    <col min="6910" max="6910" width="2.5703125" style="29" customWidth="1"/>
    <col min="6911" max="6911" width="7.140625" style="29" customWidth="1"/>
    <col min="6912" max="6912" width="23.5703125" style="29" customWidth="1"/>
    <col min="6913" max="6913" width="9.7109375" style="29" customWidth="1"/>
    <col min="6914" max="6914" width="4.7109375" style="29" customWidth="1"/>
    <col min="6915" max="6915" width="14.42578125" style="29" customWidth="1"/>
    <col min="6916" max="6916" width="11.140625" style="29" customWidth="1"/>
    <col min="6917" max="6917" width="10.28515625" style="29" customWidth="1"/>
    <col min="6918" max="6918" width="13" style="29" customWidth="1"/>
    <col min="6919" max="6919" width="8.28515625" style="29" customWidth="1"/>
    <col min="6920" max="7165" width="9.140625" style="29"/>
    <col min="7166" max="7166" width="2.5703125" style="29" customWidth="1"/>
    <col min="7167" max="7167" width="7.140625" style="29" customWidth="1"/>
    <col min="7168" max="7168" width="23.5703125" style="29" customWidth="1"/>
    <col min="7169" max="7169" width="9.7109375" style="29" customWidth="1"/>
    <col min="7170" max="7170" width="4.7109375" style="29" customWidth="1"/>
    <col min="7171" max="7171" width="14.42578125" style="29" customWidth="1"/>
    <col min="7172" max="7172" width="11.140625" style="29" customWidth="1"/>
    <col min="7173" max="7173" width="10.28515625" style="29" customWidth="1"/>
    <col min="7174" max="7174" width="13" style="29" customWidth="1"/>
    <col min="7175" max="7175" width="8.28515625" style="29" customWidth="1"/>
    <col min="7176" max="7421" width="10" style="29"/>
    <col min="7422" max="7422" width="2.5703125" style="29" customWidth="1"/>
    <col min="7423" max="7423" width="7.140625" style="29" customWidth="1"/>
    <col min="7424" max="7424" width="23.5703125" style="29" customWidth="1"/>
    <col min="7425" max="7425" width="9.7109375" style="29" customWidth="1"/>
    <col min="7426" max="7426" width="4.7109375" style="29" customWidth="1"/>
    <col min="7427" max="7427" width="14.42578125" style="29" customWidth="1"/>
    <col min="7428" max="7428" width="11.140625" style="29" customWidth="1"/>
    <col min="7429" max="7429" width="10.28515625" style="29" customWidth="1"/>
    <col min="7430" max="7430" width="13" style="29" customWidth="1"/>
    <col min="7431" max="7431" width="8.28515625" style="29" customWidth="1"/>
    <col min="7432" max="7677" width="10" style="29"/>
    <col min="7678" max="7678" width="2.5703125" style="29" customWidth="1"/>
    <col min="7679" max="7679" width="7.140625" style="29" customWidth="1"/>
    <col min="7680" max="7680" width="23.5703125" style="29" customWidth="1"/>
    <col min="7681" max="7681" width="9.7109375" style="29" customWidth="1"/>
    <col min="7682" max="7682" width="4.7109375" style="29" customWidth="1"/>
    <col min="7683" max="7683" width="14.42578125" style="29" customWidth="1"/>
    <col min="7684" max="7684" width="11.140625" style="29" customWidth="1"/>
    <col min="7685" max="7685" width="10.28515625" style="29" customWidth="1"/>
    <col min="7686" max="7686" width="13" style="29" customWidth="1"/>
    <col min="7687" max="7687" width="8.28515625" style="29" customWidth="1"/>
    <col min="7688" max="7933" width="10" style="29"/>
    <col min="7934" max="7934" width="2.5703125" style="29" customWidth="1"/>
    <col min="7935" max="7935" width="7.140625" style="29" customWidth="1"/>
    <col min="7936" max="7936" width="23.5703125" style="29" customWidth="1"/>
    <col min="7937" max="7937" width="9.7109375" style="29" customWidth="1"/>
    <col min="7938" max="7938" width="4.7109375" style="29" customWidth="1"/>
    <col min="7939" max="7939" width="14.42578125" style="29" customWidth="1"/>
    <col min="7940" max="7940" width="11.140625" style="29" customWidth="1"/>
    <col min="7941" max="7941" width="10.28515625" style="29" customWidth="1"/>
    <col min="7942" max="7942" width="13" style="29" customWidth="1"/>
    <col min="7943" max="7943" width="8.28515625" style="29" customWidth="1"/>
    <col min="7944" max="8189" width="9.140625" style="29"/>
    <col min="8190" max="8190" width="2.5703125" style="29" customWidth="1"/>
    <col min="8191" max="8191" width="7.140625" style="29" customWidth="1"/>
    <col min="8192" max="8192" width="23.5703125" style="29" customWidth="1"/>
    <col min="8193" max="8193" width="9.7109375" style="29" customWidth="1"/>
    <col min="8194" max="8194" width="4.7109375" style="29" customWidth="1"/>
    <col min="8195" max="8195" width="14.42578125" style="29" customWidth="1"/>
    <col min="8196" max="8196" width="11.140625" style="29" customWidth="1"/>
    <col min="8197" max="8197" width="10.28515625" style="29" customWidth="1"/>
    <col min="8198" max="8198" width="13" style="29" customWidth="1"/>
    <col min="8199" max="8199" width="8.28515625" style="29" customWidth="1"/>
    <col min="8200" max="8445" width="10" style="29"/>
    <col min="8446" max="8446" width="2.5703125" style="29" customWidth="1"/>
    <col min="8447" max="8447" width="7.140625" style="29" customWidth="1"/>
    <col min="8448" max="8448" width="23.5703125" style="29" customWidth="1"/>
    <col min="8449" max="8449" width="9.7109375" style="29" customWidth="1"/>
    <col min="8450" max="8450" width="4.7109375" style="29" customWidth="1"/>
    <col min="8451" max="8451" width="14.42578125" style="29" customWidth="1"/>
    <col min="8452" max="8452" width="11.140625" style="29" customWidth="1"/>
    <col min="8453" max="8453" width="10.28515625" style="29" customWidth="1"/>
    <col min="8454" max="8454" width="13" style="29" customWidth="1"/>
    <col min="8455" max="8455" width="8.28515625" style="29" customWidth="1"/>
    <col min="8456" max="8701" width="10" style="29"/>
    <col min="8702" max="8702" width="2.5703125" style="29" customWidth="1"/>
    <col min="8703" max="8703" width="7.140625" style="29" customWidth="1"/>
    <col min="8704" max="8704" width="23.5703125" style="29" customWidth="1"/>
    <col min="8705" max="8705" width="9.7109375" style="29" customWidth="1"/>
    <col min="8706" max="8706" width="4.7109375" style="29" customWidth="1"/>
    <col min="8707" max="8707" width="14.42578125" style="29" customWidth="1"/>
    <col min="8708" max="8708" width="11.140625" style="29" customWidth="1"/>
    <col min="8709" max="8709" width="10.28515625" style="29" customWidth="1"/>
    <col min="8710" max="8710" width="13" style="29" customWidth="1"/>
    <col min="8711" max="8711" width="8.28515625" style="29" customWidth="1"/>
    <col min="8712" max="8957" width="10" style="29"/>
    <col min="8958" max="8958" width="2.5703125" style="29" customWidth="1"/>
    <col min="8959" max="8959" width="7.140625" style="29" customWidth="1"/>
    <col min="8960" max="8960" width="23.5703125" style="29" customWidth="1"/>
    <col min="8961" max="8961" width="9.7109375" style="29" customWidth="1"/>
    <col min="8962" max="8962" width="4.7109375" style="29" customWidth="1"/>
    <col min="8963" max="8963" width="14.42578125" style="29" customWidth="1"/>
    <col min="8964" max="8964" width="11.140625" style="29" customWidth="1"/>
    <col min="8965" max="8965" width="10.28515625" style="29" customWidth="1"/>
    <col min="8966" max="8966" width="13" style="29" customWidth="1"/>
    <col min="8967" max="8967" width="8.28515625" style="29" customWidth="1"/>
    <col min="8968" max="9213" width="9.140625" style="29"/>
    <col min="9214" max="9214" width="2.5703125" style="29" customWidth="1"/>
    <col min="9215" max="9215" width="7.140625" style="29" customWidth="1"/>
    <col min="9216" max="9216" width="23.5703125" style="29" customWidth="1"/>
    <col min="9217" max="9217" width="9.7109375" style="29" customWidth="1"/>
    <col min="9218" max="9218" width="4.7109375" style="29" customWidth="1"/>
    <col min="9219" max="9219" width="14.42578125" style="29" customWidth="1"/>
    <col min="9220" max="9220" width="11.140625" style="29" customWidth="1"/>
    <col min="9221" max="9221" width="10.28515625" style="29" customWidth="1"/>
    <col min="9222" max="9222" width="13" style="29" customWidth="1"/>
    <col min="9223" max="9223" width="8.28515625" style="29" customWidth="1"/>
    <col min="9224" max="9469" width="10" style="29"/>
    <col min="9470" max="9470" width="2.5703125" style="29" customWidth="1"/>
    <col min="9471" max="9471" width="7.140625" style="29" customWidth="1"/>
    <col min="9472" max="9472" width="23.5703125" style="29" customWidth="1"/>
    <col min="9473" max="9473" width="9.7109375" style="29" customWidth="1"/>
    <col min="9474" max="9474" width="4.7109375" style="29" customWidth="1"/>
    <col min="9475" max="9475" width="14.42578125" style="29" customWidth="1"/>
    <col min="9476" max="9476" width="11.140625" style="29" customWidth="1"/>
    <col min="9477" max="9477" width="10.28515625" style="29" customWidth="1"/>
    <col min="9478" max="9478" width="13" style="29" customWidth="1"/>
    <col min="9479" max="9479" width="8.28515625" style="29" customWidth="1"/>
    <col min="9480" max="9725" width="10" style="29"/>
    <col min="9726" max="9726" width="2.5703125" style="29" customWidth="1"/>
    <col min="9727" max="9727" width="7.140625" style="29" customWidth="1"/>
    <col min="9728" max="9728" width="23.5703125" style="29" customWidth="1"/>
    <col min="9729" max="9729" width="9.7109375" style="29" customWidth="1"/>
    <col min="9730" max="9730" width="4.7109375" style="29" customWidth="1"/>
    <col min="9731" max="9731" width="14.42578125" style="29" customWidth="1"/>
    <col min="9732" max="9732" width="11.140625" style="29" customWidth="1"/>
    <col min="9733" max="9733" width="10.28515625" style="29" customWidth="1"/>
    <col min="9734" max="9734" width="13" style="29" customWidth="1"/>
    <col min="9735" max="9735" width="8.28515625" style="29" customWidth="1"/>
    <col min="9736" max="9981" width="10" style="29"/>
    <col min="9982" max="9982" width="2.5703125" style="29" customWidth="1"/>
    <col min="9983" max="9983" width="7.140625" style="29" customWidth="1"/>
    <col min="9984" max="9984" width="23.5703125" style="29" customWidth="1"/>
    <col min="9985" max="9985" width="9.7109375" style="29" customWidth="1"/>
    <col min="9986" max="9986" width="4.7109375" style="29" customWidth="1"/>
    <col min="9987" max="9987" width="14.42578125" style="29" customWidth="1"/>
    <col min="9988" max="9988" width="11.140625" style="29" customWidth="1"/>
    <col min="9989" max="9989" width="10.28515625" style="29" customWidth="1"/>
    <col min="9990" max="9990" width="13" style="29" customWidth="1"/>
    <col min="9991" max="9991" width="8.28515625" style="29" customWidth="1"/>
    <col min="9992" max="10237" width="9.140625" style="29"/>
    <col min="10238" max="10238" width="2.5703125" style="29" customWidth="1"/>
    <col min="10239" max="10239" width="7.140625" style="29" customWidth="1"/>
    <col min="10240" max="10240" width="23.5703125" style="29" customWidth="1"/>
    <col min="10241" max="10241" width="9.7109375" style="29" customWidth="1"/>
    <col min="10242" max="10242" width="4.7109375" style="29" customWidth="1"/>
    <col min="10243" max="10243" width="14.42578125" style="29" customWidth="1"/>
    <col min="10244" max="10244" width="11.140625" style="29" customWidth="1"/>
    <col min="10245" max="10245" width="10.28515625" style="29" customWidth="1"/>
    <col min="10246" max="10246" width="13" style="29" customWidth="1"/>
    <col min="10247" max="10247" width="8.28515625" style="29" customWidth="1"/>
    <col min="10248" max="10493" width="10" style="29"/>
    <col min="10494" max="10494" width="2.5703125" style="29" customWidth="1"/>
    <col min="10495" max="10495" width="7.140625" style="29" customWidth="1"/>
    <col min="10496" max="10496" width="23.5703125" style="29" customWidth="1"/>
    <col min="10497" max="10497" width="9.7109375" style="29" customWidth="1"/>
    <col min="10498" max="10498" width="4.7109375" style="29" customWidth="1"/>
    <col min="10499" max="10499" width="14.42578125" style="29" customWidth="1"/>
    <col min="10500" max="10500" width="11.140625" style="29" customWidth="1"/>
    <col min="10501" max="10501" width="10.28515625" style="29" customWidth="1"/>
    <col min="10502" max="10502" width="13" style="29" customWidth="1"/>
    <col min="10503" max="10503" width="8.28515625" style="29" customWidth="1"/>
    <col min="10504" max="10749" width="10" style="29"/>
    <col min="10750" max="10750" width="2.5703125" style="29" customWidth="1"/>
    <col min="10751" max="10751" width="7.140625" style="29" customWidth="1"/>
    <col min="10752" max="10752" width="23.5703125" style="29" customWidth="1"/>
    <col min="10753" max="10753" width="9.7109375" style="29" customWidth="1"/>
    <col min="10754" max="10754" width="4.7109375" style="29" customWidth="1"/>
    <col min="10755" max="10755" width="14.42578125" style="29" customWidth="1"/>
    <col min="10756" max="10756" width="11.140625" style="29" customWidth="1"/>
    <col min="10757" max="10757" width="10.28515625" style="29" customWidth="1"/>
    <col min="10758" max="10758" width="13" style="29" customWidth="1"/>
    <col min="10759" max="10759" width="8.28515625" style="29" customWidth="1"/>
    <col min="10760" max="11005" width="10" style="29"/>
    <col min="11006" max="11006" width="2.5703125" style="29" customWidth="1"/>
    <col min="11007" max="11007" width="7.140625" style="29" customWidth="1"/>
    <col min="11008" max="11008" width="23.5703125" style="29" customWidth="1"/>
    <col min="11009" max="11009" width="9.7109375" style="29" customWidth="1"/>
    <col min="11010" max="11010" width="4.7109375" style="29" customWidth="1"/>
    <col min="11011" max="11011" width="14.42578125" style="29" customWidth="1"/>
    <col min="11012" max="11012" width="11.140625" style="29" customWidth="1"/>
    <col min="11013" max="11013" width="10.28515625" style="29" customWidth="1"/>
    <col min="11014" max="11014" width="13" style="29" customWidth="1"/>
    <col min="11015" max="11015" width="8.28515625" style="29" customWidth="1"/>
    <col min="11016" max="11261" width="9.140625" style="29"/>
    <col min="11262" max="11262" width="2.5703125" style="29" customWidth="1"/>
    <col min="11263" max="11263" width="7.140625" style="29" customWidth="1"/>
    <col min="11264" max="11264" width="23.5703125" style="29" customWidth="1"/>
    <col min="11265" max="11265" width="9.7109375" style="29" customWidth="1"/>
    <col min="11266" max="11266" width="4.7109375" style="29" customWidth="1"/>
    <col min="11267" max="11267" width="14.42578125" style="29" customWidth="1"/>
    <col min="11268" max="11268" width="11.140625" style="29" customWidth="1"/>
    <col min="11269" max="11269" width="10.28515625" style="29" customWidth="1"/>
    <col min="11270" max="11270" width="13" style="29" customWidth="1"/>
    <col min="11271" max="11271" width="8.28515625" style="29" customWidth="1"/>
    <col min="11272" max="11517" width="10" style="29"/>
    <col min="11518" max="11518" width="2.5703125" style="29" customWidth="1"/>
    <col min="11519" max="11519" width="7.140625" style="29" customWidth="1"/>
    <col min="11520" max="11520" width="23.5703125" style="29" customWidth="1"/>
    <col min="11521" max="11521" width="9.7109375" style="29" customWidth="1"/>
    <col min="11522" max="11522" width="4.7109375" style="29" customWidth="1"/>
    <col min="11523" max="11523" width="14.42578125" style="29" customWidth="1"/>
    <col min="11524" max="11524" width="11.140625" style="29" customWidth="1"/>
    <col min="11525" max="11525" width="10.28515625" style="29" customWidth="1"/>
    <col min="11526" max="11526" width="13" style="29" customWidth="1"/>
    <col min="11527" max="11527" width="8.28515625" style="29" customWidth="1"/>
    <col min="11528" max="11773" width="10" style="29"/>
    <col min="11774" max="11774" width="2.5703125" style="29" customWidth="1"/>
    <col min="11775" max="11775" width="7.140625" style="29" customWidth="1"/>
    <col min="11776" max="11776" width="23.5703125" style="29" customWidth="1"/>
    <col min="11777" max="11777" width="9.7109375" style="29" customWidth="1"/>
    <col min="11778" max="11778" width="4.7109375" style="29" customWidth="1"/>
    <col min="11779" max="11779" width="14.42578125" style="29" customWidth="1"/>
    <col min="11780" max="11780" width="11.140625" style="29" customWidth="1"/>
    <col min="11781" max="11781" width="10.28515625" style="29" customWidth="1"/>
    <col min="11782" max="11782" width="13" style="29" customWidth="1"/>
    <col min="11783" max="11783" width="8.28515625" style="29" customWidth="1"/>
    <col min="11784" max="12029" width="10" style="29"/>
    <col min="12030" max="12030" width="2.5703125" style="29" customWidth="1"/>
    <col min="12031" max="12031" width="7.140625" style="29" customWidth="1"/>
    <col min="12032" max="12032" width="23.5703125" style="29" customWidth="1"/>
    <col min="12033" max="12033" width="9.7109375" style="29" customWidth="1"/>
    <col min="12034" max="12034" width="4.7109375" style="29" customWidth="1"/>
    <col min="12035" max="12035" width="14.42578125" style="29" customWidth="1"/>
    <col min="12036" max="12036" width="11.140625" style="29" customWidth="1"/>
    <col min="12037" max="12037" width="10.28515625" style="29" customWidth="1"/>
    <col min="12038" max="12038" width="13" style="29" customWidth="1"/>
    <col min="12039" max="12039" width="8.28515625" style="29" customWidth="1"/>
    <col min="12040" max="12285" width="9.140625" style="29"/>
    <col min="12286" max="12286" width="2.5703125" style="29" customWidth="1"/>
    <col min="12287" max="12287" width="7.140625" style="29" customWidth="1"/>
    <col min="12288" max="12288" width="23.5703125" style="29" customWidth="1"/>
    <col min="12289" max="12289" width="9.7109375" style="29" customWidth="1"/>
    <col min="12290" max="12290" width="4.7109375" style="29" customWidth="1"/>
    <col min="12291" max="12291" width="14.42578125" style="29" customWidth="1"/>
    <col min="12292" max="12292" width="11.140625" style="29" customWidth="1"/>
    <col min="12293" max="12293" width="10.28515625" style="29" customWidth="1"/>
    <col min="12294" max="12294" width="13" style="29" customWidth="1"/>
    <col min="12295" max="12295" width="8.28515625" style="29" customWidth="1"/>
    <col min="12296" max="12541" width="10" style="29"/>
    <col min="12542" max="12542" width="2.5703125" style="29" customWidth="1"/>
    <col min="12543" max="12543" width="7.140625" style="29" customWidth="1"/>
    <col min="12544" max="12544" width="23.5703125" style="29" customWidth="1"/>
    <col min="12545" max="12545" width="9.7109375" style="29" customWidth="1"/>
    <col min="12546" max="12546" width="4.7109375" style="29" customWidth="1"/>
    <col min="12547" max="12547" width="14.42578125" style="29" customWidth="1"/>
    <col min="12548" max="12548" width="11.140625" style="29" customWidth="1"/>
    <col min="12549" max="12549" width="10.28515625" style="29" customWidth="1"/>
    <col min="12550" max="12550" width="13" style="29" customWidth="1"/>
    <col min="12551" max="12551" width="8.28515625" style="29" customWidth="1"/>
    <col min="12552" max="12797" width="10" style="29"/>
    <col min="12798" max="12798" width="2.5703125" style="29" customWidth="1"/>
    <col min="12799" max="12799" width="7.140625" style="29" customWidth="1"/>
    <col min="12800" max="12800" width="23.5703125" style="29" customWidth="1"/>
    <col min="12801" max="12801" width="9.7109375" style="29" customWidth="1"/>
    <col min="12802" max="12802" width="4.7109375" style="29" customWidth="1"/>
    <col min="12803" max="12803" width="14.42578125" style="29" customWidth="1"/>
    <col min="12804" max="12804" width="11.140625" style="29" customWidth="1"/>
    <col min="12805" max="12805" width="10.28515625" style="29" customWidth="1"/>
    <col min="12806" max="12806" width="13" style="29" customWidth="1"/>
    <col min="12807" max="12807" width="8.28515625" style="29" customWidth="1"/>
    <col min="12808" max="13053" width="10" style="29"/>
    <col min="13054" max="13054" width="2.5703125" style="29" customWidth="1"/>
    <col min="13055" max="13055" width="7.140625" style="29" customWidth="1"/>
    <col min="13056" max="13056" width="23.5703125" style="29" customWidth="1"/>
    <col min="13057" max="13057" width="9.7109375" style="29" customWidth="1"/>
    <col min="13058" max="13058" width="4.7109375" style="29" customWidth="1"/>
    <col min="13059" max="13059" width="14.42578125" style="29" customWidth="1"/>
    <col min="13060" max="13060" width="11.140625" style="29" customWidth="1"/>
    <col min="13061" max="13061" width="10.28515625" style="29" customWidth="1"/>
    <col min="13062" max="13062" width="13" style="29" customWidth="1"/>
    <col min="13063" max="13063" width="8.28515625" style="29" customWidth="1"/>
    <col min="13064" max="13309" width="9.140625" style="29"/>
    <col min="13310" max="13310" width="2.5703125" style="29" customWidth="1"/>
    <col min="13311" max="13311" width="7.140625" style="29" customWidth="1"/>
    <col min="13312" max="13312" width="23.5703125" style="29" customWidth="1"/>
    <col min="13313" max="13313" width="9.7109375" style="29" customWidth="1"/>
    <col min="13314" max="13314" width="4.7109375" style="29" customWidth="1"/>
    <col min="13315" max="13315" width="14.42578125" style="29" customWidth="1"/>
    <col min="13316" max="13316" width="11.140625" style="29" customWidth="1"/>
    <col min="13317" max="13317" width="10.28515625" style="29" customWidth="1"/>
    <col min="13318" max="13318" width="13" style="29" customWidth="1"/>
    <col min="13319" max="13319" width="8.28515625" style="29" customWidth="1"/>
    <col min="13320" max="13565" width="10" style="29"/>
    <col min="13566" max="13566" width="2.5703125" style="29" customWidth="1"/>
    <col min="13567" max="13567" width="7.140625" style="29" customWidth="1"/>
    <col min="13568" max="13568" width="23.5703125" style="29" customWidth="1"/>
    <col min="13569" max="13569" width="9.7109375" style="29" customWidth="1"/>
    <col min="13570" max="13570" width="4.7109375" style="29" customWidth="1"/>
    <col min="13571" max="13571" width="14.42578125" style="29" customWidth="1"/>
    <col min="13572" max="13572" width="11.140625" style="29" customWidth="1"/>
    <col min="13573" max="13573" width="10.28515625" style="29" customWidth="1"/>
    <col min="13574" max="13574" width="13" style="29" customWidth="1"/>
    <col min="13575" max="13575" width="8.28515625" style="29" customWidth="1"/>
    <col min="13576" max="13821" width="10" style="29"/>
    <col min="13822" max="13822" width="2.5703125" style="29" customWidth="1"/>
    <col min="13823" max="13823" width="7.140625" style="29" customWidth="1"/>
    <col min="13824" max="13824" width="23.5703125" style="29" customWidth="1"/>
    <col min="13825" max="13825" width="9.7109375" style="29" customWidth="1"/>
    <col min="13826" max="13826" width="4.7109375" style="29" customWidth="1"/>
    <col min="13827" max="13827" width="14.42578125" style="29" customWidth="1"/>
    <col min="13828" max="13828" width="11.140625" style="29" customWidth="1"/>
    <col min="13829" max="13829" width="10.28515625" style="29" customWidth="1"/>
    <col min="13830" max="13830" width="13" style="29" customWidth="1"/>
    <col min="13831" max="13831" width="8.28515625" style="29" customWidth="1"/>
    <col min="13832" max="14077" width="10" style="29"/>
    <col min="14078" max="14078" width="2.5703125" style="29" customWidth="1"/>
    <col min="14079" max="14079" width="7.140625" style="29" customWidth="1"/>
    <col min="14080" max="14080" width="23.5703125" style="29" customWidth="1"/>
    <col min="14081" max="14081" width="9.7109375" style="29" customWidth="1"/>
    <col min="14082" max="14082" width="4.7109375" style="29" customWidth="1"/>
    <col min="14083" max="14083" width="14.42578125" style="29" customWidth="1"/>
    <col min="14084" max="14084" width="11.140625" style="29" customWidth="1"/>
    <col min="14085" max="14085" width="10.28515625" style="29" customWidth="1"/>
    <col min="14086" max="14086" width="13" style="29" customWidth="1"/>
    <col min="14087" max="14087" width="8.28515625" style="29" customWidth="1"/>
    <col min="14088" max="14333" width="9.140625" style="29"/>
    <col min="14334" max="14334" width="2.5703125" style="29" customWidth="1"/>
    <col min="14335" max="14335" width="7.140625" style="29" customWidth="1"/>
    <col min="14336" max="14336" width="23.5703125" style="29" customWidth="1"/>
    <col min="14337" max="14337" width="9.7109375" style="29" customWidth="1"/>
    <col min="14338" max="14338" width="4.7109375" style="29" customWidth="1"/>
    <col min="14339" max="14339" width="14.42578125" style="29" customWidth="1"/>
    <col min="14340" max="14340" width="11.140625" style="29" customWidth="1"/>
    <col min="14341" max="14341" width="10.28515625" style="29" customWidth="1"/>
    <col min="14342" max="14342" width="13" style="29" customWidth="1"/>
    <col min="14343" max="14343" width="8.28515625" style="29" customWidth="1"/>
    <col min="14344" max="14589" width="10" style="29"/>
    <col min="14590" max="14590" width="2.5703125" style="29" customWidth="1"/>
    <col min="14591" max="14591" width="7.140625" style="29" customWidth="1"/>
    <col min="14592" max="14592" width="23.5703125" style="29" customWidth="1"/>
    <col min="14593" max="14593" width="9.7109375" style="29" customWidth="1"/>
    <col min="14594" max="14594" width="4.7109375" style="29" customWidth="1"/>
    <col min="14595" max="14595" width="14.42578125" style="29" customWidth="1"/>
    <col min="14596" max="14596" width="11.140625" style="29" customWidth="1"/>
    <col min="14597" max="14597" width="10.28515625" style="29" customWidth="1"/>
    <col min="14598" max="14598" width="13" style="29" customWidth="1"/>
    <col min="14599" max="14599" width="8.28515625" style="29" customWidth="1"/>
    <col min="14600" max="14845" width="10" style="29"/>
    <col min="14846" max="14846" width="2.5703125" style="29" customWidth="1"/>
    <col min="14847" max="14847" width="7.140625" style="29" customWidth="1"/>
    <col min="14848" max="14848" width="23.5703125" style="29" customWidth="1"/>
    <col min="14849" max="14849" width="9.7109375" style="29" customWidth="1"/>
    <col min="14850" max="14850" width="4.7109375" style="29" customWidth="1"/>
    <col min="14851" max="14851" width="14.42578125" style="29" customWidth="1"/>
    <col min="14852" max="14852" width="11.140625" style="29" customWidth="1"/>
    <col min="14853" max="14853" width="10.28515625" style="29" customWidth="1"/>
    <col min="14854" max="14854" width="13" style="29" customWidth="1"/>
    <col min="14855" max="14855" width="8.28515625" style="29" customWidth="1"/>
    <col min="14856" max="15101" width="10" style="29"/>
    <col min="15102" max="15102" width="2.5703125" style="29" customWidth="1"/>
    <col min="15103" max="15103" width="7.140625" style="29" customWidth="1"/>
    <col min="15104" max="15104" width="23.5703125" style="29" customWidth="1"/>
    <col min="15105" max="15105" width="9.7109375" style="29" customWidth="1"/>
    <col min="15106" max="15106" width="4.7109375" style="29" customWidth="1"/>
    <col min="15107" max="15107" width="14.42578125" style="29" customWidth="1"/>
    <col min="15108" max="15108" width="11.140625" style="29" customWidth="1"/>
    <col min="15109" max="15109" width="10.28515625" style="29" customWidth="1"/>
    <col min="15110" max="15110" width="13" style="29" customWidth="1"/>
    <col min="15111" max="15111" width="8.28515625" style="29" customWidth="1"/>
    <col min="15112" max="15357" width="9.140625" style="29"/>
    <col min="15358" max="15358" width="2.5703125" style="29" customWidth="1"/>
    <col min="15359" max="15359" width="7.140625" style="29" customWidth="1"/>
    <col min="15360" max="15360" width="23.5703125" style="29" customWidth="1"/>
    <col min="15361" max="15361" width="9.7109375" style="29" customWidth="1"/>
    <col min="15362" max="15362" width="4.7109375" style="29" customWidth="1"/>
    <col min="15363" max="15363" width="14.42578125" style="29" customWidth="1"/>
    <col min="15364" max="15364" width="11.140625" style="29" customWidth="1"/>
    <col min="15365" max="15365" width="10.28515625" style="29" customWidth="1"/>
    <col min="15366" max="15366" width="13" style="29" customWidth="1"/>
    <col min="15367" max="15367" width="8.28515625" style="29" customWidth="1"/>
    <col min="15368" max="15613" width="10" style="29"/>
    <col min="15614" max="15614" width="2.5703125" style="29" customWidth="1"/>
    <col min="15615" max="15615" width="7.140625" style="29" customWidth="1"/>
    <col min="15616" max="15616" width="23.5703125" style="29" customWidth="1"/>
    <col min="15617" max="15617" width="9.7109375" style="29" customWidth="1"/>
    <col min="15618" max="15618" width="4.7109375" style="29" customWidth="1"/>
    <col min="15619" max="15619" width="14.42578125" style="29" customWidth="1"/>
    <col min="15620" max="15620" width="11.140625" style="29" customWidth="1"/>
    <col min="15621" max="15621" width="10.28515625" style="29" customWidth="1"/>
    <col min="15622" max="15622" width="13" style="29" customWidth="1"/>
    <col min="15623" max="15623" width="8.28515625" style="29" customWidth="1"/>
    <col min="15624" max="15869" width="10" style="29"/>
    <col min="15870" max="15870" width="2.5703125" style="29" customWidth="1"/>
    <col min="15871" max="15871" width="7.140625" style="29" customWidth="1"/>
    <col min="15872" max="15872" width="23.5703125" style="29" customWidth="1"/>
    <col min="15873" max="15873" width="9.7109375" style="29" customWidth="1"/>
    <col min="15874" max="15874" width="4.7109375" style="29" customWidth="1"/>
    <col min="15875" max="15875" width="14.42578125" style="29" customWidth="1"/>
    <col min="15876" max="15876" width="11.140625" style="29" customWidth="1"/>
    <col min="15877" max="15877" width="10.28515625" style="29" customWidth="1"/>
    <col min="15878" max="15878" width="13" style="29" customWidth="1"/>
    <col min="15879" max="15879" width="8.28515625" style="29" customWidth="1"/>
    <col min="15880" max="16125" width="10" style="29"/>
    <col min="16126" max="16126" width="2.5703125" style="29" customWidth="1"/>
    <col min="16127" max="16127" width="7.140625" style="29" customWidth="1"/>
    <col min="16128" max="16128" width="23.5703125" style="29" customWidth="1"/>
    <col min="16129" max="16129" width="9.7109375" style="29" customWidth="1"/>
    <col min="16130" max="16130" width="4.7109375" style="29" customWidth="1"/>
    <col min="16131" max="16131" width="14.42578125" style="29" customWidth="1"/>
    <col min="16132" max="16132" width="11.140625" style="29" customWidth="1"/>
    <col min="16133" max="16133" width="10.28515625" style="29" customWidth="1"/>
    <col min="16134" max="16134" width="13" style="29" customWidth="1"/>
    <col min="16135" max="16135" width="8.28515625" style="29" customWidth="1"/>
    <col min="16136" max="16381" width="9.140625" style="29"/>
    <col min="16382" max="16384" width="9.140625" style="29" customWidth="1"/>
  </cols>
  <sheetData>
    <row r="1" spans="1:8">
      <c r="A1" s="17" t="str">
        <f>RevReqSummary!A1</f>
        <v>PacifiCorp General Rate Case UE-140617</v>
      </c>
      <c r="B1" s="30"/>
      <c r="C1" s="30"/>
      <c r="D1" s="30"/>
      <c r="E1" s="30"/>
      <c r="F1" s="30" t="s">
        <v>270</v>
      </c>
      <c r="G1" s="30"/>
    </row>
    <row r="2" spans="1:8">
      <c r="A2" s="17" t="str">
        <f>RevReqSummary!A2</f>
        <v>For The Twelve Months Ended December 2013 - Staff Revenue Requirement</v>
      </c>
      <c r="B2" s="30"/>
      <c r="C2" s="30"/>
      <c r="D2" s="30"/>
      <c r="E2" s="30"/>
      <c r="F2" s="30"/>
      <c r="G2" s="30"/>
    </row>
    <row r="3" spans="1:8" ht="13.5">
      <c r="A3" s="53" t="s">
        <v>121</v>
      </c>
      <c r="B3" s="30"/>
      <c r="C3" s="30"/>
      <c r="D3" s="30"/>
      <c r="E3" s="757"/>
      <c r="F3" s="30"/>
      <c r="G3" s="30"/>
    </row>
    <row r="4" spans="1:8">
      <c r="A4" s="53" t="s">
        <v>504</v>
      </c>
      <c r="B4" s="30"/>
      <c r="C4" s="30"/>
      <c r="D4" s="30"/>
      <c r="E4" s="30"/>
      <c r="F4" s="30"/>
      <c r="G4" s="30"/>
    </row>
    <row r="5" spans="1:8">
      <c r="B5" s="30"/>
      <c r="C5" s="30"/>
      <c r="D5" s="30"/>
      <c r="E5" s="30"/>
      <c r="F5" s="30"/>
      <c r="G5" s="30"/>
    </row>
    <row r="6" spans="1:8">
      <c r="B6" s="775"/>
      <c r="C6" s="775"/>
      <c r="D6" s="777" t="s">
        <v>131</v>
      </c>
      <c r="E6" s="775"/>
      <c r="F6" s="775"/>
      <c r="G6" s="777" t="s">
        <v>236</v>
      </c>
    </row>
    <row r="7" spans="1:8">
      <c r="B7" s="778" t="s">
        <v>132</v>
      </c>
      <c r="C7" s="778" t="s">
        <v>660</v>
      </c>
      <c r="D7" s="778" t="s">
        <v>134</v>
      </c>
      <c r="E7" s="778" t="s">
        <v>135</v>
      </c>
      <c r="F7" s="778" t="s">
        <v>136</v>
      </c>
      <c r="G7" s="778" t="s">
        <v>137</v>
      </c>
    </row>
    <row r="8" spans="1:8">
      <c r="A8" s="28" t="s">
        <v>199</v>
      </c>
      <c r="B8" s="30"/>
      <c r="C8" s="30"/>
      <c r="D8" s="30"/>
      <c r="E8" s="30"/>
      <c r="F8" s="30"/>
      <c r="G8" s="31"/>
    </row>
    <row r="9" spans="1:8">
      <c r="A9" s="29" t="s">
        <v>237</v>
      </c>
      <c r="B9" s="758">
        <v>40910</v>
      </c>
      <c r="C9" s="30">
        <v>3</v>
      </c>
      <c r="D9" s="782">
        <v>-26677936</v>
      </c>
      <c r="E9" s="30" t="s">
        <v>203</v>
      </c>
      <c r="F9" s="538">
        <f>INDEX(WCAAllocations,IFERROR(MATCH(E9,WCAFactors,0),2),IFERROR(MATCH(E9,WCAStates,0),4))</f>
        <v>0.23084885646883446</v>
      </c>
      <c r="G9" s="31">
        <f>+F9*D9</f>
        <v>-6158571.0185487522</v>
      </c>
    </row>
    <row r="10" spans="1:8">
      <c r="A10" s="37"/>
      <c r="B10" s="30"/>
      <c r="C10" s="30"/>
      <c r="D10" s="35"/>
      <c r="E10" s="30"/>
      <c r="F10" s="347"/>
      <c r="G10" s="31"/>
    </row>
    <row r="11" spans="1:8">
      <c r="A11" s="145" t="s">
        <v>406</v>
      </c>
      <c r="B11" s="30"/>
      <c r="C11" s="30"/>
      <c r="D11" s="35"/>
      <c r="E11" s="30"/>
      <c r="F11" s="347"/>
      <c r="G11" s="31"/>
    </row>
    <row r="12" spans="1:8">
      <c r="A12" s="29" t="s">
        <v>237</v>
      </c>
      <c r="B12" s="758">
        <v>40910</v>
      </c>
      <c r="C12" s="30">
        <v>3</v>
      </c>
      <c r="D12" s="782">
        <v>69527495</v>
      </c>
      <c r="E12" s="30" t="s">
        <v>146</v>
      </c>
      <c r="F12" s="538">
        <f>INDEX(WCAAllocations,IFERROR(MATCH(E12,WCAFactors,0),2),IFERROR(MATCH(E12,WCAStates,0),4))</f>
        <v>7.9057273540331513E-2</v>
      </c>
      <c r="G12" s="31">
        <f>D12*F12</f>
        <v>5496654.1907890318</v>
      </c>
      <c r="H12" s="156"/>
    </row>
    <row r="13" spans="1:8">
      <c r="B13" s="758"/>
      <c r="C13" s="30"/>
      <c r="D13" s="35"/>
      <c r="E13" s="30"/>
      <c r="F13" s="347"/>
      <c r="G13" s="31"/>
    </row>
    <row r="14" spans="1:8">
      <c r="B14" s="758"/>
      <c r="C14" s="30"/>
      <c r="D14" s="35"/>
      <c r="E14" s="30"/>
      <c r="F14" s="347"/>
      <c r="G14" s="31"/>
      <c r="H14" s="156"/>
    </row>
    <row r="15" spans="1:8">
      <c r="A15" s="37"/>
      <c r="B15" s="758"/>
      <c r="C15" s="758"/>
      <c r="D15" s="35"/>
      <c r="E15" s="30"/>
      <c r="F15" s="347"/>
      <c r="G15" s="31"/>
    </row>
    <row r="16" spans="1:8">
      <c r="B16" s="30"/>
      <c r="C16" s="30"/>
      <c r="D16" s="535"/>
      <c r="E16" s="30"/>
      <c r="F16" s="541"/>
      <c r="G16" s="535"/>
    </row>
    <row r="17" spans="1:8">
      <c r="A17" s="53" t="s">
        <v>654</v>
      </c>
      <c r="B17" s="30"/>
      <c r="C17" s="30"/>
      <c r="D17" s="535"/>
      <c r="E17" s="30"/>
      <c r="F17" s="541"/>
      <c r="G17" s="535"/>
    </row>
    <row r="18" spans="1:8">
      <c r="A18" s="1412" t="s">
        <v>727</v>
      </c>
      <c r="B18" s="1412"/>
      <c r="C18" s="1412"/>
      <c r="D18" s="1412"/>
      <c r="E18" s="1412"/>
      <c r="F18" s="1412"/>
      <c r="G18" s="1412"/>
    </row>
    <row r="19" spans="1:8" ht="13.15" customHeight="1">
      <c r="A19" s="1412"/>
      <c r="B19" s="1412"/>
      <c r="C19" s="1412"/>
      <c r="D19" s="1412"/>
      <c r="E19" s="1412"/>
      <c r="F19" s="1412"/>
      <c r="G19" s="1412"/>
      <c r="H19" s="1326"/>
    </row>
    <row r="20" spans="1:8">
      <c r="A20" s="1412"/>
      <c r="B20" s="1412"/>
      <c r="C20" s="1412"/>
      <c r="D20" s="1412"/>
      <c r="E20" s="1412"/>
      <c r="F20" s="1412"/>
      <c r="G20" s="1412"/>
      <c r="H20" s="1326"/>
    </row>
    <row r="21" spans="1:8">
      <c r="A21" s="1412"/>
      <c r="B21" s="1412"/>
      <c r="C21" s="1412"/>
      <c r="D21" s="1412"/>
      <c r="E21" s="1412"/>
      <c r="F21" s="1412"/>
      <c r="G21" s="1412"/>
      <c r="H21" s="1326"/>
    </row>
    <row r="22" spans="1:8">
      <c r="A22" s="1412"/>
      <c r="B22" s="1412"/>
      <c r="C22" s="1412"/>
      <c r="D22" s="1412"/>
      <c r="E22" s="1412"/>
      <c r="F22" s="1412"/>
      <c r="G22" s="1412"/>
      <c r="H22" s="1326"/>
    </row>
    <row r="23" spans="1:8">
      <c r="A23" s="1412"/>
      <c r="B23" s="1412"/>
      <c r="C23" s="1412"/>
      <c r="D23" s="1412"/>
      <c r="E23" s="1412"/>
      <c r="F23" s="1412"/>
      <c r="G23" s="1412"/>
      <c r="H23" s="1326"/>
    </row>
    <row r="24" spans="1:8" ht="11.45" customHeight="1">
      <c r="A24" s="1412"/>
      <c r="B24" s="1412"/>
      <c r="C24" s="1412"/>
      <c r="D24" s="1412"/>
      <c r="E24" s="1412"/>
      <c r="F24" s="1412"/>
      <c r="G24" s="1412"/>
      <c r="H24" s="1326"/>
    </row>
    <row r="25" spans="1:8">
      <c r="A25" s="1412"/>
      <c r="B25" s="1412"/>
      <c r="C25" s="1412"/>
      <c r="D25" s="1412"/>
      <c r="E25" s="1412"/>
      <c r="F25" s="1412"/>
      <c r="G25" s="1412"/>
      <c r="H25" s="1326"/>
    </row>
    <row r="26" spans="1:8">
      <c r="A26" s="1326"/>
      <c r="B26" s="1326"/>
      <c r="C26" s="1326"/>
      <c r="D26" s="1326"/>
      <c r="E26" s="1326"/>
      <c r="F26" s="1326"/>
      <c r="G26" s="1326"/>
      <c r="H26" s="1326"/>
    </row>
    <row r="27" spans="1:8">
      <c r="A27" s="1326"/>
      <c r="B27" s="1326"/>
      <c r="C27" s="1326"/>
      <c r="D27" s="1326"/>
      <c r="E27" s="1326"/>
      <c r="F27" s="1326"/>
      <c r="G27" s="1326"/>
      <c r="H27" s="1326"/>
    </row>
    <row r="30" spans="1:8">
      <c r="B30" s="41"/>
      <c r="E30" s="41"/>
    </row>
    <row r="31" spans="1:8">
      <c r="B31" s="143"/>
    </row>
    <row r="32" spans="1:8">
      <c r="B32" s="143"/>
    </row>
    <row r="33" spans="2:5">
      <c r="B33" s="143"/>
      <c r="E33" s="123"/>
    </row>
    <row r="34" spans="2:5">
      <c r="B34" s="143"/>
    </row>
    <row r="35" spans="2:5">
      <c r="B35" s="143"/>
    </row>
    <row r="36" spans="2:5">
      <c r="B36" s="143"/>
    </row>
    <row r="37" spans="2:5">
      <c r="B37" s="143"/>
    </row>
    <row r="38" spans="2:5">
      <c r="B38" s="143"/>
    </row>
    <row r="39" spans="2:5">
      <c r="B39" s="143"/>
    </row>
    <row r="40" spans="2:5">
      <c r="B40" s="143"/>
    </row>
    <row r="41" spans="2:5">
      <c r="B41" s="143"/>
    </row>
    <row r="42" spans="2:5">
      <c r="B42" s="143"/>
    </row>
    <row r="43" spans="2:5">
      <c r="B43" s="143"/>
    </row>
    <row r="44" spans="2:5">
      <c r="B44" s="143"/>
    </row>
    <row r="45" spans="2:5">
      <c r="B45" s="143"/>
    </row>
    <row r="46" spans="2:5">
      <c r="B46" s="143"/>
    </row>
    <row r="47" spans="2:5">
      <c r="B47" s="143"/>
    </row>
    <row r="48" spans="2:5">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row r="328" spans="2:2">
      <c r="B328" s="143"/>
    </row>
    <row r="329" spans="2:2">
      <c r="B329" s="143"/>
    </row>
    <row r="330" spans="2:2">
      <c r="B330" s="143"/>
    </row>
    <row r="331" spans="2:2">
      <c r="B331" s="143"/>
    </row>
    <row r="332" spans="2:2">
      <c r="B332" s="143"/>
    </row>
    <row r="333" spans="2:2">
      <c r="B333" s="143"/>
    </row>
    <row r="334" spans="2:2">
      <c r="B334" s="143"/>
    </row>
    <row r="335" spans="2:2">
      <c r="B335" s="143"/>
    </row>
    <row r="336" spans="2:2">
      <c r="B336" s="143"/>
    </row>
    <row r="337" spans="2:2">
      <c r="B337" s="143"/>
    </row>
    <row r="338" spans="2:2">
      <c r="B338" s="143"/>
    </row>
    <row r="339" spans="2:2">
      <c r="B339" s="143"/>
    </row>
    <row r="340" spans="2:2">
      <c r="B340" s="143"/>
    </row>
    <row r="341" spans="2:2">
      <c r="B341" s="143"/>
    </row>
    <row r="342" spans="2:2">
      <c r="B342" s="143"/>
    </row>
    <row r="343" spans="2:2">
      <c r="B343" s="143"/>
    </row>
    <row r="344" spans="2:2">
      <c r="B344" s="143"/>
    </row>
    <row r="345" spans="2:2">
      <c r="B345" s="143"/>
    </row>
    <row r="346" spans="2:2">
      <c r="B346" s="143"/>
    </row>
    <row r="347" spans="2:2">
      <c r="B347" s="143"/>
    </row>
    <row r="348" spans="2:2">
      <c r="B348" s="143"/>
    </row>
    <row r="349" spans="2:2">
      <c r="B349" s="143"/>
    </row>
    <row r="350" spans="2:2">
      <c r="B350" s="143"/>
    </row>
    <row r="351" spans="2:2">
      <c r="B351" s="143"/>
    </row>
    <row r="352" spans="2:2">
      <c r="B352" s="143"/>
    </row>
    <row r="353" spans="2:2">
      <c r="B353" s="143"/>
    </row>
    <row r="354" spans="2:2">
      <c r="B354" s="143"/>
    </row>
    <row r="355" spans="2:2">
      <c r="B355" s="143"/>
    </row>
    <row r="356" spans="2:2">
      <c r="B356" s="143"/>
    </row>
    <row r="357" spans="2:2">
      <c r="B357" s="143"/>
    </row>
    <row r="358" spans="2:2">
      <c r="B358" s="143"/>
    </row>
    <row r="359" spans="2:2">
      <c r="B359" s="143"/>
    </row>
    <row r="360" spans="2:2">
      <c r="B360" s="143"/>
    </row>
    <row r="361" spans="2:2">
      <c r="B361" s="143"/>
    </row>
    <row r="362" spans="2:2">
      <c r="B362" s="143"/>
    </row>
    <row r="363" spans="2:2">
      <c r="B363" s="143"/>
    </row>
    <row r="364" spans="2:2">
      <c r="B364" s="143"/>
    </row>
    <row r="365" spans="2:2">
      <c r="B365" s="143"/>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H370"/>
  <sheetViews>
    <sheetView workbookViewId="0">
      <selection activeCell="F16" sqref="F16"/>
    </sheetView>
  </sheetViews>
  <sheetFormatPr defaultColWidth="10" defaultRowHeight="12.75"/>
  <cols>
    <col min="1" max="1" width="39.7109375" style="1" customWidth="1"/>
    <col min="2" max="2" width="9.7109375" style="1" bestFit="1" customWidth="1"/>
    <col min="3" max="3" width="5.42578125" style="1" bestFit="1" customWidth="1"/>
    <col min="4" max="4" width="14.42578125" style="1" customWidth="1"/>
    <col min="5" max="5" width="8" style="1" bestFit="1" customWidth="1"/>
    <col min="6" max="6" width="10" style="1" bestFit="1" customWidth="1"/>
    <col min="7" max="7" width="13.28515625" style="1" bestFit="1" customWidth="1"/>
    <col min="8" max="253" width="10" style="1"/>
    <col min="254" max="254" width="2.5703125" style="1" customWidth="1"/>
    <col min="255" max="255" width="7.140625" style="1" customWidth="1"/>
    <col min="256" max="256" width="23.5703125" style="1" customWidth="1"/>
    <col min="257" max="257" width="9.7109375" style="1" customWidth="1"/>
    <col min="258" max="258" width="4.7109375" style="1" customWidth="1"/>
    <col min="259" max="259" width="14.42578125" style="1" customWidth="1"/>
    <col min="260" max="260" width="11.140625" style="1" customWidth="1"/>
    <col min="261" max="261" width="10.28515625" style="1" customWidth="1"/>
    <col min="262" max="262" width="13" style="1" customWidth="1"/>
    <col min="263" max="263" width="8.28515625" style="1" customWidth="1"/>
    <col min="264" max="509" width="10" style="1"/>
    <col min="510" max="510" width="2.5703125" style="1" customWidth="1"/>
    <col min="511" max="511" width="7.140625" style="1" customWidth="1"/>
    <col min="512" max="512" width="23.5703125" style="1" customWidth="1"/>
    <col min="513" max="513" width="9.7109375" style="1" customWidth="1"/>
    <col min="514" max="514" width="4.7109375" style="1" customWidth="1"/>
    <col min="515" max="515" width="14.42578125" style="1" customWidth="1"/>
    <col min="516" max="516" width="11.140625" style="1" customWidth="1"/>
    <col min="517" max="517" width="10.28515625" style="1" customWidth="1"/>
    <col min="518" max="518" width="13" style="1" customWidth="1"/>
    <col min="519" max="519" width="8.28515625" style="1" customWidth="1"/>
    <col min="520" max="765" width="10" style="1"/>
    <col min="766" max="766" width="2.5703125" style="1" customWidth="1"/>
    <col min="767" max="767" width="7.140625" style="1" customWidth="1"/>
    <col min="768" max="768" width="23.5703125" style="1" customWidth="1"/>
    <col min="769" max="769" width="9.7109375" style="1" customWidth="1"/>
    <col min="770" max="770" width="4.7109375" style="1" customWidth="1"/>
    <col min="771" max="771" width="14.42578125" style="1" customWidth="1"/>
    <col min="772" max="772" width="11.140625" style="1" customWidth="1"/>
    <col min="773" max="773" width="10.28515625" style="1" customWidth="1"/>
    <col min="774" max="774" width="13" style="1" customWidth="1"/>
    <col min="775" max="775" width="8.28515625" style="1" customWidth="1"/>
    <col min="776" max="1021" width="10" style="1"/>
    <col min="1022" max="1022" width="2.5703125" style="1" customWidth="1"/>
    <col min="1023" max="1023" width="7.140625" style="1" customWidth="1"/>
    <col min="1024" max="1024" width="23.5703125" style="1" customWidth="1"/>
    <col min="1025" max="1025" width="9.7109375" style="1" customWidth="1"/>
    <col min="1026" max="1026" width="4.7109375" style="1" customWidth="1"/>
    <col min="1027" max="1027" width="14.42578125" style="1" customWidth="1"/>
    <col min="1028" max="1028" width="11.140625" style="1" customWidth="1"/>
    <col min="1029" max="1029" width="10.28515625" style="1" customWidth="1"/>
    <col min="1030" max="1030" width="13" style="1" customWidth="1"/>
    <col min="1031" max="1031" width="8.28515625" style="1" customWidth="1"/>
    <col min="1032" max="1277" width="10" style="1"/>
    <col min="1278" max="1278" width="2.5703125" style="1" customWidth="1"/>
    <col min="1279" max="1279" width="7.140625" style="1" customWidth="1"/>
    <col min="1280" max="1280" width="23.5703125" style="1" customWidth="1"/>
    <col min="1281" max="1281" width="9.7109375" style="1" customWidth="1"/>
    <col min="1282" max="1282" width="4.7109375" style="1" customWidth="1"/>
    <col min="1283" max="1283" width="14.42578125" style="1" customWidth="1"/>
    <col min="1284" max="1284" width="11.140625" style="1" customWidth="1"/>
    <col min="1285" max="1285" width="10.28515625" style="1" customWidth="1"/>
    <col min="1286" max="1286" width="13" style="1" customWidth="1"/>
    <col min="1287" max="1287" width="8.28515625" style="1" customWidth="1"/>
    <col min="1288" max="1533" width="10" style="1"/>
    <col min="1534" max="1534" width="2.5703125" style="1" customWidth="1"/>
    <col min="1535" max="1535" width="7.140625" style="1" customWidth="1"/>
    <col min="1536" max="1536" width="23.5703125" style="1" customWidth="1"/>
    <col min="1537" max="1537" width="9.7109375" style="1" customWidth="1"/>
    <col min="1538" max="1538" width="4.7109375" style="1" customWidth="1"/>
    <col min="1539" max="1539" width="14.42578125" style="1" customWidth="1"/>
    <col min="1540" max="1540" width="11.140625" style="1" customWidth="1"/>
    <col min="1541" max="1541" width="10.28515625" style="1" customWidth="1"/>
    <col min="1542" max="1542" width="13" style="1" customWidth="1"/>
    <col min="1543" max="1543" width="8.28515625" style="1" customWidth="1"/>
    <col min="1544" max="1789" width="10" style="1"/>
    <col min="1790" max="1790" width="2.5703125" style="1" customWidth="1"/>
    <col min="1791" max="1791" width="7.140625" style="1" customWidth="1"/>
    <col min="1792" max="1792" width="23.5703125" style="1" customWidth="1"/>
    <col min="1793" max="1793" width="9.7109375" style="1" customWidth="1"/>
    <col min="1794" max="1794" width="4.7109375" style="1" customWidth="1"/>
    <col min="1795" max="1795" width="14.42578125" style="1" customWidth="1"/>
    <col min="1796" max="1796" width="11.140625" style="1" customWidth="1"/>
    <col min="1797" max="1797" width="10.28515625" style="1" customWidth="1"/>
    <col min="1798" max="1798" width="13" style="1" customWidth="1"/>
    <col min="1799" max="1799" width="8.28515625" style="1" customWidth="1"/>
    <col min="1800" max="2045" width="10" style="1"/>
    <col min="2046" max="2046" width="2.5703125" style="1" customWidth="1"/>
    <col min="2047" max="2047" width="7.140625" style="1" customWidth="1"/>
    <col min="2048" max="2048" width="23.5703125" style="1" customWidth="1"/>
    <col min="2049" max="2049" width="9.7109375" style="1" customWidth="1"/>
    <col min="2050" max="2050" width="4.7109375" style="1" customWidth="1"/>
    <col min="2051" max="2051" width="14.42578125" style="1" customWidth="1"/>
    <col min="2052" max="2052" width="11.140625" style="1" customWidth="1"/>
    <col min="2053" max="2053" width="10.28515625" style="1" customWidth="1"/>
    <col min="2054" max="2054" width="13" style="1" customWidth="1"/>
    <col min="2055" max="2055" width="8.28515625" style="1" customWidth="1"/>
    <col min="2056" max="2301" width="10" style="1"/>
    <col min="2302" max="2302" width="2.5703125" style="1" customWidth="1"/>
    <col min="2303" max="2303" width="7.140625" style="1" customWidth="1"/>
    <col min="2304" max="2304" width="23.5703125" style="1" customWidth="1"/>
    <col min="2305" max="2305" width="9.7109375" style="1" customWidth="1"/>
    <col min="2306" max="2306" width="4.7109375" style="1" customWidth="1"/>
    <col min="2307" max="2307" width="14.42578125" style="1" customWidth="1"/>
    <col min="2308" max="2308" width="11.140625" style="1" customWidth="1"/>
    <col min="2309" max="2309" width="10.28515625" style="1" customWidth="1"/>
    <col min="2310" max="2310" width="13" style="1" customWidth="1"/>
    <col min="2311" max="2311" width="8.28515625" style="1" customWidth="1"/>
    <col min="2312" max="2557" width="10" style="1"/>
    <col min="2558" max="2558" width="2.5703125" style="1" customWidth="1"/>
    <col min="2559" max="2559" width="7.140625" style="1" customWidth="1"/>
    <col min="2560" max="2560" width="23.5703125" style="1" customWidth="1"/>
    <col min="2561" max="2561" width="9.7109375" style="1" customWidth="1"/>
    <col min="2562" max="2562" width="4.7109375" style="1" customWidth="1"/>
    <col min="2563" max="2563" width="14.42578125" style="1" customWidth="1"/>
    <col min="2564" max="2564" width="11.140625" style="1" customWidth="1"/>
    <col min="2565" max="2565" width="10.28515625" style="1" customWidth="1"/>
    <col min="2566" max="2566" width="13" style="1" customWidth="1"/>
    <col min="2567" max="2567" width="8.28515625" style="1" customWidth="1"/>
    <col min="2568" max="2813" width="10" style="1"/>
    <col min="2814" max="2814" width="2.5703125" style="1" customWidth="1"/>
    <col min="2815" max="2815" width="7.140625" style="1" customWidth="1"/>
    <col min="2816" max="2816" width="23.5703125" style="1" customWidth="1"/>
    <col min="2817" max="2817" width="9.7109375" style="1" customWidth="1"/>
    <col min="2818" max="2818" width="4.7109375" style="1" customWidth="1"/>
    <col min="2819" max="2819" width="14.42578125" style="1" customWidth="1"/>
    <col min="2820" max="2820" width="11.140625" style="1" customWidth="1"/>
    <col min="2821" max="2821" width="10.28515625" style="1" customWidth="1"/>
    <col min="2822" max="2822" width="13" style="1" customWidth="1"/>
    <col min="2823" max="2823" width="8.28515625" style="1" customWidth="1"/>
    <col min="2824" max="3069" width="10" style="1"/>
    <col min="3070" max="3070" width="2.5703125" style="1" customWidth="1"/>
    <col min="3071" max="3071" width="7.140625" style="1" customWidth="1"/>
    <col min="3072" max="3072" width="23.5703125" style="1" customWidth="1"/>
    <col min="3073" max="3073" width="9.7109375" style="1" customWidth="1"/>
    <col min="3074" max="3074" width="4.7109375" style="1" customWidth="1"/>
    <col min="3075" max="3075" width="14.42578125" style="1" customWidth="1"/>
    <col min="3076" max="3076" width="11.140625" style="1" customWidth="1"/>
    <col min="3077" max="3077" width="10.28515625" style="1" customWidth="1"/>
    <col min="3078" max="3078" width="13" style="1" customWidth="1"/>
    <col min="3079" max="3079" width="8.28515625" style="1" customWidth="1"/>
    <col min="3080" max="3325" width="10" style="1"/>
    <col min="3326" max="3326" width="2.5703125" style="1" customWidth="1"/>
    <col min="3327" max="3327" width="7.140625" style="1" customWidth="1"/>
    <col min="3328" max="3328" width="23.5703125" style="1" customWidth="1"/>
    <col min="3329" max="3329" width="9.7109375" style="1" customWidth="1"/>
    <col min="3330" max="3330" width="4.7109375" style="1" customWidth="1"/>
    <col min="3331" max="3331" width="14.42578125" style="1" customWidth="1"/>
    <col min="3332" max="3332" width="11.140625" style="1" customWidth="1"/>
    <col min="3333" max="3333" width="10.28515625" style="1" customWidth="1"/>
    <col min="3334" max="3334" width="13" style="1" customWidth="1"/>
    <col min="3335" max="3335" width="8.28515625" style="1" customWidth="1"/>
    <col min="3336" max="3581" width="10" style="1"/>
    <col min="3582" max="3582" width="2.5703125" style="1" customWidth="1"/>
    <col min="3583" max="3583" width="7.140625" style="1" customWidth="1"/>
    <col min="3584" max="3584" width="23.5703125" style="1" customWidth="1"/>
    <col min="3585" max="3585" width="9.7109375" style="1" customWidth="1"/>
    <col min="3586" max="3586" width="4.7109375" style="1" customWidth="1"/>
    <col min="3587" max="3587" width="14.42578125" style="1" customWidth="1"/>
    <col min="3588" max="3588" width="11.140625" style="1" customWidth="1"/>
    <col min="3589" max="3589" width="10.28515625" style="1" customWidth="1"/>
    <col min="3590" max="3590" width="13" style="1" customWidth="1"/>
    <col min="3591" max="3591" width="8.28515625" style="1" customWidth="1"/>
    <col min="3592" max="3837" width="10" style="1"/>
    <col min="3838" max="3838" width="2.5703125" style="1" customWidth="1"/>
    <col min="3839" max="3839" width="7.140625" style="1" customWidth="1"/>
    <col min="3840" max="3840" width="23.5703125" style="1" customWidth="1"/>
    <col min="3841" max="3841" width="9.7109375" style="1" customWidth="1"/>
    <col min="3842" max="3842" width="4.7109375" style="1" customWidth="1"/>
    <col min="3843" max="3843" width="14.42578125" style="1" customWidth="1"/>
    <col min="3844" max="3844" width="11.140625" style="1" customWidth="1"/>
    <col min="3845" max="3845" width="10.28515625" style="1" customWidth="1"/>
    <col min="3846" max="3846" width="13" style="1" customWidth="1"/>
    <col min="3847" max="3847" width="8.28515625" style="1" customWidth="1"/>
    <col min="3848" max="4093" width="10" style="1"/>
    <col min="4094" max="4094" width="2.5703125" style="1" customWidth="1"/>
    <col min="4095" max="4095" width="7.140625" style="1" customWidth="1"/>
    <col min="4096" max="4096" width="23.5703125" style="1" customWidth="1"/>
    <col min="4097" max="4097" width="9.7109375" style="1" customWidth="1"/>
    <col min="4098" max="4098" width="4.7109375" style="1" customWidth="1"/>
    <col min="4099" max="4099" width="14.42578125" style="1" customWidth="1"/>
    <col min="4100" max="4100" width="11.140625" style="1" customWidth="1"/>
    <col min="4101" max="4101" width="10.28515625" style="1" customWidth="1"/>
    <col min="4102" max="4102" width="13" style="1" customWidth="1"/>
    <col min="4103" max="4103" width="8.28515625" style="1" customWidth="1"/>
    <col min="4104" max="4349" width="10" style="1"/>
    <col min="4350" max="4350" width="2.5703125" style="1" customWidth="1"/>
    <col min="4351" max="4351" width="7.140625" style="1" customWidth="1"/>
    <col min="4352" max="4352" width="23.5703125" style="1" customWidth="1"/>
    <col min="4353" max="4353" width="9.7109375" style="1" customWidth="1"/>
    <col min="4354" max="4354" width="4.7109375" style="1" customWidth="1"/>
    <col min="4355" max="4355" width="14.42578125" style="1" customWidth="1"/>
    <col min="4356" max="4356" width="11.140625" style="1" customWidth="1"/>
    <col min="4357" max="4357" width="10.28515625" style="1" customWidth="1"/>
    <col min="4358" max="4358" width="13" style="1" customWidth="1"/>
    <col min="4359" max="4359" width="8.28515625" style="1" customWidth="1"/>
    <col min="4360" max="4605" width="10" style="1"/>
    <col min="4606" max="4606" width="2.5703125" style="1" customWidth="1"/>
    <col min="4607" max="4607" width="7.140625" style="1" customWidth="1"/>
    <col min="4608" max="4608" width="23.5703125" style="1" customWidth="1"/>
    <col min="4609" max="4609" width="9.7109375" style="1" customWidth="1"/>
    <col min="4610" max="4610" width="4.7109375" style="1" customWidth="1"/>
    <col min="4611" max="4611" width="14.42578125" style="1" customWidth="1"/>
    <col min="4612" max="4612" width="11.140625" style="1" customWidth="1"/>
    <col min="4613" max="4613" width="10.28515625" style="1" customWidth="1"/>
    <col min="4614" max="4614" width="13" style="1" customWidth="1"/>
    <col min="4615" max="4615" width="8.28515625" style="1" customWidth="1"/>
    <col min="4616" max="4861" width="10" style="1"/>
    <col min="4862" max="4862" width="2.5703125" style="1" customWidth="1"/>
    <col min="4863" max="4863" width="7.140625" style="1" customWidth="1"/>
    <col min="4864" max="4864" width="23.5703125" style="1" customWidth="1"/>
    <col min="4865" max="4865" width="9.7109375" style="1" customWidth="1"/>
    <col min="4866" max="4866" width="4.7109375" style="1" customWidth="1"/>
    <col min="4867" max="4867" width="14.42578125" style="1" customWidth="1"/>
    <col min="4868" max="4868" width="11.140625" style="1" customWidth="1"/>
    <col min="4869" max="4869" width="10.28515625" style="1" customWidth="1"/>
    <col min="4870" max="4870" width="13" style="1" customWidth="1"/>
    <col min="4871" max="4871" width="8.28515625" style="1" customWidth="1"/>
    <col min="4872" max="5117" width="10" style="1"/>
    <col min="5118" max="5118" width="2.5703125" style="1" customWidth="1"/>
    <col min="5119" max="5119" width="7.140625" style="1" customWidth="1"/>
    <col min="5120" max="5120" width="23.5703125" style="1" customWidth="1"/>
    <col min="5121" max="5121" width="9.7109375" style="1" customWidth="1"/>
    <col min="5122" max="5122" width="4.7109375" style="1" customWidth="1"/>
    <col min="5123" max="5123" width="14.42578125" style="1" customWidth="1"/>
    <col min="5124" max="5124" width="11.140625" style="1" customWidth="1"/>
    <col min="5125" max="5125" width="10.28515625" style="1" customWidth="1"/>
    <col min="5126" max="5126" width="13" style="1" customWidth="1"/>
    <col min="5127" max="5127" width="8.28515625" style="1" customWidth="1"/>
    <col min="5128" max="5373" width="10" style="1"/>
    <col min="5374" max="5374" width="2.5703125" style="1" customWidth="1"/>
    <col min="5375" max="5375" width="7.140625" style="1" customWidth="1"/>
    <col min="5376" max="5376" width="23.5703125" style="1" customWidth="1"/>
    <col min="5377" max="5377" width="9.7109375" style="1" customWidth="1"/>
    <col min="5378" max="5378" width="4.7109375" style="1" customWidth="1"/>
    <col min="5379" max="5379" width="14.42578125" style="1" customWidth="1"/>
    <col min="5380" max="5380" width="11.140625" style="1" customWidth="1"/>
    <col min="5381" max="5381" width="10.28515625" style="1" customWidth="1"/>
    <col min="5382" max="5382" width="13" style="1" customWidth="1"/>
    <col min="5383" max="5383" width="8.28515625" style="1" customWidth="1"/>
    <col min="5384" max="5629" width="10" style="1"/>
    <col min="5630" max="5630" width="2.5703125" style="1" customWidth="1"/>
    <col min="5631" max="5631" width="7.140625" style="1" customWidth="1"/>
    <col min="5632" max="5632" width="23.5703125" style="1" customWidth="1"/>
    <col min="5633" max="5633" width="9.7109375" style="1" customWidth="1"/>
    <col min="5634" max="5634" width="4.7109375" style="1" customWidth="1"/>
    <col min="5635" max="5635" width="14.42578125" style="1" customWidth="1"/>
    <col min="5636" max="5636" width="11.140625" style="1" customWidth="1"/>
    <col min="5637" max="5637" width="10.28515625" style="1" customWidth="1"/>
    <col min="5638" max="5638" width="13" style="1" customWidth="1"/>
    <col min="5639" max="5639" width="8.28515625" style="1" customWidth="1"/>
    <col min="5640" max="5885" width="10" style="1"/>
    <col min="5886" max="5886" width="2.5703125" style="1" customWidth="1"/>
    <col min="5887" max="5887" width="7.140625" style="1" customWidth="1"/>
    <col min="5888" max="5888" width="23.5703125" style="1" customWidth="1"/>
    <col min="5889" max="5889" width="9.7109375" style="1" customWidth="1"/>
    <col min="5890" max="5890" width="4.7109375" style="1" customWidth="1"/>
    <col min="5891" max="5891" width="14.42578125" style="1" customWidth="1"/>
    <col min="5892" max="5892" width="11.140625" style="1" customWidth="1"/>
    <col min="5893" max="5893" width="10.28515625" style="1" customWidth="1"/>
    <col min="5894" max="5894" width="13" style="1" customWidth="1"/>
    <col min="5895" max="5895" width="8.28515625" style="1" customWidth="1"/>
    <col min="5896" max="6141" width="10" style="1"/>
    <col min="6142" max="6142" width="2.5703125" style="1" customWidth="1"/>
    <col min="6143" max="6143" width="7.140625" style="1" customWidth="1"/>
    <col min="6144" max="6144" width="23.5703125" style="1" customWidth="1"/>
    <col min="6145" max="6145" width="9.7109375" style="1" customWidth="1"/>
    <col min="6146" max="6146" width="4.7109375" style="1" customWidth="1"/>
    <col min="6147" max="6147" width="14.42578125" style="1" customWidth="1"/>
    <col min="6148" max="6148" width="11.140625" style="1" customWidth="1"/>
    <col min="6149" max="6149" width="10.28515625" style="1" customWidth="1"/>
    <col min="6150" max="6150" width="13" style="1" customWidth="1"/>
    <col min="6151" max="6151" width="8.28515625" style="1" customWidth="1"/>
    <col min="6152" max="6397" width="10" style="1"/>
    <col min="6398" max="6398" width="2.5703125" style="1" customWidth="1"/>
    <col min="6399" max="6399" width="7.140625" style="1" customWidth="1"/>
    <col min="6400" max="6400" width="23.5703125" style="1" customWidth="1"/>
    <col min="6401" max="6401" width="9.7109375" style="1" customWidth="1"/>
    <col min="6402" max="6402" width="4.7109375" style="1" customWidth="1"/>
    <col min="6403" max="6403" width="14.42578125" style="1" customWidth="1"/>
    <col min="6404" max="6404" width="11.140625" style="1" customWidth="1"/>
    <col min="6405" max="6405" width="10.28515625" style="1" customWidth="1"/>
    <col min="6406" max="6406" width="13" style="1" customWidth="1"/>
    <col min="6407" max="6407" width="8.28515625" style="1" customWidth="1"/>
    <col min="6408" max="6653" width="10" style="1"/>
    <col min="6654" max="6654" width="2.5703125" style="1" customWidth="1"/>
    <col min="6655" max="6655" width="7.140625" style="1" customWidth="1"/>
    <col min="6656" max="6656" width="23.5703125" style="1" customWidth="1"/>
    <col min="6657" max="6657" width="9.7109375" style="1" customWidth="1"/>
    <col min="6658" max="6658" width="4.7109375" style="1" customWidth="1"/>
    <col min="6659" max="6659" width="14.42578125" style="1" customWidth="1"/>
    <col min="6660" max="6660" width="11.140625" style="1" customWidth="1"/>
    <col min="6661" max="6661" width="10.28515625" style="1" customWidth="1"/>
    <col min="6662" max="6662" width="13" style="1" customWidth="1"/>
    <col min="6663" max="6663" width="8.28515625" style="1" customWidth="1"/>
    <col min="6664" max="6909" width="10" style="1"/>
    <col min="6910" max="6910" width="2.5703125" style="1" customWidth="1"/>
    <col min="6911" max="6911" width="7.140625" style="1" customWidth="1"/>
    <col min="6912" max="6912" width="23.5703125" style="1" customWidth="1"/>
    <col min="6913" max="6913" width="9.7109375" style="1" customWidth="1"/>
    <col min="6914" max="6914" width="4.7109375" style="1" customWidth="1"/>
    <col min="6915" max="6915" width="14.42578125" style="1" customWidth="1"/>
    <col min="6916" max="6916" width="11.140625" style="1" customWidth="1"/>
    <col min="6917" max="6917" width="10.28515625" style="1" customWidth="1"/>
    <col min="6918" max="6918" width="13" style="1" customWidth="1"/>
    <col min="6919" max="6919" width="8.28515625" style="1" customWidth="1"/>
    <col min="6920" max="7165" width="10" style="1"/>
    <col min="7166" max="7166" width="2.5703125" style="1" customWidth="1"/>
    <col min="7167" max="7167" width="7.140625" style="1" customWidth="1"/>
    <col min="7168" max="7168" width="23.5703125" style="1" customWidth="1"/>
    <col min="7169" max="7169" width="9.7109375" style="1" customWidth="1"/>
    <col min="7170" max="7170" width="4.7109375" style="1" customWidth="1"/>
    <col min="7171" max="7171" width="14.42578125" style="1" customWidth="1"/>
    <col min="7172" max="7172" width="11.140625" style="1" customWidth="1"/>
    <col min="7173" max="7173" width="10.28515625" style="1" customWidth="1"/>
    <col min="7174" max="7174" width="13" style="1" customWidth="1"/>
    <col min="7175" max="7175" width="8.28515625" style="1" customWidth="1"/>
    <col min="7176" max="7421" width="10" style="1"/>
    <col min="7422" max="7422" width="2.5703125" style="1" customWidth="1"/>
    <col min="7423" max="7423" width="7.140625" style="1" customWidth="1"/>
    <col min="7424" max="7424" width="23.5703125" style="1" customWidth="1"/>
    <col min="7425" max="7425" width="9.7109375" style="1" customWidth="1"/>
    <col min="7426" max="7426" width="4.7109375" style="1" customWidth="1"/>
    <col min="7427" max="7427" width="14.42578125" style="1" customWidth="1"/>
    <col min="7428" max="7428" width="11.140625" style="1" customWidth="1"/>
    <col min="7429" max="7429" width="10.28515625" style="1" customWidth="1"/>
    <col min="7430" max="7430" width="13" style="1" customWidth="1"/>
    <col min="7431" max="7431" width="8.28515625" style="1" customWidth="1"/>
    <col min="7432" max="7677" width="10" style="1"/>
    <col min="7678" max="7678" width="2.5703125" style="1" customWidth="1"/>
    <col min="7679" max="7679" width="7.140625" style="1" customWidth="1"/>
    <col min="7680" max="7680" width="23.5703125" style="1" customWidth="1"/>
    <col min="7681" max="7681" width="9.7109375" style="1" customWidth="1"/>
    <col min="7682" max="7682" width="4.7109375" style="1" customWidth="1"/>
    <col min="7683" max="7683" width="14.42578125" style="1" customWidth="1"/>
    <col min="7684" max="7684" width="11.140625" style="1" customWidth="1"/>
    <col min="7685" max="7685" width="10.28515625" style="1" customWidth="1"/>
    <col min="7686" max="7686" width="13" style="1" customWidth="1"/>
    <col min="7687" max="7687" width="8.28515625" style="1" customWidth="1"/>
    <col min="7688" max="7933" width="10" style="1"/>
    <col min="7934" max="7934" width="2.5703125" style="1" customWidth="1"/>
    <col min="7935" max="7935" width="7.140625" style="1" customWidth="1"/>
    <col min="7936" max="7936" width="23.5703125" style="1" customWidth="1"/>
    <col min="7937" max="7937" width="9.7109375" style="1" customWidth="1"/>
    <col min="7938" max="7938" width="4.7109375" style="1" customWidth="1"/>
    <col min="7939" max="7939" width="14.42578125" style="1" customWidth="1"/>
    <col min="7940" max="7940" width="11.140625" style="1" customWidth="1"/>
    <col min="7941" max="7941" width="10.28515625" style="1" customWidth="1"/>
    <col min="7942" max="7942" width="13" style="1" customWidth="1"/>
    <col min="7943" max="7943" width="8.28515625" style="1" customWidth="1"/>
    <col min="7944" max="8189" width="10" style="1"/>
    <col min="8190" max="8190" width="2.5703125" style="1" customWidth="1"/>
    <col min="8191" max="8191" width="7.140625" style="1" customWidth="1"/>
    <col min="8192" max="8192" width="23.5703125" style="1" customWidth="1"/>
    <col min="8193" max="8193" width="9.7109375" style="1" customWidth="1"/>
    <col min="8194" max="8194" width="4.7109375" style="1" customWidth="1"/>
    <col min="8195" max="8195" width="14.42578125" style="1" customWidth="1"/>
    <col min="8196" max="8196" width="11.140625" style="1" customWidth="1"/>
    <col min="8197" max="8197" width="10.28515625" style="1" customWidth="1"/>
    <col min="8198" max="8198" width="13" style="1" customWidth="1"/>
    <col min="8199" max="8199" width="8.28515625" style="1" customWidth="1"/>
    <col min="8200" max="8445" width="10" style="1"/>
    <col min="8446" max="8446" width="2.5703125" style="1" customWidth="1"/>
    <col min="8447" max="8447" width="7.140625" style="1" customWidth="1"/>
    <col min="8448" max="8448" width="23.5703125" style="1" customWidth="1"/>
    <col min="8449" max="8449" width="9.7109375" style="1" customWidth="1"/>
    <col min="8450" max="8450" width="4.7109375" style="1" customWidth="1"/>
    <col min="8451" max="8451" width="14.42578125" style="1" customWidth="1"/>
    <col min="8452" max="8452" width="11.140625" style="1" customWidth="1"/>
    <col min="8453" max="8453" width="10.28515625" style="1" customWidth="1"/>
    <col min="8454" max="8454" width="13" style="1" customWidth="1"/>
    <col min="8455" max="8455" width="8.28515625" style="1" customWidth="1"/>
    <col min="8456" max="8701" width="10" style="1"/>
    <col min="8702" max="8702" width="2.5703125" style="1" customWidth="1"/>
    <col min="8703" max="8703" width="7.140625" style="1" customWidth="1"/>
    <col min="8704" max="8704" width="23.5703125" style="1" customWidth="1"/>
    <col min="8705" max="8705" width="9.7109375" style="1" customWidth="1"/>
    <col min="8706" max="8706" width="4.7109375" style="1" customWidth="1"/>
    <col min="8707" max="8707" width="14.42578125" style="1" customWidth="1"/>
    <col min="8708" max="8708" width="11.140625" style="1" customWidth="1"/>
    <col min="8709" max="8709" width="10.28515625" style="1" customWidth="1"/>
    <col min="8710" max="8710" width="13" style="1" customWidth="1"/>
    <col min="8711" max="8711" width="8.28515625" style="1" customWidth="1"/>
    <col min="8712" max="8957" width="10" style="1"/>
    <col min="8958" max="8958" width="2.5703125" style="1" customWidth="1"/>
    <col min="8959" max="8959" width="7.140625" style="1" customWidth="1"/>
    <col min="8960" max="8960" width="23.5703125" style="1" customWidth="1"/>
    <col min="8961" max="8961" width="9.7109375" style="1" customWidth="1"/>
    <col min="8962" max="8962" width="4.7109375" style="1" customWidth="1"/>
    <col min="8963" max="8963" width="14.42578125" style="1" customWidth="1"/>
    <col min="8964" max="8964" width="11.140625" style="1" customWidth="1"/>
    <col min="8965" max="8965" width="10.28515625" style="1" customWidth="1"/>
    <col min="8966" max="8966" width="13" style="1" customWidth="1"/>
    <col min="8967" max="8967" width="8.28515625" style="1" customWidth="1"/>
    <col min="8968" max="9213" width="10" style="1"/>
    <col min="9214" max="9214" width="2.5703125" style="1" customWidth="1"/>
    <col min="9215" max="9215" width="7.140625" style="1" customWidth="1"/>
    <col min="9216" max="9216" width="23.5703125" style="1" customWidth="1"/>
    <col min="9217" max="9217" width="9.7109375" style="1" customWidth="1"/>
    <col min="9218" max="9218" width="4.7109375" style="1" customWidth="1"/>
    <col min="9219" max="9219" width="14.42578125" style="1" customWidth="1"/>
    <col min="9220" max="9220" width="11.140625" style="1" customWidth="1"/>
    <col min="9221" max="9221" width="10.28515625" style="1" customWidth="1"/>
    <col min="9222" max="9222" width="13" style="1" customWidth="1"/>
    <col min="9223" max="9223" width="8.28515625" style="1" customWidth="1"/>
    <col min="9224" max="9469" width="10" style="1"/>
    <col min="9470" max="9470" width="2.5703125" style="1" customWidth="1"/>
    <col min="9471" max="9471" width="7.140625" style="1" customWidth="1"/>
    <col min="9472" max="9472" width="23.5703125" style="1" customWidth="1"/>
    <col min="9473" max="9473" width="9.7109375" style="1" customWidth="1"/>
    <col min="9474" max="9474" width="4.7109375" style="1" customWidth="1"/>
    <col min="9475" max="9475" width="14.42578125" style="1" customWidth="1"/>
    <col min="9476" max="9476" width="11.140625" style="1" customWidth="1"/>
    <col min="9477" max="9477" width="10.28515625" style="1" customWidth="1"/>
    <col min="9478" max="9478" width="13" style="1" customWidth="1"/>
    <col min="9479" max="9479" width="8.28515625" style="1" customWidth="1"/>
    <col min="9480" max="9725" width="10" style="1"/>
    <col min="9726" max="9726" width="2.5703125" style="1" customWidth="1"/>
    <col min="9727" max="9727" width="7.140625" style="1" customWidth="1"/>
    <col min="9728" max="9728" width="23.5703125" style="1" customWidth="1"/>
    <col min="9729" max="9729" width="9.7109375" style="1" customWidth="1"/>
    <col min="9730" max="9730" width="4.7109375" style="1" customWidth="1"/>
    <col min="9731" max="9731" width="14.42578125" style="1" customWidth="1"/>
    <col min="9732" max="9732" width="11.140625" style="1" customWidth="1"/>
    <col min="9733" max="9733" width="10.28515625" style="1" customWidth="1"/>
    <col min="9734" max="9734" width="13" style="1" customWidth="1"/>
    <col min="9735" max="9735" width="8.28515625" style="1" customWidth="1"/>
    <col min="9736" max="9981" width="10" style="1"/>
    <col min="9982" max="9982" width="2.5703125" style="1" customWidth="1"/>
    <col min="9983" max="9983" width="7.140625" style="1" customWidth="1"/>
    <col min="9984" max="9984" width="23.5703125" style="1" customWidth="1"/>
    <col min="9985" max="9985" width="9.7109375" style="1" customWidth="1"/>
    <col min="9986" max="9986" width="4.7109375" style="1" customWidth="1"/>
    <col min="9987" max="9987" width="14.42578125" style="1" customWidth="1"/>
    <col min="9988" max="9988" width="11.140625" style="1" customWidth="1"/>
    <col min="9989" max="9989" width="10.28515625" style="1" customWidth="1"/>
    <col min="9990" max="9990" width="13" style="1" customWidth="1"/>
    <col min="9991" max="9991" width="8.28515625" style="1" customWidth="1"/>
    <col min="9992" max="10237" width="10" style="1"/>
    <col min="10238" max="10238" width="2.5703125" style="1" customWidth="1"/>
    <col min="10239" max="10239" width="7.140625" style="1" customWidth="1"/>
    <col min="10240" max="10240" width="23.5703125" style="1" customWidth="1"/>
    <col min="10241" max="10241" width="9.7109375" style="1" customWidth="1"/>
    <col min="10242" max="10242" width="4.7109375" style="1" customWidth="1"/>
    <col min="10243" max="10243" width="14.42578125" style="1" customWidth="1"/>
    <col min="10244" max="10244" width="11.140625" style="1" customWidth="1"/>
    <col min="10245" max="10245" width="10.28515625" style="1" customWidth="1"/>
    <col min="10246" max="10246" width="13" style="1" customWidth="1"/>
    <col min="10247" max="10247" width="8.28515625" style="1" customWidth="1"/>
    <col min="10248" max="10493" width="10" style="1"/>
    <col min="10494" max="10494" width="2.5703125" style="1" customWidth="1"/>
    <col min="10495" max="10495" width="7.140625" style="1" customWidth="1"/>
    <col min="10496" max="10496" width="23.5703125" style="1" customWidth="1"/>
    <col min="10497" max="10497" width="9.7109375" style="1" customWidth="1"/>
    <col min="10498" max="10498" width="4.7109375" style="1" customWidth="1"/>
    <col min="10499" max="10499" width="14.42578125" style="1" customWidth="1"/>
    <col min="10500" max="10500" width="11.140625" style="1" customWidth="1"/>
    <col min="10501" max="10501" width="10.28515625" style="1" customWidth="1"/>
    <col min="10502" max="10502" width="13" style="1" customWidth="1"/>
    <col min="10503" max="10503" width="8.28515625" style="1" customWidth="1"/>
    <col min="10504" max="10749" width="10" style="1"/>
    <col min="10750" max="10750" width="2.5703125" style="1" customWidth="1"/>
    <col min="10751" max="10751" width="7.140625" style="1" customWidth="1"/>
    <col min="10752" max="10752" width="23.5703125" style="1" customWidth="1"/>
    <col min="10753" max="10753" width="9.7109375" style="1" customWidth="1"/>
    <col min="10754" max="10754" width="4.7109375" style="1" customWidth="1"/>
    <col min="10755" max="10755" width="14.42578125" style="1" customWidth="1"/>
    <col min="10756" max="10756" width="11.140625" style="1" customWidth="1"/>
    <col min="10757" max="10757" width="10.28515625" style="1" customWidth="1"/>
    <col min="10758" max="10758" width="13" style="1" customWidth="1"/>
    <col min="10759" max="10759" width="8.28515625" style="1" customWidth="1"/>
    <col min="10760" max="11005" width="10" style="1"/>
    <col min="11006" max="11006" width="2.5703125" style="1" customWidth="1"/>
    <col min="11007" max="11007" width="7.140625" style="1" customWidth="1"/>
    <col min="11008" max="11008" width="23.5703125" style="1" customWidth="1"/>
    <col min="11009" max="11009" width="9.7109375" style="1" customWidth="1"/>
    <col min="11010" max="11010" width="4.7109375" style="1" customWidth="1"/>
    <col min="11011" max="11011" width="14.42578125" style="1" customWidth="1"/>
    <col min="11012" max="11012" width="11.140625" style="1" customWidth="1"/>
    <col min="11013" max="11013" width="10.28515625" style="1" customWidth="1"/>
    <col min="11014" max="11014" width="13" style="1" customWidth="1"/>
    <col min="11015" max="11015" width="8.28515625" style="1" customWidth="1"/>
    <col min="11016" max="11261" width="10" style="1"/>
    <col min="11262" max="11262" width="2.5703125" style="1" customWidth="1"/>
    <col min="11263" max="11263" width="7.140625" style="1" customWidth="1"/>
    <col min="11264" max="11264" width="23.5703125" style="1" customWidth="1"/>
    <col min="11265" max="11265" width="9.7109375" style="1" customWidth="1"/>
    <col min="11266" max="11266" width="4.7109375" style="1" customWidth="1"/>
    <col min="11267" max="11267" width="14.42578125" style="1" customWidth="1"/>
    <col min="11268" max="11268" width="11.140625" style="1" customWidth="1"/>
    <col min="11269" max="11269" width="10.28515625" style="1" customWidth="1"/>
    <col min="11270" max="11270" width="13" style="1" customWidth="1"/>
    <col min="11271" max="11271" width="8.28515625" style="1" customWidth="1"/>
    <col min="11272" max="11517" width="10" style="1"/>
    <col min="11518" max="11518" width="2.5703125" style="1" customWidth="1"/>
    <col min="11519" max="11519" width="7.140625" style="1" customWidth="1"/>
    <col min="11520" max="11520" width="23.5703125" style="1" customWidth="1"/>
    <col min="11521" max="11521" width="9.7109375" style="1" customWidth="1"/>
    <col min="11522" max="11522" width="4.7109375" style="1" customWidth="1"/>
    <col min="11523" max="11523" width="14.42578125" style="1" customWidth="1"/>
    <col min="11524" max="11524" width="11.140625" style="1" customWidth="1"/>
    <col min="11525" max="11525" width="10.28515625" style="1" customWidth="1"/>
    <col min="11526" max="11526" width="13" style="1" customWidth="1"/>
    <col min="11527" max="11527" width="8.28515625" style="1" customWidth="1"/>
    <col min="11528" max="11773" width="10" style="1"/>
    <col min="11774" max="11774" width="2.5703125" style="1" customWidth="1"/>
    <col min="11775" max="11775" width="7.140625" style="1" customWidth="1"/>
    <col min="11776" max="11776" width="23.5703125" style="1" customWidth="1"/>
    <col min="11777" max="11777" width="9.7109375" style="1" customWidth="1"/>
    <col min="11778" max="11778" width="4.7109375" style="1" customWidth="1"/>
    <col min="11779" max="11779" width="14.42578125" style="1" customWidth="1"/>
    <col min="11780" max="11780" width="11.140625" style="1" customWidth="1"/>
    <col min="11781" max="11781" width="10.28515625" style="1" customWidth="1"/>
    <col min="11782" max="11782" width="13" style="1" customWidth="1"/>
    <col min="11783" max="11783" width="8.28515625" style="1" customWidth="1"/>
    <col min="11784" max="12029" width="10" style="1"/>
    <col min="12030" max="12030" width="2.5703125" style="1" customWidth="1"/>
    <col min="12031" max="12031" width="7.140625" style="1" customWidth="1"/>
    <col min="12032" max="12032" width="23.5703125" style="1" customWidth="1"/>
    <col min="12033" max="12033" width="9.7109375" style="1" customWidth="1"/>
    <col min="12034" max="12034" width="4.7109375" style="1" customWidth="1"/>
    <col min="12035" max="12035" width="14.42578125" style="1" customWidth="1"/>
    <col min="12036" max="12036" width="11.140625" style="1" customWidth="1"/>
    <col min="12037" max="12037" width="10.28515625" style="1" customWidth="1"/>
    <col min="12038" max="12038" width="13" style="1" customWidth="1"/>
    <col min="12039" max="12039" width="8.28515625" style="1" customWidth="1"/>
    <col min="12040" max="12285" width="10" style="1"/>
    <col min="12286" max="12286" width="2.5703125" style="1" customWidth="1"/>
    <col min="12287" max="12287" width="7.140625" style="1" customWidth="1"/>
    <col min="12288" max="12288" width="23.5703125" style="1" customWidth="1"/>
    <col min="12289" max="12289" width="9.7109375" style="1" customWidth="1"/>
    <col min="12290" max="12290" width="4.7109375" style="1" customWidth="1"/>
    <col min="12291" max="12291" width="14.42578125" style="1" customWidth="1"/>
    <col min="12292" max="12292" width="11.140625" style="1" customWidth="1"/>
    <col min="12293" max="12293" width="10.28515625" style="1" customWidth="1"/>
    <col min="12294" max="12294" width="13" style="1" customWidth="1"/>
    <col min="12295" max="12295" width="8.28515625" style="1" customWidth="1"/>
    <col min="12296" max="12541" width="10" style="1"/>
    <col min="12542" max="12542" width="2.5703125" style="1" customWidth="1"/>
    <col min="12543" max="12543" width="7.140625" style="1" customWidth="1"/>
    <col min="12544" max="12544" width="23.5703125" style="1" customWidth="1"/>
    <col min="12545" max="12545" width="9.7109375" style="1" customWidth="1"/>
    <col min="12546" max="12546" width="4.7109375" style="1" customWidth="1"/>
    <col min="12547" max="12547" width="14.42578125" style="1" customWidth="1"/>
    <col min="12548" max="12548" width="11.140625" style="1" customWidth="1"/>
    <col min="12549" max="12549" width="10.28515625" style="1" customWidth="1"/>
    <col min="12550" max="12550" width="13" style="1" customWidth="1"/>
    <col min="12551" max="12551" width="8.28515625" style="1" customWidth="1"/>
    <col min="12552" max="12797" width="10" style="1"/>
    <col min="12798" max="12798" width="2.5703125" style="1" customWidth="1"/>
    <col min="12799" max="12799" width="7.140625" style="1" customWidth="1"/>
    <col min="12800" max="12800" width="23.5703125" style="1" customWidth="1"/>
    <col min="12801" max="12801" width="9.7109375" style="1" customWidth="1"/>
    <col min="12802" max="12802" width="4.7109375" style="1" customWidth="1"/>
    <col min="12803" max="12803" width="14.42578125" style="1" customWidth="1"/>
    <col min="12804" max="12804" width="11.140625" style="1" customWidth="1"/>
    <col min="12805" max="12805" width="10.28515625" style="1" customWidth="1"/>
    <col min="12806" max="12806" width="13" style="1" customWidth="1"/>
    <col min="12807" max="12807" width="8.28515625" style="1" customWidth="1"/>
    <col min="12808" max="13053" width="10" style="1"/>
    <col min="13054" max="13054" width="2.5703125" style="1" customWidth="1"/>
    <col min="13055" max="13055" width="7.140625" style="1" customWidth="1"/>
    <col min="13056" max="13056" width="23.5703125" style="1" customWidth="1"/>
    <col min="13057" max="13057" width="9.7109375" style="1" customWidth="1"/>
    <col min="13058" max="13058" width="4.7109375" style="1" customWidth="1"/>
    <col min="13059" max="13059" width="14.42578125" style="1" customWidth="1"/>
    <col min="13060" max="13060" width="11.140625" style="1" customWidth="1"/>
    <col min="13061" max="13061" width="10.28515625" style="1" customWidth="1"/>
    <col min="13062" max="13062" width="13" style="1" customWidth="1"/>
    <col min="13063" max="13063" width="8.28515625" style="1" customWidth="1"/>
    <col min="13064" max="13309" width="10" style="1"/>
    <col min="13310" max="13310" width="2.5703125" style="1" customWidth="1"/>
    <col min="13311" max="13311" width="7.140625" style="1" customWidth="1"/>
    <col min="13312" max="13312" width="23.5703125" style="1" customWidth="1"/>
    <col min="13313" max="13313" width="9.7109375" style="1" customWidth="1"/>
    <col min="13314" max="13314" width="4.7109375" style="1" customWidth="1"/>
    <col min="13315" max="13315" width="14.42578125" style="1" customWidth="1"/>
    <col min="13316" max="13316" width="11.140625" style="1" customWidth="1"/>
    <col min="13317" max="13317" width="10.28515625" style="1" customWidth="1"/>
    <col min="13318" max="13318" width="13" style="1" customWidth="1"/>
    <col min="13319" max="13319" width="8.28515625" style="1" customWidth="1"/>
    <col min="13320" max="13565" width="10" style="1"/>
    <col min="13566" max="13566" width="2.5703125" style="1" customWidth="1"/>
    <col min="13567" max="13567" width="7.140625" style="1" customWidth="1"/>
    <col min="13568" max="13568" width="23.5703125" style="1" customWidth="1"/>
    <col min="13569" max="13569" width="9.7109375" style="1" customWidth="1"/>
    <col min="13570" max="13570" width="4.7109375" style="1" customWidth="1"/>
    <col min="13571" max="13571" width="14.42578125" style="1" customWidth="1"/>
    <col min="13572" max="13572" width="11.140625" style="1" customWidth="1"/>
    <col min="13573" max="13573" width="10.28515625" style="1" customWidth="1"/>
    <col min="13574" max="13574" width="13" style="1" customWidth="1"/>
    <col min="13575" max="13575" width="8.28515625" style="1" customWidth="1"/>
    <col min="13576" max="13821" width="10" style="1"/>
    <col min="13822" max="13822" width="2.5703125" style="1" customWidth="1"/>
    <col min="13823" max="13823" width="7.140625" style="1" customWidth="1"/>
    <col min="13824" max="13824" width="23.5703125" style="1" customWidth="1"/>
    <col min="13825" max="13825" width="9.7109375" style="1" customWidth="1"/>
    <col min="13826" max="13826" width="4.7109375" style="1" customWidth="1"/>
    <col min="13827" max="13827" width="14.42578125" style="1" customWidth="1"/>
    <col min="13828" max="13828" width="11.140625" style="1" customWidth="1"/>
    <col min="13829" max="13829" width="10.28515625" style="1" customWidth="1"/>
    <col min="13830" max="13830" width="13" style="1" customWidth="1"/>
    <col min="13831" max="13831" width="8.28515625" style="1" customWidth="1"/>
    <col min="13832" max="14077" width="10" style="1"/>
    <col min="14078" max="14078" width="2.5703125" style="1" customWidth="1"/>
    <col min="14079" max="14079" width="7.140625" style="1" customWidth="1"/>
    <col min="14080" max="14080" width="23.5703125" style="1" customWidth="1"/>
    <col min="14081" max="14081" width="9.7109375" style="1" customWidth="1"/>
    <col min="14082" max="14082" width="4.7109375" style="1" customWidth="1"/>
    <col min="14083" max="14083" width="14.42578125" style="1" customWidth="1"/>
    <col min="14084" max="14084" width="11.140625" style="1" customWidth="1"/>
    <col min="14085" max="14085" width="10.28515625" style="1" customWidth="1"/>
    <col min="14086" max="14086" width="13" style="1" customWidth="1"/>
    <col min="14087" max="14087" width="8.28515625" style="1" customWidth="1"/>
    <col min="14088" max="14333" width="10" style="1"/>
    <col min="14334" max="14334" width="2.5703125" style="1" customWidth="1"/>
    <col min="14335" max="14335" width="7.140625" style="1" customWidth="1"/>
    <col min="14336" max="14336" width="23.5703125" style="1" customWidth="1"/>
    <col min="14337" max="14337" width="9.7109375" style="1" customWidth="1"/>
    <col min="14338" max="14338" width="4.7109375" style="1" customWidth="1"/>
    <col min="14339" max="14339" width="14.42578125" style="1" customWidth="1"/>
    <col min="14340" max="14340" width="11.140625" style="1" customWidth="1"/>
    <col min="14341" max="14341" width="10.28515625" style="1" customWidth="1"/>
    <col min="14342" max="14342" width="13" style="1" customWidth="1"/>
    <col min="14343" max="14343" width="8.28515625" style="1" customWidth="1"/>
    <col min="14344" max="14589" width="10" style="1"/>
    <col min="14590" max="14590" width="2.5703125" style="1" customWidth="1"/>
    <col min="14591" max="14591" width="7.140625" style="1" customWidth="1"/>
    <col min="14592" max="14592" width="23.5703125" style="1" customWidth="1"/>
    <col min="14593" max="14593" width="9.7109375" style="1" customWidth="1"/>
    <col min="14594" max="14594" width="4.7109375" style="1" customWidth="1"/>
    <col min="14595" max="14595" width="14.42578125" style="1" customWidth="1"/>
    <col min="14596" max="14596" width="11.140625" style="1" customWidth="1"/>
    <col min="14597" max="14597" width="10.28515625" style="1" customWidth="1"/>
    <col min="14598" max="14598" width="13" style="1" customWidth="1"/>
    <col min="14599" max="14599" width="8.28515625" style="1" customWidth="1"/>
    <col min="14600" max="14845" width="10" style="1"/>
    <col min="14846" max="14846" width="2.5703125" style="1" customWidth="1"/>
    <col min="14847" max="14847" width="7.140625" style="1" customWidth="1"/>
    <col min="14848" max="14848" width="23.5703125" style="1" customWidth="1"/>
    <col min="14849" max="14849" width="9.7109375" style="1" customWidth="1"/>
    <col min="14850" max="14850" width="4.7109375" style="1" customWidth="1"/>
    <col min="14851" max="14851" width="14.42578125" style="1" customWidth="1"/>
    <col min="14852" max="14852" width="11.140625" style="1" customWidth="1"/>
    <col min="14853" max="14853" width="10.28515625" style="1" customWidth="1"/>
    <col min="14854" max="14854" width="13" style="1" customWidth="1"/>
    <col min="14855" max="14855" width="8.28515625" style="1" customWidth="1"/>
    <col min="14856" max="15101" width="10" style="1"/>
    <col min="15102" max="15102" width="2.5703125" style="1" customWidth="1"/>
    <col min="15103" max="15103" width="7.140625" style="1" customWidth="1"/>
    <col min="15104" max="15104" width="23.5703125" style="1" customWidth="1"/>
    <col min="15105" max="15105" width="9.7109375" style="1" customWidth="1"/>
    <col min="15106" max="15106" width="4.7109375" style="1" customWidth="1"/>
    <col min="15107" max="15107" width="14.42578125" style="1" customWidth="1"/>
    <col min="15108" max="15108" width="11.140625" style="1" customWidth="1"/>
    <col min="15109" max="15109" width="10.28515625" style="1" customWidth="1"/>
    <col min="15110" max="15110" width="13" style="1" customWidth="1"/>
    <col min="15111" max="15111" width="8.28515625" style="1" customWidth="1"/>
    <col min="15112" max="15357" width="10" style="1"/>
    <col min="15358" max="15358" width="2.5703125" style="1" customWidth="1"/>
    <col min="15359" max="15359" width="7.140625" style="1" customWidth="1"/>
    <col min="15360" max="15360" width="23.5703125" style="1" customWidth="1"/>
    <col min="15361" max="15361" width="9.7109375" style="1" customWidth="1"/>
    <col min="15362" max="15362" width="4.7109375" style="1" customWidth="1"/>
    <col min="15363" max="15363" width="14.42578125" style="1" customWidth="1"/>
    <col min="15364" max="15364" width="11.140625" style="1" customWidth="1"/>
    <col min="15365" max="15365" width="10.28515625" style="1" customWidth="1"/>
    <col min="15366" max="15366" width="13" style="1" customWidth="1"/>
    <col min="15367" max="15367" width="8.28515625" style="1" customWidth="1"/>
    <col min="15368" max="15613" width="10" style="1"/>
    <col min="15614" max="15614" width="2.5703125" style="1" customWidth="1"/>
    <col min="15615" max="15615" width="7.140625" style="1" customWidth="1"/>
    <col min="15616" max="15616" width="23.5703125" style="1" customWidth="1"/>
    <col min="15617" max="15617" width="9.7109375" style="1" customWidth="1"/>
    <col min="15618" max="15618" width="4.7109375" style="1" customWidth="1"/>
    <col min="15619" max="15619" width="14.42578125" style="1" customWidth="1"/>
    <col min="15620" max="15620" width="11.140625" style="1" customWidth="1"/>
    <col min="15621" max="15621" width="10.28515625" style="1" customWidth="1"/>
    <col min="15622" max="15622" width="13" style="1" customWidth="1"/>
    <col min="15623" max="15623" width="8.28515625" style="1" customWidth="1"/>
    <col min="15624" max="15869" width="10" style="1"/>
    <col min="15870" max="15870" width="2.5703125" style="1" customWidth="1"/>
    <col min="15871" max="15871" width="7.140625" style="1" customWidth="1"/>
    <col min="15872" max="15872" width="23.5703125" style="1" customWidth="1"/>
    <col min="15873" max="15873" width="9.7109375" style="1" customWidth="1"/>
    <col min="15874" max="15874" width="4.7109375" style="1" customWidth="1"/>
    <col min="15875" max="15875" width="14.42578125" style="1" customWidth="1"/>
    <col min="15876" max="15876" width="11.140625" style="1" customWidth="1"/>
    <col min="15877" max="15877" width="10.28515625" style="1" customWidth="1"/>
    <col min="15878" max="15878" width="13" style="1" customWidth="1"/>
    <col min="15879" max="15879" width="8.28515625" style="1" customWidth="1"/>
    <col min="15880" max="16125" width="10" style="1"/>
    <col min="16126" max="16126" width="2.5703125" style="1" customWidth="1"/>
    <col min="16127" max="16127" width="7.140625" style="1" customWidth="1"/>
    <col min="16128" max="16128" width="23.5703125" style="1" customWidth="1"/>
    <col min="16129" max="16129" width="9.7109375" style="1" customWidth="1"/>
    <col min="16130" max="16130" width="4.7109375" style="1" customWidth="1"/>
    <col min="16131" max="16131" width="14.42578125" style="1" customWidth="1"/>
    <col min="16132" max="16132" width="11.140625" style="1" customWidth="1"/>
    <col min="16133" max="16133" width="10.28515625" style="1" customWidth="1"/>
    <col min="16134" max="16134" width="13" style="1" customWidth="1"/>
    <col min="16135" max="16135" width="8.28515625" style="1" customWidth="1"/>
    <col min="16136" max="16384" width="10" style="1"/>
  </cols>
  <sheetData>
    <row r="1" spans="1:7">
      <c r="A1" s="17" t="str">
        <f>RevReqSummary!A1</f>
        <v>PacifiCorp General Rate Case UE-140617</v>
      </c>
      <c r="B1" s="23"/>
      <c r="C1" s="23"/>
      <c r="D1" s="23"/>
      <c r="E1" s="23"/>
      <c r="F1" s="23"/>
      <c r="G1" s="23"/>
    </row>
    <row r="2" spans="1:7">
      <c r="A2" s="17" t="str">
        <f>RevReqSummary!A2</f>
        <v>For The Twelve Months Ended December 2013 - Staff Revenue Requirement</v>
      </c>
      <c r="B2" s="23"/>
      <c r="C2" s="23"/>
      <c r="D2" s="23"/>
      <c r="E2" s="23"/>
      <c r="F2" s="23"/>
      <c r="G2" s="23"/>
    </row>
    <row r="3" spans="1:7">
      <c r="A3" s="25" t="s">
        <v>412</v>
      </c>
      <c r="B3" s="23"/>
      <c r="C3" s="23"/>
      <c r="D3" s="23"/>
      <c r="E3" s="23"/>
      <c r="F3" s="23"/>
      <c r="G3" s="23"/>
    </row>
    <row r="4" spans="1:7">
      <c r="A4" s="25" t="s">
        <v>505</v>
      </c>
      <c r="B4" s="23"/>
      <c r="C4" s="23"/>
      <c r="D4" s="23"/>
      <c r="E4" s="23"/>
      <c r="F4" s="23"/>
      <c r="G4" s="23"/>
    </row>
    <row r="5" spans="1:7">
      <c r="B5" s="23"/>
      <c r="C5" s="23"/>
      <c r="D5" s="23"/>
      <c r="E5" s="23"/>
      <c r="F5" s="23"/>
      <c r="G5" s="23"/>
    </row>
    <row r="6" spans="1:7">
      <c r="B6" s="23"/>
      <c r="C6" s="23"/>
      <c r="D6" s="23" t="s">
        <v>131</v>
      </c>
      <c r="E6" s="23"/>
      <c r="F6" s="23"/>
      <c r="G6" s="23" t="s">
        <v>236</v>
      </c>
    </row>
    <row r="7" spans="1:7">
      <c r="B7" s="26" t="s">
        <v>132</v>
      </c>
      <c r="C7" s="26" t="s">
        <v>660</v>
      </c>
      <c r="D7" s="26" t="s">
        <v>134</v>
      </c>
      <c r="E7" s="26" t="s">
        <v>135</v>
      </c>
      <c r="F7" s="26" t="s">
        <v>136</v>
      </c>
      <c r="G7" s="26" t="s">
        <v>137</v>
      </c>
    </row>
    <row r="8" spans="1:7">
      <c r="A8" s="744" t="s">
        <v>234</v>
      </c>
      <c r="B8" s="746"/>
      <c r="C8" s="746"/>
      <c r="D8" s="746"/>
      <c r="E8" s="746"/>
      <c r="F8" s="746"/>
      <c r="G8" s="747"/>
    </row>
    <row r="9" spans="1:7">
      <c r="A9" s="748" t="s">
        <v>728</v>
      </c>
      <c r="B9" s="746">
        <v>282</v>
      </c>
      <c r="C9" s="746">
        <v>1</v>
      </c>
      <c r="D9" s="782">
        <v>3576942530</v>
      </c>
      <c r="E9" s="746" t="s">
        <v>157</v>
      </c>
      <c r="F9" s="749">
        <f t="shared" ref="F9:F18" si="0">INDEX(WCAAllocations,IFERROR(MATCH(E9,WCAFactors,0),2),IFERROR(MATCH(E9,WCAStates,0),4))</f>
        <v>6.0534878324491039E-2</v>
      </c>
      <c r="G9" s="750">
        <f>D9*F9</f>
        <v>216529780.82724714</v>
      </c>
    </row>
    <row r="10" spans="1:7">
      <c r="A10" s="748" t="s">
        <v>729</v>
      </c>
      <c r="B10" s="746">
        <v>190</v>
      </c>
      <c r="C10" s="746">
        <v>1</v>
      </c>
      <c r="D10" s="782">
        <v>-38122398</v>
      </c>
      <c r="E10" s="746" t="s">
        <v>214</v>
      </c>
      <c r="F10" s="749">
        <f t="shared" si="0"/>
        <v>0</v>
      </c>
      <c r="G10" s="750">
        <f t="shared" ref="G10:G25" si="1">D10*F10</f>
        <v>0</v>
      </c>
    </row>
    <row r="11" spans="1:7">
      <c r="A11" s="751" t="s">
        <v>730</v>
      </c>
      <c r="B11" s="746">
        <v>281</v>
      </c>
      <c r="C11" s="746">
        <v>1</v>
      </c>
      <c r="D11" s="782">
        <v>216305188</v>
      </c>
      <c r="E11" s="746" t="s">
        <v>146</v>
      </c>
      <c r="F11" s="749">
        <f t="shared" si="0"/>
        <v>7.9057273540331513E-2</v>
      </c>
      <c r="G11" s="750">
        <f t="shared" si="1"/>
        <v>17100498.415908832</v>
      </c>
    </row>
    <row r="12" spans="1:7">
      <c r="A12" s="745" t="s">
        <v>731</v>
      </c>
      <c r="B12" s="746">
        <v>282</v>
      </c>
      <c r="C12" s="746">
        <v>1</v>
      </c>
      <c r="D12" s="782">
        <v>-85738973</v>
      </c>
      <c r="E12" s="746" t="s">
        <v>170</v>
      </c>
      <c r="F12" s="749">
        <f t="shared" si="0"/>
        <v>0</v>
      </c>
      <c r="G12" s="750">
        <f t="shared" si="1"/>
        <v>0</v>
      </c>
    </row>
    <row r="13" spans="1:7">
      <c r="A13" s="752" t="s">
        <v>732</v>
      </c>
      <c r="B13" s="746">
        <v>282</v>
      </c>
      <c r="C13" s="746">
        <v>1</v>
      </c>
      <c r="D13" s="782">
        <v>-219454595</v>
      </c>
      <c r="E13" s="746" t="s">
        <v>173</v>
      </c>
      <c r="F13" s="749">
        <f t="shared" si="0"/>
        <v>0</v>
      </c>
      <c r="G13" s="750">
        <f t="shared" si="1"/>
        <v>0</v>
      </c>
    </row>
    <row r="14" spans="1:7">
      <c r="A14" s="752" t="s">
        <v>733</v>
      </c>
      <c r="B14" s="746">
        <v>282</v>
      </c>
      <c r="C14" s="746">
        <v>1</v>
      </c>
      <c r="D14" s="782">
        <v>-60335534</v>
      </c>
      <c r="E14" s="746" t="s">
        <v>164</v>
      </c>
      <c r="F14" s="749">
        <f t="shared" si="0"/>
        <v>0</v>
      </c>
      <c r="G14" s="750">
        <f t="shared" si="1"/>
        <v>0</v>
      </c>
    </row>
    <row r="15" spans="1:7">
      <c r="A15" s="752" t="s">
        <v>734</v>
      </c>
      <c r="B15" s="746">
        <v>282</v>
      </c>
      <c r="C15" s="746">
        <v>1</v>
      </c>
      <c r="D15" s="782">
        <v>-1051950277</v>
      </c>
      <c r="E15" s="746" t="s">
        <v>171</v>
      </c>
      <c r="F15" s="749">
        <f t="shared" si="0"/>
        <v>0</v>
      </c>
      <c r="G15" s="750">
        <f t="shared" si="1"/>
        <v>0</v>
      </c>
    </row>
    <row r="16" spans="1:7">
      <c r="A16" s="745" t="s">
        <v>735</v>
      </c>
      <c r="B16" s="746">
        <v>282</v>
      </c>
      <c r="C16" s="746">
        <v>1</v>
      </c>
      <c r="D16" s="782">
        <v>-1701422089</v>
      </c>
      <c r="E16" s="746" t="s">
        <v>172</v>
      </c>
      <c r="F16" s="749">
        <f t="shared" si="0"/>
        <v>0</v>
      </c>
      <c r="G16" s="750">
        <f t="shared" si="1"/>
        <v>0</v>
      </c>
    </row>
    <row r="17" spans="1:8">
      <c r="A17" s="752" t="s">
        <v>736</v>
      </c>
      <c r="B17" s="746">
        <v>282</v>
      </c>
      <c r="C17" s="746">
        <v>1</v>
      </c>
      <c r="D17" s="782">
        <v>-236299981</v>
      </c>
      <c r="E17" s="746" t="s">
        <v>141</v>
      </c>
      <c r="F17" s="749">
        <f t="shared" si="0"/>
        <v>1</v>
      </c>
      <c r="G17" s="750">
        <f t="shared" si="1"/>
        <v>-236299981</v>
      </c>
    </row>
    <row r="18" spans="1:8">
      <c r="A18" s="745" t="s">
        <v>737</v>
      </c>
      <c r="B18" s="746">
        <v>282</v>
      </c>
      <c r="C18" s="746">
        <v>1</v>
      </c>
      <c r="D18" s="782">
        <v>-548332958</v>
      </c>
      <c r="E18" s="746" t="s">
        <v>517</v>
      </c>
      <c r="F18" s="749">
        <f t="shared" si="0"/>
        <v>0</v>
      </c>
      <c r="G18" s="750">
        <f>D18*F18</f>
        <v>0</v>
      </c>
    </row>
    <row r="19" spans="1:8">
      <c r="A19" s="745" t="s">
        <v>738</v>
      </c>
      <c r="B19" s="746">
        <v>282</v>
      </c>
      <c r="C19" s="746">
        <v>1</v>
      </c>
      <c r="D19" s="782">
        <v>10812249</v>
      </c>
      <c r="E19" s="746" t="s">
        <v>146</v>
      </c>
      <c r="F19" s="749">
        <f t="shared" ref="F19:F25" si="2">INDEX(WCAAllocations,IFERROR(MATCH(E19,WCAFactors,0),2),IFERROR(MATCH(E19,WCAStates,0),4))</f>
        <v>7.9057273540331513E-2</v>
      </c>
      <c r="G19" s="750">
        <f t="shared" si="1"/>
        <v>854786.92677917588</v>
      </c>
    </row>
    <row r="20" spans="1:8">
      <c r="A20" s="745" t="s">
        <v>739</v>
      </c>
      <c r="B20" s="746">
        <v>282</v>
      </c>
      <c r="C20" s="746">
        <v>1</v>
      </c>
      <c r="D20" s="782">
        <v>51689</v>
      </c>
      <c r="E20" s="746" t="s">
        <v>150</v>
      </c>
      <c r="F20" s="749">
        <f t="shared" si="2"/>
        <v>6.220721907403963E-2</v>
      </c>
      <c r="G20" s="750">
        <f t="shared" si="1"/>
        <v>3215.4289467180342</v>
      </c>
    </row>
    <row r="21" spans="1:8">
      <c r="A21" s="745" t="s">
        <v>740</v>
      </c>
      <c r="B21" s="746">
        <v>282</v>
      </c>
      <c r="C21" s="746">
        <v>1</v>
      </c>
      <c r="D21" s="782">
        <v>78518</v>
      </c>
      <c r="E21" s="746" t="s">
        <v>153</v>
      </c>
      <c r="F21" s="749">
        <f t="shared" si="2"/>
        <v>6.2803307592478125E-2</v>
      </c>
      <c r="G21" s="750">
        <f t="shared" si="1"/>
        <v>4931.1901055461976</v>
      </c>
    </row>
    <row r="22" spans="1:8">
      <c r="A22" s="745" t="s">
        <v>741</v>
      </c>
      <c r="B22" s="746">
        <v>282</v>
      </c>
      <c r="C22" s="746">
        <v>1</v>
      </c>
      <c r="D22" s="782">
        <v>6077.8526499999998</v>
      </c>
      <c r="E22" s="746" t="s">
        <v>231</v>
      </c>
      <c r="F22" s="749">
        <f t="shared" si="2"/>
        <v>0.22953887558714423</v>
      </c>
      <c r="G22" s="750">
        <f t="shared" si="1"/>
        <v>1395.1034632653448</v>
      </c>
    </row>
    <row r="23" spans="1:8">
      <c r="A23" s="745" t="s">
        <v>742</v>
      </c>
      <c r="B23" s="746">
        <v>282</v>
      </c>
      <c r="C23" s="746">
        <v>1</v>
      </c>
      <c r="D23" s="782">
        <v>323229</v>
      </c>
      <c r="E23" s="746" t="s">
        <v>151</v>
      </c>
      <c r="F23" s="749">
        <f t="shared" si="2"/>
        <v>6.2803307592478125E-2</v>
      </c>
      <c r="G23" s="750">
        <f t="shared" si="1"/>
        <v>20299.850309809113</v>
      </c>
    </row>
    <row r="24" spans="1:8">
      <c r="A24" s="745" t="s">
        <v>743</v>
      </c>
      <c r="B24" s="746">
        <v>282</v>
      </c>
      <c r="C24" s="746">
        <v>1</v>
      </c>
      <c r="D24" s="782">
        <v>-141882</v>
      </c>
      <c r="E24" s="746" t="s">
        <v>130</v>
      </c>
      <c r="F24" s="749">
        <f t="shared" si="2"/>
        <v>6.8539355270203509E-2</v>
      </c>
      <c r="G24" s="750">
        <f t="shared" si="1"/>
        <v>-9724.5008044470142</v>
      </c>
    </row>
    <row r="25" spans="1:8" s="29" customFormat="1">
      <c r="A25" s="752" t="s">
        <v>744</v>
      </c>
      <c r="B25" s="746">
        <v>282</v>
      </c>
      <c r="C25" s="746">
        <v>1</v>
      </c>
      <c r="D25" s="782">
        <v>683450</v>
      </c>
      <c r="E25" s="746" t="s">
        <v>203</v>
      </c>
      <c r="F25" s="749">
        <f t="shared" si="2"/>
        <v>0.23084885646883446</v>
      </c>
      <c r="G25" s="750">
        <f t="shared" si="1"/>
        <v>157773.65095362492</v>
      </c>
    </row>
    <row r="26" spans="1:8" s="29" customFormat="1" ht="13.5" thickBot="1">
      <c r="A26" s="753"/>
      <c r="B26" s="746"/>
      <c r="C26" s="746"/>
      <c r="D26" s="754">
        <f>SUM(D9:D25)</f>
        <v>-136595756.14735001</v>
      </c>
      <c r="E26" s="746"/>
      <c r="F26" s="755"/>
      <c r="G26" s="754">
        <f>SUM(G9:G25)</f>
        <v>-1637024.1070903214</v>
      </c>
    </row>
    <row r="27" spans="1:8" s="29" customFormat="1" ht="13.5" thickTop="1">
      <c r="A27" s="56"/>
      <c r="B27" s="30"/>
      <c r="C27" s="30"/>
      <c r="D27" s="30"/>
      <c r="E27" s="30"/>
      <c r="F27" s="30"/>
      <c r="G27" s="30"/>
    </row>
    <row r="28" spans="1:8" s="29" customFormat="1">
      <c r="A28" s="56"/>
      <c r="B28" s="30"/>
      <c r="C28" s="30"/>
      <c r="D28" s="30"/>
      <c r="E28" s="30"/>
      <c r="F28" s="30"/>
      <c r="G28" s="30"/>
    </row>
    <row r="29" spans="1:8" s="29" customFormat="1">
      <c r="A29" s="756" t="s">
        <v>145</v>
      </c>
      <c r="B29" s="30"/>
      <c r="C29" s="30"/>
      <c r="D29" s="30"/>
      <c r="E29" s="30"/>
      <c r="F29" s="30"/>
      <c r="G29" s="30"/>
    </row>
    <row r="30" spans="1:8" s="29" customFormat="1">
      <c r="A30" s="1412" t="s">
        <v>745</v>
      </c>
      <c r="B30" s="1412"/>
      <c r="C30" s="1412"/>
      <c r="D30" s="1412"/>
      <c r="E30" s="1412"/>
      <c r="F30" s="1412"/>
      <c r="G30" s="1412"/>
    </row>
    <row r="31" spans="1:8" s="29" customFormat="1" ht="13.15" customHeight="1">
      <c r="A31" s="1412"/>
      <c r="B31" s="1412"/>
      <c r="C31" s="1412"/>
      <c r="D31" s="1412"/>
      <c r="E31" s="1412"/>
      <c r="F31" s="1412"/>
      <c r="G31" s="1412"/>
      <c r="H31" s="1316"/>
    </row>
    <row r="32" spans="1:8" s="29" customFormat="1">
      <c r="A32" s="1412"/>
      <c r="B32" s="1412"/>
      <c r="C32" s="1412"/>
      <c r="D32" s="1412"/>
      <c r="E32" s="1412"/>
      <c r="F32" s="1412"/>
      <c r="G32" s="1412"/>
      <c r="H32" s="1316"/>
    </row>
    <row r="33" spans="1:8" s="29" customFormat="1">
      <c r="A33" s="1412"/>
      <c r="B33" s="1412"/>
      <c r="C33" s="1412"/>
      <c r="D33" s="1412"/>
      <c r="E33" s="1412"/>
      <c r="F33" s="1412"/>
      <c r="G33" s="1412"/>
      <c r="H33" s="1316"/>
    </row>
    <row r="34" spans="1:8">
      <c r="A34" s="1316"/>
      <c r="B34" s="1316"/>
      <c r="C34" s="1316"/>
      <c r="D34" s="1316"/>
      <c r="E34" s="1316"/>
      <c r="F34" s="1316"/>
      <c r="G34" s="1316"/>
      <c r="H34" s="1316"/>
    </row>
    <row r="35" spans="1:8">
      <c r="A35" s="1316"/>
      <c r="B35" s="1316"/>
      <c r="C35" s="1316"/>
      <c r="D35" s="1316"/>
      <c r="E35" s="1316"/>
      <c r="F35" s="1316"/>
      <c r="G35" s="1316"/>
      <c r="H35" s="1316"/>
    </row>
    <row r="36" spans="1:8">
      <c r="A36" s="1316"/>
      <c r="B36" s="1316"/>
      <c r="C36" s="1316"/>
      <c r="D36" s="1316"/>
      <c r="E36" s="1316"/>
      <c r="F36" s="1316"/>
      <c r="G36" s="1316"/>
      <c r="H36" s="1316"/>
    </row>
    <row r="37" spans="1:8">
      <c r="A37" s="1316"/>
      <c r="B37" s="1316"/>
      <c r="C37" s="1316"/>
      <c r="D37" s="1316"/>
      <c r="E37" s="1316"/>
      <c r="F37" s="1316"/>
      <c r="G37" s="1316"/>
      <c r="H37" s="1316"/>
    </row>
    <row r="38" spans="1:8">
      <c r="A38" s="1316"/>
      <c r="B38" s="1316"/>
      <c r="C38" s="1316"/>
      <c r="D38" s="1316"/>
      <c r="E38" s="1316"/>
      <c r="F38" s="1316"/>
      <c r="G38" s="1316"/>
      <c r="H38" s="1316"/>
    </row>
    <row r="39" spans="1:8">
      <c r="A39" s="1316"/>
      <c r="B39" s="1316"/>
      <c r="C39" s="1316"/>
      <c r="D39" s="1316"/>
      <c r="E39" s="1316"/>
      <c r="F39" s="1316"/>
      <c r="G39" s="1316"/>
      <c r="H39" s="1316"/>
    </row>
    <row r="40" spans="1:8">
      <c r="B40" s="42"/>
    </row>
    <row r="41" spans="1:8">
      <c r="B41" s="42"/>
    </row>
    <row r="42" spans="1:8">
      <c r="B42" s="42"/>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I30"/>
  <sheetViews>
    <sheetView workbookViewId="0">
      <selection activeCell="F16" sqref="F16"/>
    </sheetView>
  </sheetViews>
  <sheetFormatPr defaultColWidth="9.140625" defaultRowHeight="12.75"/>
  <cols>
    <col min="1" max="1" width="21.140625" style="1" customWidth="1"/>
    <col min="2" max="2" width="10.28515625" style="1" bestFit="1" customWidth="1"/>
    <col min="3" max="3" width="6" style="1" bestFit="1" customWidth="1"/>
    <col min="4" max="4" width="10.7109375" style="1" bestFit="1" customWidth="1"/>
    <col min="5" max="5" width="8.7109375" style="1" bestFit="1" customWidth="1"/>
    <col min="6" max="6" width="10.85546875" style="1" bestFit="1" customWidth="1"/>
    <col min="7" max="7" width="13.7109375" style="1" bestFit="1" customWidth="1"/>
    <col min="8" max="16384" width="9.140625" style="1"/>
  </cols>
  <sheetData>
    <row r="1" spans="1:9">
      <c r="A1" s="17" t="str">
        <f>RevReqSummary!A1</f>
        <v>PacifiCorp General Rate Case UE-140617</v>
      </c>
      <c r="B1" s="733"/>
      <c r="C1" s="733"/>
      <c r="D1" s="733"/>
      <c r="E1" s="733"/>
      <c r="F1" s="733"/>
      <c r="G1" s="733"/>
    </row>
    <row r="2" spans="1:9">
      <c r="A2" s="17" t="str">
        <f>RevReqSummary!A2</f>
        <v>For The Twelve Months Ended December 2013 - Staff Revenue Requirement</v>
      </c>
      <c r="B2" s="733"/>
      <c r="C2" s="733"/>
      <c r="D2" s="733"/>
      <c r="E2" s="733"/>
      <c r="F2" s="733"/>
      <c r="G2" s="733"/>
    </row>
    <row r="3" spans="1:9">
      <c r="A3" s="734" t="s">
        <v>581</v>
      </c>
      <c r="B3" s="733"/>
      <c r="C3" s="733"/>
      <c r="D3" s="733"/>
      <c r="E3" s="733"/>
      <c r="F3" s="733"/>
      <c r="G3" s="733"/>
    </row>
    <row r="4" spans="1:9">
      <c r="A4" s="734" t="s">
        <v>650</v>
      </c>
      <c r="B4" s="733"/>
      <c r="C4" s="733"/>
      <c r="D4" s="733"/>
      <c r="E4" s="733"/>
      <c r="F4" s="733"/>
      <c r="G4" s="733"/>
    </row>
    <row r="5" spans="1:9">
      <c r="A5" s="732"/>
      <c r="B5" s="733"/>
      <c r="C5" s="733"/>
      <c r="D5" s="733"/>
      <c r="E5" s="733"/>
      <c r="F5" s="733"/>
      <c r="G5" s="733"/>
    </row>
    <row r="6" spans="1:9">
      <c r="A6" s="732"/>
      <c r="B6" s="23"/>
      <c r="C6" s="23"/>
      <c r="D6" s="23" t="s">
        <v>131</v>
      </c>
      <c r="E6" s="23"/>
      <c r="F6" s="23"/>
      <c r="G6" s="23" t="s">
        <v>236</v>
      </c>
    </row>
    <row r="7" spans="1:9">
      <c r="A7" s="732"/>
      <c r="B7" s="26" t="s">
        <v>132</v>
      </c>
      <c r="C7" s="26" t="s">
        <v>660</v>
      </c>
      <c r="D7" s="26" t="s">
        <v>134</v>
      </c>
      <c r="E7" s="26" t="s">
        <v>135</v>
      </c>
      <c r="F7" s="26" t="s">
        <v>136</v>
      </c>
      <c r="G7" s="26" t="s">
        <v>137</v>
      </c>
    </row>
    <row r="8" spans="1:9">
      <c r="A8" s="735" t="s">
        <v>199</v>
      </c>
      <c r="B8" s="736"/>
      <c r="C8" s="736"/>
      <c r="D8" s="736"/>
      <c r="E8" s="736"/>
      <c r="F8" s="736"/>
      <c r="G8" s="737"/>
    </row>
    <row r="9" spans="1:9">
      <c r="A9" s="732" t="s">
        <v>582</v>
      </c>
      <c r="B9" s="736">
        <v>408</v>
      </c>
      <c r="C9" s="736">
        <v>3</v>
      </c>
      <c r="D9" s="782">
        <v>39804</v>
      </c>
      <c r="E9" s="736" t="s">
        <v>141</v>
      </c>
      <c r="F9" s="739">
        <f>INDEX(WCAAllocations,IFERROR(MATCH(E9,WCAFactors,0),2),IFERROR(MATCH(E9,WCAStates,0),4))</f>
        <v>1</v>
      </c>
      <c r="G9" s="740">
        <v>0</v>
      </c>
    </row>
    <row r="10" spans="1:9">
      <c r="A10" s="741"/>
      <c r="B10" s="736"/>
      <c r="C10" s="736"/>
      <c r="D10" s="738"/>
      <c r="E10" s="736"/>
      <c r="F10" s="742"/>
      <c r="G10" s="740"/>
    </row>
    <row r="11" spans="1:9">
      <c r="A11" s="743" t="s">
        <v>145</v>
      </c>
      <c r="B11" s="736"/>
      <c r="C11" s="736"/>
      <c r="D11" s="738"/>
      <c r="E11" s="736"/>
      <c r="F11" s="742"/>
      <c r="G11" s="740"/>
    </row>
    <row r="12" spans="1:9" s="29" customFormat="1">
      <c r="A12" s="1410" t="s">
        <v>1071</v>
      </c>
      <c r="B12" s="1410"/>
      <c r="C12" s="1410"/>
      <c r="D12" s="1410"/>
      <c r="E12" s="1410"/>
      <c r="F12" s="1410"/>
      <c r="G12" s="1410"/>
    </row>
    <row r="13" spans="1:9" s="29" customFormat="1">
      <c r="A13" s="1410"/>
      <c r="B13" s="1410"/>
      <c r="C13" s="1410"/>
      <c r="D13" s="1410"/>
      <c r="E13" s="1410"/>
      <c r="F13" s="1410"/>
      <c r="G13" s="1410"/>
      <c r="H13" s="1326"/>
      <c r="I13" s="1326"/>
    </row>
    <row r="14" spans="1:9" s="29" customFormat="1">
      <c r="A14" s="1410"/>
      <c r="B14" s="1410"/>
      <c r="C14" s="1410"/>
      <c r="D14" s="1410"/>
      <c r="E14" s="1410"/>
      <c r="F14" s="1410"/>
      <c r="G14" s="1410"/>
      <c r="H14" s="1326"/>
      <c r="I14" s="1326"/>
    </row>
    <row r="15" spans="1:9" s="29" customFormat="1">
      <c r="A15" s="1326"/>
      <c r="B15" s="1326"/>
      <c r="C15" s="1326"/>
      <c r="D15" s="1326"/>
      <c r="E15" s="1326"/>
      <c r="F15" s="1326"/>
      <c r="G15" s="1326"/>
      <c r="H15" s="1326"/>
      <c r="I15" s="1326"/>
    </row>
    <row r="16" spans="1:9" s="29" customFormat="1">
      <c r="A16" s="1412" t="s">
        <v>746</v>
      </c>
      <c r="B16" s="1412"/>
      <c r="C16" s="1412"/>
      <c r="D16" s="1412"/>
      <c r="E16" s="1412"/>
      <c r="F16" s="1412"/>
      <c r="G16" s="1412"/>
      <c r="H16" s="1326"/>
      <c r="I16" s="1326"/>
    </row>
    <row r="17" spans="1:9" s="29" customFormat="1">
      <c r="A17" s="1412"/>
      <c r="B17" s="1412"/>
      <c r="C17" s="1412"/>
      <c r="D17" s="1412"/>
      <c r="E17" s="1412"/>
      <c r="F17" s="1412"/>
      <c r="G17" s="1412"/>
      <c r="H17" s="1326"/>
      <c r="I17" s="1326"/>
    </row>
    <row r="18" spans="1:9" s="29" customFormat="1">
      <c r="A18" s="1412"/>
      <c r="B18" s="1412"/>
      <c r="C18" s="1412"/>
      <c r="D18" s="1412"/>
      <c r="E18" s="1412"/>
      <c r="F18" s="1412"/>
      <c r="G18" s="1412"/>
      <c r="H18" s="1326"/>
      <c r="I18" s="1326"/>
    </row>
    <row r="19" spans="1:9" s="29" customFormat="1">
      <c r="A19" s="1412"/>
      <c r="B19" s="1412"/>
      <c r="C19" s="1412"/>
      <c r="D19" s="1412"/>
      <c r="E19" s="1412"/>
      <c r="F19" s="1412"/>
      <c r="G19" s="1412"/>
      <c r="H19" s="1326"/>
      <c r="I19" s="1326"/>
    </row>
    <row r="20" spans="1:9" s="29" customFormat="1">
      <c r="A20" s="1326"/>
      <c r="B20" s="1326"/>
      <c r="C20" s="1326"/>
      <c r="D20" s="1326"/>
      <c r="E20" s="1326"/>
      <c r="F20" s="1326"/>
      <c r="G20" s="1326"/>
      <c r="H20" s="1326"/>
      <c r="I20" s="1326"/>
    </row>
    <row r="21" spans="1:9" s="29" customFormat="1"/>
    <row r="22" spans="1:9" s="29" customFormat="1"/>
    <row r="30" spans="1:9">
      <c r="E30" s="122"/>
    </row>
  </sheetData>
  <mergeCells count="2">
    <mergeCell ref="A16:G19"/>
    <mergeCell ref="A12:G14"/>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workbookViewId="0">
      <selection activeCell="F16" sqref="F16"/>
    </sheetView>
  </sheetViews>
  <sheetFormatPr defaultRowHeight="12.75"/>
  <cols>
    <col min="1" max="1" width="34.28515625" style="490" bestFit="1" customWidth="1"/>
    <col min="2" max="2" width="9.7109375" style="490" bestFit="1" customWidth="1"/>
    <col min="3" max="3" width="5.42578125" style="163" bestFit="1" customWidth="1"/>
    <col min="4" max="4" width="12.28515625" style="715" bestFit="1" customWidth="1"/>
    <col min="5" max="5" width="9.42578125" style="163" bestFit="1" customWidth="1"/>
    <col min="6" max="6" width="10" style="716" bestFit="1" customWidth="1"/>
    <col min="7" max="7" width="13.28515625" style="715" bestFit="1" customWidth="1"/>
    <col min="8" max="8" width="8.28515625" style="490" customWidth="1"/>
    <col min="9" max="254" width="10" style="490"/>
    <col min="255" max="255" width="2.5703125" style="490" customWidth="1"/>
    <col min="256" max="256" width="8.28515625" style="490" customWidth="1"/>
    <col min="257" max="257" width="37.140625" style="490" customWidth="1"/>
    <col min="258" max="258" width="9.7109375" style="490" customWidth="1"/>
    <col min="259" max="259" width="4.7109375" style="490" customWidth="1"/>
    <col min="260" max="260" width="14.42578125" style="490" customWidth="1"/>
    <col min="261" max="261" width="11.140625" style="490" customWidth="1"/>
    <col min="262" max="262" width="10.28515625" style="490" customWidth="1"/>
    <col min="263" max="263" width="13" style="490" customWidth="1"/>
    <col min="264" max="264" width="8.28515625" style="490" customWidth="1"/>
    <col min="265" max="510" width="10" style="490"/>
    <col min="511" max="511" width="2.5703125" style="490" customWidth="1"/>
    <col min="512" max="512" width="8.28515625" style="490" customWidth="1"/>
    <col min="513" max="513" width="37.140625" style="490" customWidth="1"/>
    <col min="514" max="514" width="9.7109375" style="490" customWidth="1"/>
    <col min="515" max="515" width="4.7109375" style="490" customWidth="1"/>
    <col min="516" max="516" width="14.42578125" style="490" customWidth="1"/>
    <col min="517" max="517" width="11.140625" style="490" customWidth="1"/>
    <col min="518" max="518" width="10.28515625" style="490" customWidth="1"/>
    <col min="519" max="519" width="13" style="490" customWidth="1"/>
    <col min="520" max="520" width="8.28515625" style="490" customWidth="1"/>
    <col min="521" max="766" width="10" style="490"/>
    <col min="767" max="767" width="2.5703125" style="490" customWidth="1"/>
    <col min="768" max="768" width="8.28515625" style="490" customWidth="1"/>
    <col min="769" max="769" width="37.140625" style="490" customWidth="1"/>
    <col min="770" max="770" width="9.7109375" style="490" customWidth="1"/>
    <col min="771" max="771" width="4.7109375" style="490" customWidth="1"/>
    <col min="772" max="772" width="14.42578125" style="490" customWidth="1"/>
    <col min="773" max="773" width="11.140625" style="490" customWidth="1"/>
    <col min="774" max="774" width="10.28515625" style="490" customWidth="1"/>
    <col min="775" max="775" width="13" style="490" customWidth="1"/>
    <col min="776" max="776" width="8.28515625" style="490" customWidth="1"/>
    <col min="777" max="1022" width="9.140625" style="490"/>
    <col min="1023" max="1023" width="2.5703125" style="490" customWidth="1"/>
    <col min="1024" max="1024" width="8.28515625" style="490" customWidth="1"/>
    <col min="1025" max="1025" width="37.140625" style="490" customWidth="1"/>
    <col min="1026" max="1026" width="9.7109375" style="490" customWidth="1"/>
    <col min="1027" max="1027" width="4.7109375" style="490" customWidth="1"/>
    <col min="1028" max="1028" width="14.42578125" style="490" customWidth="1"/>
    <col min="1029" max="1029" width="11.140625" style="490" customWidth="1"/>
    <col min="1030" max="1030" width="10.28515625" style="490" customWidth="1"/>
    <col min="1031" max="1031" width="13" style="490" customWidth="1"/>
    <col min="1032" max="1032" width="8.28515625" style="490" customWidth="1"/>
    <col min="1033" max="1278" width="10" style="490"/>
    <col min="1279" max="1279" width="2.5703125" style="490" customWidth="1"/>
    <col min="1280" max="1280" width="8.28515625" style="490" customWidth="1"/>
    <col min="1281" max="1281" width="37.140625" style="490" customWidth="1"/>
    <col min="1282" max="1282" width="9.7109375" style="490" customWidth="1"/>
    <col min="1283" max="1283" width="4.7109375" style="490" customWidth="1"/>
    <col min="1284" max="1284" width="14.42578125" style="490" customWidth="1"/>
    <col min="1285" max="1285" width="11.140625" style="490" customWidth="1"/>
    <col min="1286" max="1286" width="10.28515625" style="490" customWidth="1"/>
    <col min="1287" max="1287" width="13" style="490" customWidth="1"/>
    <col min="1288" max="1288" width="8.28515625" style="490" customWidth="1"/>
    <col min="1289" max="1534" width="10" style="490"/>
    <col min="1535" max="1535" width="2.5703125" style="490" customWidth="1"/>
    <col min="1536" max="1536" width="8.28515625" style="490" customWidth="1"/>
    <col min="1537" max="1537" width="37.140625" style="490" customWidth="1"/>
    <col min="1538" max="1538" width="9.7109375" style="490" customWidth="1"/>
    <col min="1539" max="1539" width="4.7109375" style="490" customWidth="1"/>
    <col min="1540" max="1540" width="14.42578125" style="490" customWidth="1"/>
    <col min="1541" max="1541" width="11.140625" style="490" customWidth="1"/>
    <col min="1542" max="1542" width="10.28515625" style="490" customWidth="1"/>
    <col min="1543" max="1543" width="13" style="490" customWidth="1"/>
    <col min="1544" max="1544" width="8.28515625" style="490" customWidth="1"/>
    <col min="1545" max="1790" width="10" style="490"/>
    <col min="1791" max="1791" width="2.5703125" style="490" customWidth="1"/>
    <col min="1792" max="1792" width="8.28515625" style="490" customWidth="1"/>
    <col min="1793" max="1793" width="37.140625" style="490" customWidth="1"/>
    <col min="1794" max="1794" width="9.7109375" style="490" customWidth="1"/>
    <col min="1795" max="1795" width="4.7109375" style="490" customWidth="1"/>
    <col min="1796" max="1796" width="14.42578125" style="490" customWidth="1"/>
    <col min="1797" max="1797" width="11.140625" style="490" customWidth="1"/>
    <col min="1798" max="1798" width="10.28515625" style="490" customWidth="1"/>
    <col min="1799" max="1799" width="13" style="490" customWidth="1"/>
    <col min="1800" max="1800" width="8.28515625" style="490" customWidth="1"/>
    <col min="1801" max="2046" width="9.140625" style="490"/>
    <col min="2047" max="2047" width="2.5703125" style="490" customWidth="1"/>
    <col min="2048" max="2048" width="8.28515625" style="490" customWidth="1"/>
    <col min="2049" max="2049" width="37.140625" style="490" customWidth="1"/>
    <col min="2050" max="2050" width="9.7109375" style="490" customWidth="1"/>
    <col min="2051" max="2051" width="4.7109375" style="490" customWidth="1"/>
    <col min="2052" max="2052" width="14.42578125" style="490" customWidth="1"/>
    <col min="2053" max="2053" width="11.140625" style="490" customWidth="1"/>
    <col min="2054" max="2054" width="10.28515625" style="490" customWidth="1"/>
    <col min="2055" max="2055" width="13" style="490" customWidth="1"/>
    <col min="2056" max="2056" width="8.28515625" style="490" customWidth="1"/>
    <col min="2057" max="2302" width="10" style="490"/>
    <col min="2303" max="2303" width="2.5703125" style="490" customWidth="1"/>
    <col min="2304" max="2304" width="8.28515625" style="490" customWidth="1"/>
    <col min="2305" max="2305" width="37.140625" style="490" customWidth="1"/>
    <col min="2306" max="2306" width="9.7109375" style="490" customWidth="1"/>
    <col min="2307" max="2307" width="4.7109375" style="490" customWidth="1"/>
    <col min="2308" max="2308" width="14.42578125" style="490" customWidth="1"/>
    <col min="2309" max="2309" width="11.140625" style="490" customWidth="1"/>
    <col min="2310" max="2310" width="10.28515625" style="490" customWidth="1"/>
    <col min="2311" max="2311" width="13" style="490" customWidth="1"/>
    <col min="2312" max="2312" width="8.28515625" style="490" customWidth="1"/>
    <col min="2313" max="2558" width="10" style="490"/>
    <col min="2559" max="2559" width="2.5703125" style="490" customWidth="1"/>
    <col min="2560" max="2560" width="8.28515625" style="490" customWidth="1"/>
    <col min="2561" max="2561" width="37.140625" style="490" customWidth="1"/>
    <col min="2562" max="2562" width="9.7109375" style="490" customWidth="1"/>
    <col min="2563" max="2563" width="4.7109375" style="490" customWidth="1"/>
    <col min="2564" max="2564" width="14.42578125" style="490" customWidth="1"/>
    <col min="2565" max="2565" width="11.140625" style="490" customWidth="1"/>
    <col min="2566" max="2566" width="10.28515625" style="490" customWidth="1"/>
    <col min="2567" max="2567" width="13" style="490" customWidth="1"/>
    <col min="2568" max="2568" width="8.28515625" style="490" customWidth="1"/>
    <col min="2569" max="2814" width="10" style="490"/>
    <col min="2815" max="2815" width="2.5703125" style="490" customWidth="1"/>
    <col min="2816" max="2816" width="8.28515625" style="490" customWidth="1"/>
    <col min="2817" max="2817" width="37.140625" style="490" customWidth="1"/>
    <col min="2818" max="2818" width="9.7109375" style="490" customWidth="1"/>
    <col min="2819" max="2819" width="4.7109375" style="490" customWidth="1"/>
    <col min="2820" max="2820" width="14.42578125" style="490" customWidth="1"/>
    <col min="2821" max="2821" width="11.140625" style="490" customWidth="1"/>
    <col min="2822" max="2822" width="10.28515625" style="490" customWidth="1"/>
    <col min="2823" max="2823" width="13" style="490" customWidth="1"/>
    <col min="2824" max="2824" width="8.28515625" style="490" customWidth="1"/>
    <col min="2825" max="3070" width="9.140625" style="490"/>
    <col min="3071" max="3071" width="2.5703125" style="490" customWidth="1"/>
    <col min="3072" max="3072" width="8.28515625" style="490" customWidth="1"/>
    <col min="3073" max="3073" width="37.140625" style="490" customWidth="1"/>
    <col min="3074" max="3074" width="9.7109375" style="490" customWidth="1"/>
    <col min="3075" max="3075" width="4.7109375" style="490" customWidth="1"/>
    <col min="3076" max="3076" width="14.42578125" style="490" customWidth="1"/>
    <col min="3077" max="3077" width="11.140625" style="490" customWidth="1"/>
    <col min="3078" max="3078" width="10.28515625" style="490" customWidth="1"/>
    <col min="3079" max="3079" width="13" style="490" customWidth="1"/>
    <col min="3080" max="3080" width="8.28515625" style="490" customWidth="1"/>
    <col min="3081" max="3326" width="10" style="490"/>
    <col min="3327" max="3327" width="2.5703125" style="490" customWidth="1"/>
    <col min="3328" max="3328" width="8.28515625" style="490" customWidth="1"/>
    <col min="3329" max="3329" width="37.140625" style="490" customWidth="1"/>
    <col min="3330" max="3330" width="9.7109375" style="490" customWidth="1"/>
    <col min="3331" max="3331" width="4.7109375" style="490" customWidth="1"/>
    <col min="3332" max="3332" width="14.42578125" style="490" customWidth="1"/>
    <col min="3333" max="3333" width="11.140625" style="490" customWidth="1"/>
    <col min="3334" max="3334" width="10.28515625" style="490" customWidth="1"/>
    <col min="3335" max="3335" width="13" style="490" customWidth="1"/>
    <col min="3336" max="3336" width="8.28515625" style="490" customWidth="1"/>
    <col min="3337" max="3582" width="10" style="490"/>
    <col min="3583" max="3583" width="2.5703125" style="490" customWidth="1"/>
    <col min="3584" max="3584" width="8.28515625" style="490" customWidth="1"/>
    <col min="3585" max="3585" width="37.140625" style="490" customWidth="1"/>
    <col min="3586" max="3586" width="9.7109375" style="490" customWidth="1"/>
    <col min="3587" max="3587" width="4.7109375" style="490" customWidth="1"/>
    <col min="3588" max="3588" width="14.42578125" style="490" customWidth="1"/>
    <col min="3589" max="3589" width="11.140625" style="490" customWidth="1"/>
    <col min="3590" max="3590" width="10.28515625" style="490" customWidth="1"/>
    <col min="3591" max="3591" width="13" style="490" customWidth="1"/>
    <col min="3592" max="3592" width="8.28515625" style="490" customWidth="1"/>
    <col min="3593" max="3838" width="10" style="490"/>
    <col min="3839" max="3839" width="2.5703125" style="490" customWidth="1"/>
    <col min="3840" max="3840" width="8.28515625" style="490" customWidth="1"/>
    <col min="3841" max="3841" width="37.140625" style="490" customWidth="1"/>
    <col min="3842" max="3842" width="9.7109375" style="490" customWidth="1"/>
    <col min="3843" max="3843" width="4.7109375" style="490" customWidth="1"/>
    <col min="3844" max="3844" width="14.42578125" style="490" customWidth="1"/>
    <col min="3845" max="3845" width="11.140625" style="490" customWidth="1"/>
    <col min="3846" max="3846" width="10.28515625" style="490" customWidth="1"/>
    <col min="3847" max="3847" width="13" style="490" customWidth="1"/>
    <col min="3848" max="3848" width="8.28515625" style="490" customWidth="1"/>
    <col min="3849" max="4094" width="9.140625" style="490"/>
    <col min="4095" max="4095" width="2.5703125" style="490" customWidth="1"/>
    <col min="4096" max="4096" width="8.28515625" style="490" customWidth="1"/>
    <col min="4097" max="4097" width="37.140625" style="490" customWidth="1"/>
    <col min="4098" max="4098" width="9.7109375" style="490" customWidth="1"/>
    <col min="4099" max="4099" width="4.7109375" style="490" customWidth="1"/>
    <col min="4100" max="4100" width="14.42578125" style="490" customWidth="1"/>
    <col min="4101" max="4101" width="11.140625" style="490" customWidth="1"/>
    <col min="4102" max="4102" width="10.28515625" style="490" customWidth="1"/>
    <col min="4103" max="4103" width="13" style="490" customWidth="1"/>
    <col min="4104" max="4104" width="8.28515625" style="490" customWidth="1"/>
    <col min="4105" max="4350" width="10" style="490"/>
    <col min="4351" max="4351" width="2.5703125" style="490" customWidth="1"/>
    <col min="4352" max="4352" width="8.28515625" style="490" customWidth="1"/>
    <col min="4353" max="4353" width="37.140625" style="490" customWidth="1"/>
    <col min="4354" max="4354" width="9.7109375" style="490" customWidth="1"/>
    <col min="4355" max="4355" width="4.7109375" style="490" customWidth="1"/>
    <col min="4356" max="4356" width="14.42578125" style="490" customWidth="1"/>
    <col min="4357" max="4357" width="11.140625" style="490" customWidth="1"/>
    <col min="4358" max="4358" width="10.28515625" style="490" customWidth="1"/>
    <col min="4359" max="4359" width="13" style="490" customWidth="1"/>
    <col min="4360" max="4360" width="8.28515625" style="490" customWidth="1"/>
    <col min="4361" max="4606" width="10" style="490"/>
    <col min="4607" max="4607" width="2.5703125" style="490" customWidth="1"/>
    <col min="4608" max="4608" width="8.28515625" style="490" customWidth="1"/>
    <col min="4609" max="4609" width="37.140625" style="490" customWidth="1"/>
    <col min="4610" max="4610" width="9.7109375" style="490" customWidth="1"/>
    <col min="4611" max="4611" width="4.7109375" style="490" customWidth="1"/>
    <col min="4612" max="4612" width="14.42578125" style="490" customWidth="1"/>
    <col min="4613" max="4613" width="11.140625" style="490" customWidth="1"/>
    <col min="4614" max="4614" width="10.28515625" style="490" customWidth="1"/>
    <col min="4615" max="4615" width="13" style="490" customWidth="1"/>
    <col min="4616" max="4616" width="8.28515625" style="490" customWidth="1"/>
    <col min="4617" max="4862" width="10" style="490"/>
    <col min="4863" max="4863" width="2.5703125" style="490" customWidth="1"/>
    <col min="4864" max="4864" width="8.28515625" style="490" customWidth="1"/>
    <col min="4865" max="4865" width="37.140625" style="490" customWidth="1"/>
    <col min="4866" max="4866" width="9.7109375" style="490" customWidth="1"/>
    <col min="4867" max="4867" width="4.7109375" style="490" customWidth="1"/>
    <col min="4868" max="4868" width="14.42578125" style="490" customWidth="1"/>
    <col min="4869" max="4869" width="11.140625" style="490" customWidth="1"/>
    <col min="4870" max="4870" width="10.28515625" style="490" customWidth="1"/>
    <col min="4871" max="4871" width="13" style="490" customWidth="1"/>
    <col min="4872" max="4872" width="8.28515625" style="490" customWidth="1"/>
    <col min="4873" max="5118" width="9.140625" style="490"/>
    <col min="5119" max="5119" width="2.5703125" style="490" customWidth="1"/>
    <col min="5120" max="5120" width="8.28515625" style="490" customWidth="1"/>
    <col min="5121" max="5121" width="37.140625" style="490" customWidth="1"/>
    <col min="5122" max="5122" width="9.7109375" style="490" customWidth="1"/>
    <col min="5123" max="5123" width="4.7109375" style="490" customWidth="1"/>
    <col min="5124" max="5124" width="14.42578125" style="490" customWidth="1"/>
    <col min="5125" max="5125" width="11.140625" style="490" customWidth="1"/>
    <col min="5126" max="5126" width="10.28515625" style="490" customWidth="1"/>
    <col min="5127" max="5127" width="13" style="490" customWidth="1"/>
    <col min="5128" max="5128" width="8.28515625" style="490" customWidth="1"/>
    <col min="5129" max="5374" width="10" style="490"/>
    <col min="5375" max="5375" width="2.5703125" style="490" customWidth="1"/>
    <col min="5376" max="5376" width="8.28515625" style="490" customWidth="1"/>
    <col min="5377" max="5377" width="37.140625" style="490" customWidth="1"/>
    <col min="5378" max="5378" width="9.7109375" style="490" customWidth="1"/>
    <col min="5379" max="5379" width="4.7109375" style="490" customWidth="1"/>
    <col min="5380" max="5380" width="14.42578125" style="490" customWidth="1"/>
    <col min="5381" max="5381" width="11.140625" style="490" customWidth="1"/>
    <col min="5382" max="5382" width="10.28515625" style="490" customWidth="1"/>
    <col min="5383" max="5383" width="13" style="490" customWidth="1"/>
    <col min="5384" max="5384" width="8.28515625" style="490" customWidth="1"/>
    <col min="5385" max="5630" width="10" style="490"/>
    <col min="5631" max="5631" width="2.5703125" style="490" customWidth="1"/>
    <col min="5632" max="5632" width="8.28515625" style="490" customWidth="1"/>
    <col min="5633" max="5633" width="37.140625" style="490" customWidth="1"/>
    <col min="5634" max="5634" width="9.7109375" style="490" customWidth="1"/>
    <col min="5635" max="5635" width="4.7109375" style="490" customWidth="1"/>
    <col min="5636" max="5636" width="14.42578125" style="490" customWidth="1"/>
    <col min="5637" max="5637" width="11.140625" style="490" customWidth="1"/>
    <col min="5638" max="5638" width="10.28515625" style="490" customWidth="1"/>
    <col min="5639" max="5639" width="13" style="490" customWidth="1"/>
    <col min="5640" max="5640" width="8.28515625" style="490" customWidth="1"/>
    <col min="5641" max="5886" width="10" style="490"/>
    <col min="5887" max="5887" width="2.5703125" style="490" customWidth="1"/>
    <col min="5888" max="5888" width="8.28515625" style="490" customWidth="1"/>
    <col min="5889" max="5889" width="37.140625" style="490" customWidth="1"/>
    <col min="5890" max="5890" width="9.7109375" style="490" customWidth="1"/>
    <col min="5891" max="5891" width="4.7109375" style="490" customWidth="1"/>
    <col min="5892" max="5892" width="14.42578125" style="490" customWidth="1"/>
    <col min="5893" max="5893" width="11.140625" style="490" customWidth="1"/>
    <col min="5894" max="5894" width="10.28515625" style="490" customWidth="1"/>
    <col min="5895" max="5895" width="13" style="490" customWidth="1"/>
    <col min="5896" max="5896" width="8.28515625" style="490" customWidth="1"/>
    <col min="5897" max="6142" width="9.140625" style="490"/>
    <col min="6143" max="6143" width="2.5703125" style="490" customWidth="1"/>
    <col min="6144" max="6144" width="8.28515625" style="490" customWidth="1"/>
    <col min="6145" max="6145" width="37.140625" style="490" customWidth="1"/>
    <col min="6146" max="6146" width="9.7109375" style="490" customWidth="1"/>
    <col min="6147" max="6147" width="4.7109375" style="490" customWidth="1"/>
    <col min="6148" max="6148" width="14.42578125" style="490" customWidth="1"/>
    <col min="6149" max="6149" width="11.140625" style="490" customWidth="1"/>
    <col min="6150" max="6150" width="10.28515625" style="490" customWidth="1"/>
    <col min="6151" max="6151" width="13" style="490" customWidth="1"/>
    <col min="6152" max="6152" width="8.28515625" style="490" customWidth="1"/>
    <col min="6153" max="6398" width="10" style="490"/>
    <col min="6399" max="6399" width="2.5703125" style="490" customWidth="1"/>
    <col min="6400" max="6400" width="8.28515625" style="490" customWidth="1"/>
    <col min="6401" max="6401" width="37.140625" style="490" customWidth="1"/>
    <col min="6402" max="6402" width="9.7109375" style="490" customWidth="1"/>
    <col min="6403" max="6403" width="4.7109375" style="490" customWidth="1"/>
    <col min="6404" max="6404" width="14.42578125" style="490" customWidth="1"/>
    <col min="6405" max="6405" width="11.140625" style="490" customWidth="1"/>
    <col min="6406" max="6406" width="10.28515625" style="490" customWidth="1"/>
    <col min="6407" max="6407" width="13" style="490" customWidth="1"/>
    <col min="6408" max="6408" width="8.28515625" style="490" customWidth="1"/>
    <col min="6409" max="6654" width="10" style="490"/>
    <col min="6655" max="6655" width="2.5703125" style="490" customWidth="1"/>
    <col min="6656" max="6656" width="8.28515625" style="490" customWidth="1"/>
    <col min="6657" max="6657" width="37.140625" style="490" customWidth="1"/>
    <col min="6658" max="6658" width="9.7109375" style="490" customWidth="1"/>
    <col min="6659" max="6659" width="4.7109375" style="490" customWidth="1"/>
    <col min="6660" max="6660" width="14.42578125" style="490" customWidth="1"/>
    <col min="6661" max="6661" width="11.140625" style="490" customWidth="1"/>
    <col min="6662" max="6662" width="10.28515625" style="490" customWidth="1"/>
    <col min="6663" max="6663" width="13" style="490" customWidth="1"/>
    <col min="6664" max="6664" width="8.28515625" style="490" customWidth="1"/>
    <col min="6665" max="6910" width="10" style="490"/>
    <col min="6911" max="6911" width="2.5703125" style="490" customWidth="1"/>
    <col min="6912" max="6912" width="8.28515625" style="490" customWidth="1"/>
    <col min="6913" max="6913" width="37.140625" style="490" customWidth="1"/>
    <col min="6914" max="6914" width="9.7109375" style="490" customWidth="1"/>
    <col min="6915" max="6915" width="4.7109375" style="490" customWidth="1"/>
    <col min="6916" max="6916" width="14.42578125" style="490" customWidth="1"/>
    <col min="6917" max="6917" width="11.140625" style="490" customWidth="1"/>
    <col min="6918" max="6918" width="10.28515625" style="490" customWidth="1"/>
    <col min="6919" max="6919" width="13" style="490" customWidth="1"/>
    <col min="6920" max="6920" width="8.28515625" style="490" customWidth="1"/>
    <col min="6921" max="7166" width="9.140625" style="490"/>
    <col min="7167" max="7167" width="2.5703125" style="490" customWidth="1"/>
    <col min="7168" max="7168" width="8.28515625" style="490" customWidth="1"/>
    <col min="7169" max="7169" width="37.140625" style="490" customWidth="1"/>
    <col min="7170" max="7170" width="9.7109375" style="490" customWidth="1"/>
    <col min="7171" max="7171" width="4.7109375" style="490" customWidth="1"/>
    <col min="7172" max="7172" width="14.42578125" style="490" customWidth="1"/>
    <col min="7173" max="7173" width="11.140625" style="490" customWidth="1"/>
    <col min="7174" max="7174" width="10.28515625" style="490" customWidth="1"/>
    <col min="7175" max="7175" width="13" style="490" customWidth="1"/>
    <col min="7176" max="7176" width="8.28515625" style="490" customWidth="1"/>
    <col min="7177" max="7422" width="10" style="490"/>
    <col min="7423" max="7423" width="2.5703125" style="490" customWidth="1"/>
    <col min="7424" max="7424" width="8.28515625" style="490" customWidth="1"/>
    <col min="7425" max="7425" width="37.140625" style="490" customWidth="1"/>
    <col min="7426" max="7426" width="9.7109375" style="490" customWidth="1"/>
    <col min="7427" max="7427" width="4.7109375" style="490" customWidth="1"/>
    <col min="7428" max="7428" width="14.42578125" style="490" customWidth="1"/>
    <col min="7429" max="7429" width="11.140625" style="490" customWidth="1"/>
    <col min="7430" max="7430" width="10.28515625" style="490" customWidth="1"/>
    <col min="7431" max="7431" width="13" style="490" customWidth="1"/>
    <col min="7432" max="7432" width="8.28515625" style="490" customWidth="1"/>
    <col min="7433" max="7678" width="10" style="490"/>
    <col min="7679" max="7679" width="2.5703125" style="490" customWidth="1"/>
    <col min="7680" max="7680" width="8.28515625" style="490" customWidth="1"/>
    <col min="7681" max="7681" width="37.140625" style="490" customWidth="1"/>
    <col min="7682" max="7682" width="9.7109375" style="490" customWidth="1"/>
    <col min="7683" max="7683" width="4.7109375" style="490" customWidth="1"/>
    <col min="7684" max="7684" width="14.42578125" style="490" customWidth="1"/>
    <col min="7685" max="7685" width="11.140625" style="490" customWidth="1"/>
    <col min="7686" max="7686" width="10.28515625" style="490" customWidth="1"/>
    <col min="7687" max="7687" width="13" style="490" customWidth="1"/>
    <col min="7688" max="7688" width="8.28515625" style="490" customWidth="1"/>
    <col min="7689" max="7934" width="10" style="490"/>
    <col min="7935" max="7935" width="2.5703125" style="490" customWidth="1"/>
    <col min="7936" max="7936" width="8.28515625" style="490" customWidth="1"/>
    <col min="7937" max="7937" width="37.140625" style="490" customWidth="1"/>
    <col min="7938" max="7938" width="9.7109375" style="490" customWidth="1"/>
    <col min="7939" max="7939" width="4.7109375" style="490" customWidth="1"/>
    <col min="7940" max="7940" width="14.42578125" style="490" customWidth="1"/>
    <col min="7941" max="7941" width="11.140625" style="490" customWidth="1"/>
    <col min="7942" max="7942" width="10.28515625" style="490" customWidth="1"/>
    <col min="7943" max="7943" width="13" style="490" customWidth="1"/>
    <col min="7944" max="7944" width="8.28515625" style="490" customWidth="1"/>
    <col min="7945" max="8190" width="9.140625" style="490"/>
    <col min="8191" max="8191" width="2.5703125" style="490" customWidth="1"/>
    <col min="8192" max="8192" width="8.28515625" style="490" customWidth="1"/>
    <col min="8193" max="8193" width="37.140625" style="490" customWidth="1"/>
    <col min="8194" max="8194" width="9.7109375" style="490" customWidth="1"/>
    <col min="8195" max="8195" width="4.7109375" style="490" customWidth="1"/>
    <col min="8196" max="8196" width="14.42578125" style="490" customWidth="1"/>
    <col min="8197" max="8197" width="11.140625" style="490" customWidth="1"/>
    <col min="8198" max="8198" width="10.28515625" style="490" customWidth="1"/>
    <col min="8199" max="8199" width="13" style="490" customWidth="1"/>
    <col min="8200" max="8200" width="8.28515625" style="490" customWidth="1"/>
    <col min="8201" max="8446" width="10" style="490"/>
    <col min="8447" max="8447" width="2.5703125" style="490" customWidth="1"/>
    <col min="8448" max="8448" width="8.28515625" style="490" customWidth="1"/>
    <col min="8449" max="8449" width="37.140625" style="490" customWidth="1"/>
    <col min="8450" max="8450" width="9.7109375" style="490" customWidth="1"/>
    <col min="8451" max="8451" width="4.7109375" style="490" customWidth="1"/>
    <col min="8452" max="8452" width="14.42578125" style="490" customWidth="1"/>
    <col min="8453" max="8453" width="11.140625" style="490" customWidth="1"/>
    <col min="8454" max="8454" width="10.28515625" style="490" customWidth="1"/>
    <col min="8455" max="8455" width="13" style="490" customWidth="1"/>
    <col min="8456" max="8456" width="8.28515625" style="490" customWidth="1"/>
    <col min="8457" max="8702" width="10" style="490"/>
    <col min="8703" max="8703" width="2.5703125" style="490" customWidth="1"/>
    <col min="8704" max="8704" width="8.28515625" style="490" customWidth="1"/>
    <col min="8705" max="8705" width="37.140625" style="490" customWidth="1"/>
    <col min="8706" max="8706" width="9.7109375" style="490" customWidth="1"/>
    <col min="8707" max="8707" width="4.7109375" style="490" customWidth="1"/>
    <col min="8708" max="8708" width="14.42578125" style="490" customWidth="1"/>
    <col min="8709" max="8709" width="11.140625" style="490" customWidth="1"/>
    <col min="8710" max="8710" width="10.28515625" style="490" customWidth="1"/>
    <col min="8711" max="8711" width="13" style="490" customWidth="1"/>
    <col min="8712" max="8712" width="8.28515625" style="490" customWidth="1"/>
    <col min="8713" max="8958" width="10" style="490"/>
    <col min="8959" max="8959" width="2.5703125" style="490" customWidth="1"/>
    <col min="8960" max="8960" width="8.28515625" style="490" customWidth="1"/>
    <col min="8961" max="8961" width="37.140625" style="490" customWidth="1"/>
    <col min="8962" max="8962" width="9.7109375" style="490" customWidth="1"/>
    <col min="8963" max="8963" width="4.7109375" style="490" customWidth="1"/>
    <col min="8964" max="8964" width="14.42578125" style="490" customWidth="1"/>
    <col min="8965" max="8965" width="11.140625" style="490" customWidth="1"/>
    <col min="8966" max="8966" width="10.28515625" style="490" customWidth="1"/>
    <col min="8967" max="8967" width="13" style="490" customWidth="1"/>
    <col min="8968" max="8968" width="8.28515625" style="490" customWidth="1"/>
    <col min="8969" max="9214" width="9.140625" style="490"/>
    <col min="9215" max="9215" width="2.5703125" style="490" customWidth="1"/>
    <col min="9216" max="9216" width="8.28515625" style="490" customWidth="1"/>
    <col min="9217" max="9217" width="37.140625" style="490" customWidth="1"/>
    <col min="9218" max="9218" width="9.7109375" style="490" customWidth="1"/>
    <col min="9219" max="9219" width="4.7109375" style="490" customWidth="1"/>
    <col min="9220" max="9220" width="14.42578125" style="490" customWidth="1"/>
    <col min="9221" max="9221" width="11.140625" style="490" customWidth="1"/>
    <col min="9222" max="9222" width="10.28515625" style="490" customWidth="1"/>
    <col min="9223" max="9223" width="13" style="490" customWidth="1"/>
    <col min="9224" max="9224" width="8.28515625" style="490" customWidth="1"/>
    <col min="9225" max="9470" width="10" style="490"/>
    <col min="9471" max="9471" width="2.5703125" style="490" customWidth="1"/>
    <col min="9472" max="9472" width="8.28515625" style="490" customWidth="1"/>
    <col min="9473" max="9473" width="37.140625" style="490" customWidth="1"/>
    <col min="9474" max="9474" width="9.7109375" style="490" customWidth="1"/>
    <col min="9475" max="9475" width="4.7109375" style="490" customWidth="1"/>
    <col min="9476" max="9476" width="14.42578125" style="490" customWidth="1"/>
    <col min="9477" max="9477" width="11.140625" style="490" customWidth="1"/>
    <col min="9478" max="9478" width="10.28515625" style="490" customWidth="1"/>
    <col min="9479" max="9479" width="13" style="490" customWidth="1"/>
    <col min="9480" max="9480" width="8.28515625" style="490" customWidth="1"/>
    <col min="9481" max="9726" width="10" style="490"/>
    <col min="9727" max="9727" width="2.5703125" style="490" customWidth="1"/>
    <col min="9728" max="9728" width="8.28515625" style="490" customWidth="1"/>
    <col min="9729" max="9729" width="37.140625" style="490" customWidth="1"/>
    <col min="9730" max="9730" width="9.7109375" style="490" customWidth="1"/>
    <col min="9731" max="9731" width="4.7109375" style="490" customWidth="1"/>
    <col min="9732" max="9732" width="14.42578125" style="490" customWidth="1"/>
    <col min="9733" max="9733" width="11.140625" style="490" customWidth="1"/>
    <col min="9734" max="9734" width="10.28515625" style="490" customWidth="1"/>
    <col min="9735" max="9735" width="13" style="490" customWidth="1"/>
    <col min="9736" max="9736" width="8.28515625" style="490" customWidth="1"/>
    <col min="9737" max="9982" width="10" style="490"/>
    <col min="9983" max="9983" width="2.5703125" style="490" customWidth="1"/>
    <col min="9984" max="9984" width="8.28515625" style="490" customWidth="1"/>
    <col min="9985" max="9985" width="37.140625" style="490" customWidth="1"/>
    <col min="9986" max="9986" width="9.7109375" style="490" customWidth="1"/>
    <col min="9987" max="9987" width="4.7109375" style="490" customWidth="1"/>
    <col min="9988" max="9988" width="14.42578125" style="490" customWidth="1"/>
    <col min="9989" max="9989" width="11.140625" style="490" customWidth="1"/>
    <col min="9990" max="9990" width="10.28515625" style="490" customWidth="1"/>
    <col min="9991" max="9991" width="13" style="490" customWidth="1"/>
    <col min="9992" max="9992" width="8.28515625" style="490" customWidth="1"/>
    <col min="9993" max="10238" width="9.140625" style="490"/>
    <col min="10239" max="10239" width="2.5703125" style="490" customWidth="1"/>
    <col min="10240" max="10240" width="8.28515625" style="490" customWidth="1"/>
    <col min="10241" max="10241" width="37.140625" style="490" customWidth="1"/>
    <col min="10242" max="10242" width="9.7109375" style="490" customWidth="1"/>
    <col min="10243" max="10243" width="4.7109375" style="490" customWidth="1"/>
    <col min="10244" max="10244" width="14.42578125" style="490" customWidth="1"/>
    <col min="10245" max="10245" width="11.140625" style="490" customWidth="1"/>
    <col min="10246" max="10246" width="10.28515625" style="490" customWidth="1"/>
    <col min="10247" max="10247" width="13" style="490" customWidth="1"/>
    <col min="10248" max="10248" width="8.28515625" style="490" customWidth="1"/>
    <col min="10249" max="10494" width="10" style="490"/>
    <col min="10495" max="10495" width="2.5703125" style="490" customWidth="1"/>
    <col min="10496" max="10496" width="8.28515625" style="490" customWidth="1"/>
    <col min="10497" max="10497" width="37.140625" style="490" customWidth="1"/>
    <col min="10498" max="10498" width="9.7109375" style="490" customWidth="1"/>
    <col min="10499" max="10499" width="4.7109375" style="490" customWidth="1"/>
    <col min="10500" max="10500" width="14.42578125" style="490" customWidth="1"/>
    <col min="10501" max="10501" width="11.140625" style="490" customWidth="1"/>
    <col min="10502" max="10502" width="10.28515625" style="490" customWidth="1"/>
    <col min="10503" max="10503" width="13" style="490" customWidth="1"/>
    <col min="10504" max="10504" width="8.28515625" style="490" customWidth="1"/>
    <col min="10505" max="10750" width="10" style="490"/>
    <col min="10751" max="10751" width="2.5703125" style="490" customWidth="1"/>
    <col min="10752" max="10752" width="8.28515625" style="490" customWidth="1"/>
    <col min="10753" max="10753" width="37.140625" style="490" customWidth="1"/>
    <col min="10754" max="10754" width="9.7109375" style="490" customWidth="1"/>
    <col min="10755" max="10755" width="4.7109375" style="490" customWidth="1"/>
    <col min="10756" max="10756" width="14.42578125" style="490" customWidth="1"/>
    <col min="10757" max="10757" width="11.140625" style="490" customWidth="1"/>
    <col min="10758" max="10758" width="10.28515625" style="490" customWidth="1"/>
    <col min="10759" max="10759" width="13" style="490" customWidth="1"/>
    <col min="10760" max="10760" width="8.28515625" style="490" customWidth="1"/>
    <col min="10761" max="11006" width="10" style="490"/>
    <col min="11007" max="11007" width="2.5703125" style="490" customWidth="1"/>
    <col min="11008" max="11008" width="8.28515625" style="490" customWidth="1"/>
    <col min="11009" max="11009" width="37.140625" style="490" customWidth="1"/>
    <col min="11010" max="11010" width="9.7109375" style="490" customWidth="1"/>
    <col min="11011" max="11011" width="4.7109375" style="490" customWidth="1"/>
    <col min="11012" max="11012" width="14.42578125" style="490" customWidth="1"/>
    <col min="11013" max="11013" width="11.140625" style="490" customWidth="1"/>
    <col min="11014" max="11014" width="10.28515625" style="490" customWidth="1"/>
    <col min="11015" max="11015" width="13" style="490" customWidth="1"/>
    <col min="11016" max="11016" width="8.28515625" style="490" customWidth="1"/>
    <col min="11017" max="11262" width="9.140625" style="490"/>
    <col min="11263" max="11263" width="2.5703125" style="490" customWidth="1"/>
    <col min="11264" max="11264" width="8.28515625" style="490" customWidth="1"/>
    <col min="11265" max="11265" width="37.140625" style="490" customWidth="1"/>
    <col min="11266" max="11266" width="9.7109375" style="490" customWidth="1"/>
    <col min="11267" max="11267" width="4.7109375" style="490" customWidth="1"/>
    <col min="11268" max="11268" width="14.42578125" style="490" customWidth="1"/>
    <col min="11269" max="11269" width="11.140625" style="490" customWidth="1"/>
    <col min="11270" max="11270" width="10.28515625" style="490" customWidth="1"/>
    <col min="11271" max="11271" width="13" style="490" customWidth="1"/>
    <col min="11272" max="11272" width="8.28515625" style="490" customWidth="1"/>
    <col min="11273" max="11518" width="10" style="490"/>
    <col min="11519" max="11519" width="2.5703125" style="490" customWidth="1"/>
    <col min="11520" max="11520" width="8.28515625" style="490" customWidth="1"/>
    <col min="11521" max="11521" width="37.140625" style="490" customWidth="1"/>
    <col min="11522" max="11522" width="9.7109375" style="490" customWidth="1"/>
    <col min="11523" max="11523" width="4.7109375" style="490" customWidth="1"/>
    <col min="11524" max="11524" width="14.42578125" style="490" customWidth="1"/>
    <col min="11525" max="11525" width="11.140625" style="490" customWidth="1"/>
    <col min="11526" max="11526" width="10.28515625" style="490" customWidth="1"/>
    <col min="11527" max="11527" width="13" style="490" customWidth="1"/>
    <col min="11528" max="11528" width="8.28515625" style="490" customWidth="1"/>
    <col min="11529" max="11774" width="10" style="490"/>
    <col min="11775" max="11775" width="2.5703125" style="490" customWidth="1"/>
    <col min="11776" max="11776" width="8.28515625" style="490" customWidth="1"/>
    <col min="11777" max="11777" width="37.140625" style="490" customWidth="1"/>
    <col min="11778" max="11778" width="9.7109375" style="490" customWidth="1"/>
    <col min="11779" max="11779" width="4.7109375" style="490" customWidth="1"/>
    <col min="11780" max="11780" width="14.42578125" style="490" customWidth="1"/>
    <col min="11781" max="11781" width="11.140625" style="490" customWidth="1"/>
    <col min="11782" max="11782" width="10.28515625" style="490" customWidth="1"/>
    <col min="11783" max="11783" width="13" style="490" customWidth="1"/>
    <col min="11784" max="11784" width="8.28515625" style="490" customWidth="1"/>
    <col min="11785" max="12030" width="10" style="490"/>
    <col min="12031" max="12031" width="2.5703125" style="490" customWidth="1"/>
    <col min="12032" max="12032" width="8.28515625" style="490" customWidth="1"/>
    <col min="12033" max="12033" width="37.140625" style="490" customWidth="1"/>
    <col min="12034" max="12034" width="9.7109375" style="490" customWidth="1"/>
    <col min="12035" max="12035" width="4.7109375" style="490" customWidth="1"/>
    <col min="12036" max="12036" width="14.42578125" style="490" customWidth="1"/>
    <col min="12037" max="12037" width="11.140625" style="490" customWidth="1"/>
    <col min="12038" max="12038" width="10.28515625" style="490" customWidth="1"/>
    <col min="12039" max="12039" width="13" style="490" customWidth="1"/>
    <col min="12040" max="12040" width="8.28515625" style="490" customWidth="1"/>
    <col min="12041" max="12286" width="9.140625" style="490"/>
    <col min="12287" max="12287" width="2.5703125" style="490" customWidth="1"/>
    <col min="12288" max="12288" width="8.28515625" style="490" customWidth="1"/>
    <col min="12289" max="12289" width="37.140625" style="490" customWidth="1"/>
    <col min="12290" max="12290" width="9.7109375" style="490" customWidth="1"/>
    <col min="12291" max="12291" width="4.7109375" style="490" customWidth="1"/>
    <col min="12292" max="12292" width="14.42578125" style="490" customWidth="1"/>
    <col min="12293" max="12293" width="11.140625" style="490" customWidth="1"/>
    <col min="12294" max="12294" width="10.28515625" style="490" customWidth="1"/>
    <col min="12295" max="12295" width="13" style="490" customWidth="1"/>
    <col min="12296" max="12296" width="8.28515625" style="490" customWidth="1"/>
    <col min="12297" max="12542" width="10" style="490"/>
    <col min="12543" max="12543" width="2.5703125" style="490" customWidth="1"/>
    <col min="12544" max="12544" width="8.28515625" style="490" customWidth="1"/>
    <col min="12545" max="12545" width="37.140625" style="490" customWidth="1"/>
    <col min="12546" max="12546" width="9.7109375" style="490" customWidth="1"/>
    <col min="12547" max="12547" width="4.7109375" style="490" customWidth="1"/>
    <col min="12548" max="12548" width="14.42578125" style="490" customWidth="1"/>
    <col min="12549" max="12549" width="11.140625" style="490" customWidth="1"/>
    <col min="12550" max="12550" width="10.28515625" style="490" customWidth="1"/>
    <col min="12551" max="12551" width="13" style="490" customWidth="1"/>
    <col min="12552" max="12552" width="8.28515625" style="490" customWidth="1"/>
    <col min="12553" max="12798" width="10" style="490"/>
    <col min="12799" max="12799" width="2.5703125" style="490" customWidth="1"/>
    <col min="12800" max="12800" width="8.28515625" style="490" customWidth="1"/>
    <col min="12801" max="12801" width="37.140625" style="490" customWidth="1"/>
    <col min="12802" max="12802" width="9.7109375" style="490" customWidth="1"/>
    <col min="12803" max="12803" width="4.7109375" style="490" customWidth="1"/>
    <col min="12804" max="12804" width="14.42578125" style="490" customWidth="1"/>
    <col min="12805" max="12805" width="11.140625" style="490" customWidth="1"/>
    <col min="12806" max="12806" width="10.28515625" style="490" customWidth="1"/>
    <col min="12807" max="12807" width="13" style="490" customWidth="1"/>
    <col min="12808" max="12808" width="8.28515625" style="490" customWidth="1"/>
    <col min="12809" max="13054" width="10" style="490"/>
    <col min="13055" max="13055" width="2.5703125" style="490" customWidth="1"/>
    <col min="13056" max="13056" width="8.28515625" style="490" customWidth="1"/>
    <col min="13057" max="13057" width="37.140625" style="490" customWidth="1"/>
    <col min="13058" max="13058" width="9.7109375" style="490" customWidth="1"/>
    <col min="13059" max="13059" width="4.7109375" style="490" customWidth="1"/>
    <col min="13060" max="13060" width="14.42578125" style="490" customWidth="1"/>
    <col min="13061" max="13061" width="11.140625" style="490" customWidth="1"/>
    <col min="13062" max="13062" width="10.28515625" style="490" customWidth="1"/>
    <col min="13063" max="13063" width="13" style="490" customWidth="1"/>
    <col min="13064" max="13064" width="8.28515625" style="490" customWidth="1"/>
    <col min="13065" max="13310" width="9.140625" style="490"/>
    <col min="13311" max="13311" width="2.5703125" style="490" customWidth="1"/>
    <col min="13312" max="13312" width="8.28515625" style="490" customWidth="1"/>
    <col min="13313" max="13313" width="37.140625" style="490" customWidth="1"/>
    <col min="13314" max="13314" width="9.7109375" style="490" customWidth="1"/>
    <col min="13315" max="13315" width="4.7109375" style="490" customWidth="1"/>
    <col min="13316" max="13316" width="14.42578125" style="490" customWidth="1"/>
    <col min="13317" max="13317" width="11.140625" style="490" customWidth="1"/>
    <col min="13318" max="13318" width="10.28515625" style="490" customWidth="1"/>
    <col min="13319" max="13319" width="13" style="490" customWidth="1"/>
    <col min="13320" max="13320" width="8.28515625" style="490" customWidth="1"/>
    <col min="13321" max="13566" width="10" style="490"/>
    <col min="13567" max="13567" width="2.5703125" style="490" customWidth="1"/>
    <col min="13568" max="13568" width="8.28515625" style="490" customWidth="1"/>
    <col min="13569" max="13569" width="37.140625" style="490" customWidth="1"/>
    <col min="13570" max="13570" width="9.7109375" style="490" customWidth="1"/>
    <col min="13571" max="13571" width="4.7109375" style="490" customWidth="1"/>
    <col min="13572" max="13572" width="14.42578125" style="490" customWidth="1"/>
    <col min="13573" max="13573" width="11.140625" style="490" customWidth="1"/>
    <col min="13574" max="13574" width="10.28515625" style="490" customWidth="1"/>
    <col min="13575" max="13575" width="13" style="490" customWidth="1"/>
    <col min="13576" max="13576" width="8.28515625" style="490" customWidth="1"/>
    <col min="13577" max="13822" width="10" style="490"/>
    <col min="13823" max="13823" width="2.5703125" style="490" customWidth="1"/>
    <col min="13824" max="13824" width="8.28515625" style="490" customWidth="1"/>
    <col min="13825" max="13825" width="37.140625" style="490" customWidth="1"/>
    <col min="13826" max="13826" width="9.7109375" style="490" customWidth="1"/>
    <col min="13827" max="13827" width="4.7109375" style="490" customWidth="1"/>
    <col min="13828" max="13828" width="14.42578125" style="490" customWidth="1"/>
    <col min="13829" max="13829" width="11.140625" style="490" customWidth="1"/>
    <col min="13830" max="13830" width="10.28515625" style="490" customWidth="1"/>
    <col min="13831" max="13831" width="13" style="490" customWidth="1"/>
    <col min="13832" max="13832" width="8.28515625" style="490" customWidth="1"/>
    <col min="13833" max="14078" width="10" style="490"/>
    <col min="14079" max="14079" width="2.5703125" style="490" customWidth="1"/>
    <col min="14080" max="14080" width="8.28515625" style="490" customWidth="1"/>
    <col min="14081" max="14081" width="37.140625" style="490" customWidth="1"/>
    <col min="14082" max="14082" width="9.7109375" style="490" customWidth="1"/>
    <col min="14083" max="14083" width="4.7109375" style="490" customWidth="1"/>
    <col min="14084" max="14084" width="14.42578125" style="490" customWidth="1"/>
    <col min="14085" max="14085" width="11.140625" style="490" customWidth="1"/>
    <col min="14086" max="14086" width="10.28515625" style="490" customWidth="1"/>
    <col min="14087" max="14087" width="13" style="490" customWidth="1"/>
    <col min="14088" max="14088" width="8.28515625" style="490" customWidth="1"/>
    <col min="14089" max="14334" width="9.140625" style="490"/>
    <col min="14335" max="14335" width="2.5703125" style="490" customWidth="1"/>
    <col min="14336" max="14336" width="8.28515625" style="490" customWidth="1"/>
    <col min="14337" max="14337" width="37.140625" style="490" customWidth="1"/>
    <col min="14338" max="14338" width="9.7109375" style="490" customWidth="1"/>
    <col min="14339" max="14339" width="4.7109375" style="490" customWidth="1"/>
    <col min="14340" max="14340" width="14.42578125" style="490" customWidth="1"/>
    <col min="14341" max="14341" width="11.140625" style="490" customWidth="1"/>
    <col min="14342" max="14342" width="10.28515625" style="490" customWidth="1"/>
    <col min="14343" max="14343" width="13" style="490" customWidth="1"/>
    <col min="14344" max="14344" width="8.28515625" style="490" customWidth="1"/>
    <col min="14345" max="14590" width="10" style="490"/>
    <col min="14591" max="14591" width="2.5703125" style="490" customWidth="1"/>
    <col min="14592" max="14592" width="8.28515625" style="490" customWidth="1"/>
    <col min="14593" max="14593" width="37.140625" style="490" customWidth="1"/>
    <col min="14594" max="14594" width="9.7109375" style="490" customWidth="1"/>
    <col min="14595" max="14595" width="4.7109375" style="490" customWidth="1"/>
    <col min="14596" max="14596" width="14.42578125" style="490" customWidth="1"/>
    <col min="14597" max="14597" width="11.140625" style="490" customWidth="1"/>
    <col min="14598" max="14598" width="10.28515625" style="490" customWidth="1"/>
    <col min="14599" max="14599" width="13" style="490" customWidth="1"/>
    <col min="14600" max="14600" width="8.28515625" style="490" customWidth="1"/>
    <col min="14601" max="14846" width="10" style="490"/>
    <col min="14847" max="14847" width="2.5703125" style="490" customWidth="1"/>
    <col min="14848" max="14848" width="8.28515625" style="490" customWidth="1"/>
    <col min="14849" max="14849" width="37.140625" style="490" customWidth="1"/>
    <col min="14850" max="14850" width="9.7109375" style="490" customWidth="1"/>
    <col min="14851" max="14851" width="4.7109375" style="490" customWidth="1"/>
    <col min="14852" max="14852" width="14.42578125" style="490" customWidth="1"/>
    <col min="14853" max="14853" width="11.140625" style="490" customWidth="1"/>
    <col min="14854" max="14854" width="10.28515625" style="490" customWidth="1"/>
    <col min="14855" max="14855" width="13" style="490" customWidth="1"/>
    <col min="14856" max="14856" width="8.28515625" style="490" customWidth="1"/>
    <col min="14857" max="15102" width="10" style="490"/>
    <col min="15103" max="15103" width="2.5703125" style="490" customWidth="1"/>
    <col min="15104" max="15104" width="8.28515625" style="490" customWidth="1"/>
    <col min="15105" max="15105" width="37.140625" style="490" customWidth="1"/>
    <col min="15106" max="15106" width="9.7109375" style="490" customWidth="1"/>
    <col min="15107" max="15107" width="4.7109375" style="490" customWidth="1"/>
    <col min="15108" max="15108" width="14.42578125" style="490" customWidth="1"/>
    <col min="15109" max="15109" width="11.140625" style="490" customWidth="1"/>
    <col min="15110" max="15110" width="10.28515625" style="490" customWidth="1"/>
    <col min="15111" max="15111" width="13" style="490" customWidth="1"/>
    <col min="15112" max="15112" width="8.28515625" style="490" customWidth="1"/>
    <col min="15113" max="15358" width="9.140625" style="490"/>
    <col min="15359" max="15359" width="2.5703125" style="490" customWidth="1"/>
    <col min="15360" max="15360" width="8.28515625" style="490" customWidth="1"/>
    <col min="15361" max="15361" width="37.140625" style="490" customWidth="1"/>
    <col min="15362" max="15362" width="9.7109375" style="490" customWidth="1"/>
    <col min="15363" max="15363" width="4.7109375" style="490" customWidth="1"/>
    <col min="15364" max="15364" width="14.42578125" style="490" customWidth="1"/>
    <col min="15365" max="15365" width="11.140625" style="490" customWidth="1"/>
    <col min="15366" max="15366" width="10.28515625" style="490" customWidth="1"/>
    <col min="15367" max="15367" width="13" style="490" customWidth="1"/>
    <col min="15368" max="15368" width="8.28515625" style="490" customWidth="1"/>
    <col min="15369" max="15614" width="10" style="490"/>
    <col min="15615" max="15615" width="2.5703125" style="490" customWidth="1"/>
    <col min="15616" max="15616" width="8.28515625" style="490" customWidth="1"/>
    <col min="15617" max="15617" width="37.140625" style="490" customWidth="1"/>
    <col min="15618" max="15618" width="9.7109375" style="490" customWidth="1"/>
    <col min="15619" max="15619" width="4.7109375" style="490" customWidth="1"/>
    <col min="15620" max="15620" width="14.42578125" style="490" customWidth="1"/>
    <col min="15621" max="15621" width="11.140625" style="490" customWidth="1"/>
    <col min="15622" max="15622" width="10.28515625" style="490" customWidth="1"/>
    <col min="15623" max="15623" width="13" style="490" customWidth="1"/>
    <col min="15624" max="15624" width="8.28515625" style="490" customWidth="1"/>
    <col min="15625" max="15870" width="10" style="490"/>
    <col min="15871" max="15871" width="2.5703125" style="490" customWidth="1"/>
    <col min="15872" max="15872" width="8.28515625" style="490" customWidth="1"/>
    <col min="15873" max="15873" width="37.140625" style="490" customWidth="1"/>
    <col min="15874" max="15874" width="9.7109375" style="490" customWidth="1"/>
    <col min="15875" max="15875" width="4.7109375" style="490" customWidth="1"/>
    <col min="15876" max="15876" width="14.42578125" style="490" customWidth="1"/>
    <col min="15877" max="15877" width="11.140625" style="490" customWidth="1"/>
    <col min="15878" max="15878" width="10.28515625" style="490" customWidth="1"/>
    <col min="15879" max="15879" width="13" style="490" customWidth="1"/>
    <col min="15880" max="15880" width="8.28515625" style="490" customWidth="1"/>
    <col min="15881" max="16126" width="10" style="490"/>
    <col min="16127" max="16127" width="2.5703125" style="490" customWidth="1"/>
    <col min="16128" max="16128" width="8.28515625" style="490" customWidth="1"/>
    <col min="16129" max="16129" width="37.140625" style="490" customWidth="1"/>
    <col min="16130" max="16130" width="9.7109375" style="490" customWidth="1"/>
    <col min="16131" max="16131" width="4.7109375" style="490" customWidth="1"/>
    <col min="16132" max="16132" width="14.42578125" style="490" customWidth="1"/>
    <col min="16133" max="16133" width="11.140625" style="490" customWidth="1"/>
    <col min="16134" max="16134" width="10.28515625" style="490" customWidth="1"/>
    <col min="16135" max="16135" width="13" style="490" customWidth="1"/>
    <col min="16136" max="16136" width="8.28515625" style="490" customWidth="1"/>
    <col min="16137" max="16382" width="9.140625" style="490"/>
    <col min="16383" max="16384" width="9.140625" style="490" customWidth="1"/>
  </cols>
  <sheetData>
    <row r="1" spans="1:8">
      <c r="A1" s="17" t="str">
        <f>RevReqSummary!A1</f>
        <v>PacifiCorp General Rate Case UE-140617</v>
      </c>
      <c r="B1" s="163"/>
      <c r="H1" s="717"/>
    </row>
    <row r="2" spans="1:8">
      <c r="A2" s="17" t="str">
        <f>RevReqSummary!A2</f>
        <v>For The Twelve Months Ended December 2013 - Staff Revenue Requirement</v>
      </c>
      <c r="B2" s="163"/>
      <c r="H2" s="717"/>
    </row>
    <row r="3" spans="1:8">
      <c r="A3" s="718" t="s">
        <v>1092</v>
      </c>
      <c r="B3" s="163"/>
      <c r="H3" s="717"/>
    </row>
    <row r="4" spans="1:8">
      <c r="A4" s="506" t="s">
        <v>506</v>
      </c>
      <c r="B4" s="163"/>
      <c r="H4" s="717"/>
    </row>
    <row r="5" spans="1:8">
      <c r="B5" s="163"/>
      <c r="H5" s="717"/>
    </row>
    <row r="6" spans="1:8">
      <c r="B6" s="23"/>
      <c r="C6" s="23"/>
      <c r="D6" s="23" t="s">
        <v>131</v>
      </c>
      <c r="E6" s="23"/>
      <c r="F6" s="23"/>
      <c r="G6" s="23" t="s">
        <v>236</v>
      </c>
      <c r="H6" s="717"/>
    </row>
    <row r="7" spans="1:8">
      <c r="B7" s="26" t="s">
        <v>132</v>
      </c>
      <c r="C7" s="26" t="s">
        <v>660</v>
      </c>
      <c r="D7" s="26" t="s">
        <v>134</v>
      </c>
      <c r="E7" s="26" t="s">
        <v>135</v>
      </c>
      <c r="F7" s="26" t="s">
        <v>136</v>
      </c>
      <c r="G7" s="26" t="s">
        <v>137</v>
      </c>
      <c r="H7" s="719"/>
    </row>
    <row r="8" spans="1:8">
      <c r="A8" s="720" t="s">
        <v>407</v>
      </c>
      <c r="B8" s="163"/>
      <c r="G8" s="721"/>
      <c r="H8" s="717"/>
    </row>
    <row r="9" spans="1:8">
      <c r="A9" s="490" t="s">
        <v>342</v>
      </c>
      <c r="B9" s="163">
        <v>190</v>
      </c>
      <c r="C9" s="163">
        <v>1</v>
      </c>
      <c r="D9" s="782">
        <v>-4237590</v>
      </c>
      <c r="E9" s="722" t="s">
        <v>155</v>
      </c>
      <c r="F9" s="625">
        <f t="shared" ref="F9:F27" si="0">INDEX(WCAAllocations,IFERROR(MATCH(E9,WCAFactors,0),2),IFERROR(MATCH(E9,WCAStates,0),4))</f>
        <v>0.11935828318835348</v>
      </c>
      <c r="G9" s="721">
        <f>D9*F9</f>
        <v>-505791.46725613484</v>
      </c>
      <c r="H9" s="717"/>
    </row>
    <row r="10" spans="1:8">
      <c r="A10" s="490" t="s">
        <v>342</v>
      </c>
      <c r="B10" s="163">
        <v>190</v>
      </c>
      <c r="C10" s="163">
        <v>1</v>
      </c>
      <c r="D10" s="782">
        <v>-719571</v>
      </c>
      <c r="E10" s="722" t="s">
        <v>261</v>
      </c>
      <c r="F10" s="625">
        <f t="shared" si="0"/>
        <v>0</v>
      </c>
      <c r="G10" s="721">
        <f t="shared" ref="G10:G27" si="1">D10*F10</f>
        <v>0</v>
      </c>
      <c r="H10" s="717"/>
    </row>
    <row r="11" spans="1:8">
      <c r="A11" s="490" t="s">
        <v>342</v>
      </c>
      <c r="B11" s="163">
        <v>190</v>
      </c>
      <c r="C11" s="163">
        <v>1</v>
      </c>
      <c r="D11" s="782">
        <v>0</v>
      </c>
      <c r="E11" s="722" t="s">
        <v>207</v>
      </c>
      <c r="F11" s="625">
        <f t="shared" si="0"/>
        <v>0.22741372946461591</v>
      </c>
      <c r="G11" s="721">
        <f t="shared" si="1"/>
        <v>0</v>
      </c>
      <c r="H11" s="717"/>
    </row>
    <row r="12" spans="1:8">
      <c r="A12" s="490" t="s">
        <v>342</v>
      </c>
      <c r="B12" s="163">
        <v>190</v>
      </c>
      <c r="C12" s="163">
        <v>1</v>
      </c>
      <c r="D12" s="782">
        <v>-88108</v>
      </c>
      <c r="E12" s="722" t="s">
        <v>214</v>
      </c>
      <c r="F12" s="625">
        <f t="shared" si="0"/>
        <v>0</v>
      </c>
      <c r="G12" s="721">
        <f t="shared" si="1"/>
        <v>0</v>
      </c>
      <c r="H12" s="684"/>
    </row>
    <row r="13" spans="1:8">
      <c r="A13" s="490" t="s">
        <v>342</v>
      </c>
      <c r="B13" s="163">
        <v>190</v>
      </c>
      <c r="C13" s="163">
        <v>1</v>
      </c>
      <c r="D13" s="782">
        <v>-534906</v>
      </c>
      <c r="E13" s="722" t="s">
        <v>203</v>
      </c>
      <c r="F13" s="625">
        <f t="shared" si="0"/>
        <v>0.23084885646883446</v>
      </c>
      <c r="G13" s="721">
        <f t="shared" si="1"/>
        <v>-123482.43841831837</v>
      </c>
      <c r="H13" s="684"/>
    </row>
    <row r="14" spans="1:8">
      <c r="A14" s="490" t="s">
        <v>342</v>
      </c>
      <c r="B14" s="163">
        <v>190</v>
      </c>
      <c r="C14" s="163">
        <v>1</v>
      </c>
      <c r="D14" s="782">
        <v>0</v>
      </c>
      <c r="E14" s="722" t="s">
        <v>152</v>
      </c>
      <c r="F14" s="625">
        <f t="shared" si="0"/>
        <v>6.9173575695716499E-2</v>
      </c>
      <c r="G14" s="721">
        <f t="shared" si="1"/>
        <v>0</v>
      </c>
      <c r="H14" s="684"/>
    </row>
    <row r="15" spans="1:8">
      <c r="A15" s="490" t="s">
        <v>342</v>
      </c>
      <c r="B15" s="163">
        <v>190</v>
      </c>
      <c r="C15" s="163">
        <v>1</v>
      </c>
      <c r="D15" s="782">
        <v>-20353137</v>
      </c>
      <c r="E15" s="722" t="s">
        <v>232</v>
      </c>
      <c r="F15" s="625">
        <f t="shared" si="0"/>
        <v>0.22612324164332259</v>
      </c>
      <c r="G15" s="721">
        <f t="shared" si="1"/>
        <v>-4602317.3160506496</v>
      </c>
      <c r="H15" s="651"/>
    </row>
    <row r="16" spans="1:8">
      <c r="A16" s="490" t="s">
        <v>342</v>
      </c>
      <c r="B16" s="163">
        <v>190</v>
      </c>
      <c r="C16" s="163">
        <v>1</v>
      </c>
      <c r="D16" s="782">
        <v>-1045217</v>
      </c>
      <c r="E16" s="722" t="s">
        <v>148</v>
      </c>
      <c r="F16" s="625">
        <f t="shared" si="0"/>
        <v>7.5697931989234163E-2</v>
      </c>
      <c r="G16" s="721">
        <f t="shared" si="1"/>
        <v>-79120.765379991368</v>
      </c>
      <c r="H16" s="684"/>
    </row>
    <row r="17" spans="1:8">
      <c r="A17" s="490" t="s">
        <v>342</v>
      </c>
      <c r="B17" s="163">
        <v>190</v>
      </c>
      <c r="C17" s="163">
        <v>1</v>
      </c>
      <c r="D17" s="782">
        <v>-5808656</v>
      </c>
      <c r="E17" s="722" t="s">
        <v>146</v>
      </c>
      <c r="F17" s="625">
        <f t="shared" si="0"/>
        <v>7.9057273540331513E-2</v>
      </c>
      <c r="G17" s="721">
        <f t="shared" si="1"/>
        <v>-459216.50629368791</v>
      </c>
      <c r="H17" s="684"/>
    </row>
    <row r="18" spans="1:8">
      <c r="A18" s="490" t="s">
        <v>342</v>
      </c>
      <c r="B18" s="163">
        <v>190</v>
      </c>
      <c r="C18" s="163">
        <v>1</v>
      </c>
      <c r="D18" s="782">
        <v>0</v>
      </c>
      <c r="E18" s="722" t="s">
        <v>151</v>
      </c>
      <c r="F18" s="625">
        <f t="shared" si="0"/>
        <v>6.2803307592478125E-2</v>
      </c>
      <c r="G18" s="721">
        <f t="shared" si="1"/>
        <v>0</v>
      </c>
      <c r="H18" s="684"/>
    </row>
    <row r="19" spans="1:8">
      <c r="A19" s="490" t="s">
        <v>342</v>
      </c>
      <c r="B19" s="163">
        <v>190</v>
      </c>
      <c r="C19" s="163">
        <v>1</v>
      </c>
      <c r="D19" s="782">
        <v>-45140552</v>
      </c>
      <c r="E19" s="722" t="s">
        <v>130</v>
      </c>
      <c r="F19" s="625">
        <f t="shared" si="0"/>
        <v>6.8539355270203509E-2</v>
      </c>
      <c r="G19" s="721">
        <f t="shared" si="1"/>
        <v>-3093904.3306210954</v>
      </c>
      <c r="H19" s="684"/>
    </row>
    <row r="20" spans="1:8">
      <c r="A20" s="490" t="s">
        <v>342</v>
      </c>
      <c r="B20" s="163">
        <v>190</v>
      </c>
      <c r="C20" s="163">
        <v>1</v>
      </c>
      <c r="D20" s="782">
        <v>-1925357</v>
      </c>
      <c r="E20" s="722" t="s">
        <v>168</v>
      </c>
      <c r="F20" s="625">
        <f t="shared" si="0"/>
        <v>0.23023487006179677</v>
      </c>
      <c r="G20" s="721">
        <f t="shared" si="1"/>
        <v>-443284.31871757086</v>
      </c>
      <c r="H20" s="684"/>
    </row>
    <row r="21" spans="1:8">
      <c r="A21" s="490" t="s">
        <v>342</v>
      </c>
      <c r="B21" s="163">
        <v>190</v>
      </c>
      <c r="C21" s="163">
        <v>1</v>
      </c>
      <c r="D21" s="782">
        <v>-9109</v>
      </c>
      <c r="E21" s="722" t="s">
        <v>170</v>
      </c>
      <c r="F21" s="625">
        <f t="shared" si="0"/>
        <v>0</v>
      </c>
      <c r="G21" s="721">
        <f t="shared" si="1"/>
        <v>0</v>
      </c>
      <c r="H21" s="684"/>
    </row>
    <row r="22" spans="1:8">
      <c r="A22" s="490" t="s">
        <v>342</v>
      </c>
      <c r="B22" s="163">
        <v>190</v>
      </c>
      <c r="C22" s="163">
        <v>1</v>
      </c>
      <c r="D22" s="782">
        <v>-2868925</v>
      </c>
      <c r="E22" s="722" t="s">
        <v>171</v>
      </c>
      <c r="F22" s="625">
        <f t="shared" si="0"/>
        <v>0</v>
      </c>
      <c r="G22" s="721">
        <f t="shared" si="1"/>
        <v>0</v>
      </c>
      <c r="H22" s="651"/>
    </row>
    <row r="23" spans="1:8">
      <c r="A23" s="490" t="s">
        <v>342</v>
      </c>
      <c r="B23" s="163">
        <v>190</v>
      </c>
      <c r="C23" s="163">
        <v>1</v>
      </c>
      <c r="D23" s="782">
        <v>-186421</v>
      </c>
      <c r="E23" s="722" t="s">
        <v>173</v>
      </c>
      <c r="F23" s="625">
        <f t="shared" si="0"/>
        <v>0</v>
      </c>
      <c r="G23" s="721">
        <f t="shared" si="1"/>
        <v>0</v>
      </c>
      <c r="H23" s="684"/>
    </row>
    <row r="24" spans="1:8">
      <c r="A24" s="490" t="s">
        <v>342</v>
      </c>
      <c r="B24" s="163">
        <v>190</v>
      </c>
      <c r="C24" s="163">
        <v>1</v>
      </c>
      <c r="D24" s="782">
        <v>-30275486</v>
      </c>
      <c r="E24" s="722" t="s">
        <v>164</v>
      </c>
      <c r="F24" s="625">
        <f t="shared" si="0"/>
        <v>0</v>
      </c>
      <c r="G24" s="721">
        <f t="shared" si="1"/>
        <v>0</v>
      </c>
      <c r="H24" s="684"/>
    </row>
    <row r="25" spans="1:8">
      <c r="A25" s="490" t="s">
        <v>342</v>
      </c>
      <c r="B25" s="163">
        <v>190</v>
      </c>
      <c r="C25" s="163">
        <v>1</v>
      </c>
      <c r="D25" s="782">
        <v>-585625</v>
      </c>
      <c r="E25" s="722" t="s">
        <v>172</v>
      </c>
      <c r="F25" s="625">
        <f t="shared" si="0"/>
        <v>0</v>
      </c>
      <c r="G25" s="721">
        <f t="shared" si="1"/>
        <v>0</v>
      </c>
      <c r="H25" s="684"/>
    </row>
    <row r="26" spans="1:8">
      <c r="A26" s="490" t="s">
        <v>342</v>
      </c>
      <c r="B26" s="163">
        <v>190</v>
      </c>
      <c r="C26" s="163">
        <v>1</v>
      </c>
      <c r="D26" s="782">
        <v>-196083</v>
      </c>
      <c r="E26" s="722" t="s">
        <v>517</v>
      </c>
      <c r="F26" s="625">
        <f t="shared" si="0"/>
        <v>0</v>
      </c>
      <c r="G26" s="721">
        <f t="shared" si="1"/>
        <v>0</v>
      </c>
      <c r="H26" s="684"/>
    </row>
    <row r="27" spans="1:8">
      <c r="A27" s="490" t="s">
        <v>342</v>
      </c>
      <c r="B27" s="163">
        <v>190</v>
      </c>
      <c r="C27" s="163">
        <v>1</v>
      </c>
      <c r="D27" s="782">
        <v>-1437017</v>
      </c>
      <c r="E27" s="722" t="s">
        <v>141</v>
      </c>
      <c r="F27" s="625">
        <f t="shared" si="0"/>
        <v>1</v>
      </c>
      <c r="G27" s="721">
        <f t="shared" si="1"/>
        <v>-1437017</v>
      </c>
      <c r="H27" s="684"/>
    </row>
    <row r="28" spans="1:8">
      <c r="B28" s="163"/>
      <c r="D28" s="724">
        <f>SUM(D9:D27)</f>
        <v>-115411760</v>
      </c>
      <c r="E28" s="61"/>
      <c r="F28" s="460"/>
      <c r="G28" s="724">
        <f>SUM(G9:G27)</f>
        <v>-10744134.142737448</v>
      </c>
      <c r="H28" s="684"/>
    </row>
    <row r="29" spans="1:8">
      <c r="A29" s="723"/>
      <c r="B29" s="163"/>
      <c r="D29" s="721"/>
      <c r="E29" s="61"/>
      <c r="F29" s="460"/>
      <c r="G29" s="721"/>
      <c r="H29" s="684"/>
    </row>
    <row r="30" spans="1:8">
      <c r="A30" s="490" t="s">
        <v>342</v>
      </c>
      <c r="B30" s="163">
        <v>282</v>
      </c>
      <c r="C30" s="163">
        <v>1</v>
      </c>
      <c r="D30" s="782">
        <v>5590202</v>
      </c>
      <c r="E30" s="61" t="s">
        <v>261</v>
      </c>
      <c r="F30" s="625">
        <v>0</v>
      </c>
      <c r="G30" s="721">
        <f>D30*F30</f>
        <v>0</v>
      </c>
      <c r="H30" s="684"/>
    </row>
    <row r="31" spans="1:8">
      <c r="A31" s="490" t="s">
        <v>342</v>
      </c>
      <c r="B31" s="163">
        <v>282</v>
      </c>
      <c r="C31" s="163">
        <v>1</v>
      </c>
      <c r="D31" s="782">
        <v>-13399273</v>
      </c>
      <c r="E31" s="61" t="s">
        <v>164</v>
      </c>
      <c r="F31" s="625">
        <v>0</v>
      </c>
      <c r="G31" s="721">
        <f>D31*F31</f>
        <v>0</v>
      </c>
      <c r="H31" s="684"/>
    </row>
    <row r="32" spans="1:8">
      <c r="A32" s="490" t="s">
        <v>342</v>
      </c>
      <c r="B32" s="163">
        <v>282</v>
      </c>
      <c r="C32" s="163">
        <v>1</v>
      </c>
      <c r="D32" s="782">
        <v>-14384740</v>
      </c>
      <c r="E32" s="163" t="s">
        <v>130</v>
      </c>
      <c r="F32" s="725">
        <v>6.8539355270203509E-2</v>
      </c>
      <c r="G32" s="721">
        <f>D32*F32</f>
        <v>-985920.80532950722</v>
      </c>
    </row>
    <row r="33" spans="1:8">
      <c r="D33" s="726">
        <f>SUM(D30:D32)</f>
        <v>-22193811</v>
      </c>
      <c r="G33" s="726">
        <f>SUM(G30:G32)</f>
        <v>-985920.80532950722</v>
      </c>
    </row>
    <row r="34" spans="1:8">
      <c r="E34" s="360"/>
    </row>
    <row r="35" spans="1:8">
      <c r="A35" s="490" t="s">
        <v>342</v>
      </c>
      <c r="B35" s="163">
        <v>283</v>
      </c>
      <c r="C35" s="163">
        <v>1</v>
      </c>
      <c r="D35" s="782">
        <v>1495653</v>
      </c>
      <c r="E35" s="163" t="s">
        <v>261</v>
      </c>
      <c r="F35" s="725">
        <f t="shared" ref="F35:F47" si="2">INDEX(WCAAllocations,IFERROR(MATCH(E35,WCAFactors,0),2),IFERROR(MATCH(E35,WCAStates,0),4))</f>
        <v>0</v>
      </c>
      <c r="G35" s="715">
        <f t="shared" ref="G35:G42" si="3">D35*F35</f>
        <v>0</v>
      </c>
    </row>
    <row r="36" spans="1:8">
      <c r="A36" s="490" t="s">
        <v>342</v>
      </c>
      <c r="B36" s="163">
        <v>283</v>
      </c>
      <c r="C36" s="163">
        <v>1</v>
      </c>
      <c r="D36" s="782">
        <v>2560977</v>
      </c>
      <c r="E36" s="163" t="s">
        <v>214</v>
      </c>
      <c r="F36" s="725">
        <f t="shared" si="2"/>
        <v>0</v>
      </c>
      <c r="G36" s="715">
        <f t="shared" si="3"/>
        <v>0</v>
      </c>
    </row>
    <row r="37" spans="1:8">
      <c r="A37" s="490" t="s">
        <v>342</v>
      </c>
      <c r="B37" s="163">
        <v>283</v>
      </c>
      <c r="C37" s="163">
        <v>1</v>
      </c>
      <c r="D37" s="782">
        <v>1750389</v>
      </c>
      <c r="E37" s="163" t="s">
        <v>203</v>
      </c>
      <c r="F37" s="725">
        <f t="shared" si="2"/>
        <v>0.23084885646883446</v>
      </c>
      <c r="G37" s="715">
        <f t="shared" si="3"/>
        <v>404075.29902562668</v>
      </c>
    </row>
    <row r="38" spans="1:8">
      <c r="A38" s="490" t="s">
        <v>342</v>
      </c>
      <c r="B38" s="163">
        <v>283</v>
      </c>
      <c r="C38" s="163">
        <v>1</v>
      </c>
      <c r="D38" s="782">
        <v>7701812</v>
      </c>
      <c r="E38" s="163" t="s">
        <v>149</v>
      </c>
      <c r="F38" s="725">
        <f t="shared" si="2"/>
        <v>6.8539355270203509E-2</v>
      </c>
      <c r="G38" s="715">
        <f t="shared" si="3"/>
        <v>527877.22889231658</v>
      </c>
    </row>
    <row r="39" spans="1:8">
      <c r="A39" s="490" t="s">
        <v>342</v>
      </c>
      <c r="B39" s="163">
        <v>283</v>
      </c>
      <c r="C39" s="163">
        <v>1</v>
      </c>
      <c r="D39" s="782">
        <v>3344054</v>
      </c>
      <c r="E39" s="163" t="s">
        <v>150</v>
      </c>
      <c r="F39" s="725">
        <f t="shared" si="2"/>
        <v>6.220721907403963E-2</v>
      </c>
      <c r="G39" s="715">
        <f t="shared" si="3"/>
        <v>208024.29977341852</v>
      </c>
      <c r="H39" s="727"/>
    </row>
    <row r="40" spans="1:8">
      <c r="A40" s="490" t="s">
        <v>342</v>
      </c>
      <c r="B40" s="163">
        <v>283</v>
      </c>
      <c r="C40" s="163">
        <v>1</v>
      </c>
      <c r="D40" s="782">
        <v>11317077</v>
      </c>
      <c r="E40" s="163" t="s">
        <v>130</v>
      </c>
      <c r="F40" s="725">
        <f t="shared" si="2"/>
        <v>6.8539355270203509E-2</v>
      </c>
      <c r="G40" s="715">
        <f t="shared" si="3"/>
        <v>775665.16112324886</v>
      </c>
      <c r="H40" s="163"/>
    </row>
    <row r="41" spans="1:8">
      <c r="A41" s="490" t="s">
        <v>342</v>
      </c>
      <c r="B41" s="163">
        <v>283</v>
      </c>
      <c r="C41" s="163">
        <v>1</v>
      </c>
      <c r="D41" s="782">
        <v>377411</v>
      </c>
      <c r="E41" s="163" t="s">
        <v>170</v>
      </c>
      <c r="F41" s="725">
        <f t="shared" si="2"/>
        <v>0</v>
      </c>
      <c r="G41" s="715">
        <f t="shared" si="3"/>
        <v>0</v>
      </c>
    </row>
    <row r="42" spans="1:8">
      <c r="A42" s="490" t="s">
        <v>342</v>
      </c>
      <c r="B42" s="163">
        <v>283</v>
      </c>
      <c r="C42" s="163">
        <v>1</v>
      </c>
      <c r="D42" s="782">
        <v>183969</v>
      </c>
      <c r="E42" s="163" t="s">
        <v>173</v>
      </c>
      <c r="F42" s="725">
        <f t="shared" si="2"/>
        <v>0</v>
      </c>
      <c r="G42" s="715">
        <f t="shared" si="3"/>
        <v>0</v>
      </c>
    </row>
    <row r="43" spans="1:8">
      <c r="A43" s="490" t="s">
        <v>342</v>
      </c>
      <c r="B43" s="163">
        <v>283</v>
      </c>
      <c r="C43" s="163">
        <v>1</v>
      </c>
      <c r="D43" s="782">
        <v>-1136309</v>
      </c>
      <c r="E43" s="163" t="s">
        <v>171</v>
      </c>
      <c r="F43" s="725">
        <f t="shared" si="2"/>
        <v>0</v>
      </c>
      <c r="G43" s="715">
        <f>0</f>
        <v>0</v>
      </c>
      <c r="H43" s="717"/>
    </row>
    <row r="44" spans="1:8">
      <c r="A44" s="490" t="s">
        <v>342</v>
      </c>
      <c r="B44" s="163">
        <v>283</v>
      </c>
      <c r="C44" s="163">
        <v>1</v>
      </c>
      <c r="D44" s="782">
        <v>91186468</v>
      </c>
      <c r="E44" s="163" t="s">
        <v>164</v>
      </c>
      <c r="F44" s="725">
        <f t="shared" si="2"/>
        <v>0</v>
      </c>
      <c r="G44" s="715">
        <f>0</f>
        <v>0</v>
      </c>
      <c r="H44" s="163"/>
    </row>
    <row r="45" spans="1:8">
      <c r="A45" s="490" t="s">
        <v>342</v>
      </c>
      <c r="B45" s="163">
        <v>283</v>
      </c>
      <c r="C45" s="163">
        <v>1</v>
      </c>
      <c r="D45" s="782">
        <v>3003780</v>
      </c>
      <c r="E45" s="163" t="s">
        <v>172</v>
      </c>
      <c r="F45" s="725">
        <f t="shared" si="2"/>
        <v>0</v>
      </c>
      <c r="G45" s="715">
        <f>0</f>
        <v>0</v>
      </c>
      <c r="H45" s="717"/>
    </row>
    <row r="46" spans="1:8">
      <c r="A46" s="490" t="s">
        <v>342</v>
      </c>
      <c r="B46" s="163">
        <v>283</v>
      </c>
      <c r="C46" s="163">
        <v>1</v>
      </c>
      <c r="D46" s="782">
        <v>151444</v>
      </c>
      <c r="E46" s="163" t="s">
        <v>141</v>
      </c>
      <c r="F46" s="725">
        <f t="shared" si="2"/>
        <v>1</v>
      </c>
      <c r="G46" s="715">
        <f>D46*F46</f>
        <v>151444</v>
      </c>
      <c r="H46" s="717"/>
    </row>
    <row r="47" spans="1:8">
      <c r="A47" s="490" t="s">
        <v>342</v>
      </c>
      <c r="B47" s="163">
        <v>283</v>
      </c>
      <c r="C47" s="163">
        <v>1</v>
      </c>
      <c r="D47" s="782">
        <v>1089877</v>
      </c>
      <c r="E47" s="163" t="s">
        <v>517</v>
      </c>
      <c r="F47" s="725">
        <f t="shared" si="2"/>
        <v>0</v>
      </c>
      <c r="G47" s="715">
        <f>0</f>
        <v>0</v>
      </c>
      <c r="H47" s="717"/>
    </row>
    <row r="48" spans="1:8">
      <c r="B48" s="163"/>
      <c r="D48" s="726">
        <f>SUM(D35:D47)</f>
        <v>123026602</v>
      </c>
      <c r="G48" s="726">
        <f>SUM(G35:G47)</f>
        <v>2067085.9888146105</v>
      </c>
      <c r="H48" s="717"/>
    </row>
    <row r="49" spans="1:7">
      <c r="B49" s="163"/>
    </row>
    <row r="50" spans="1:7">
      <c r="A50" s="490" t="s">
        <v>408</v>
      </c>
      <c r="B50" s="523"/>
      <c r="D50" s="782">
        <f>D28+D33+D48</f>
        <v>-14578969</v>
      </c>
      <c r="G50" s="715">
        <f>G28+G33+G48</f>
        <v>-9662968.9592523444</v>
      </c>
    </row>
    <row r="51" spans="1:7">
      <c r="B51" s="523"/>
    </row>
    <row r="52" spans="1:7">
      <c r="A52" s="490" t="s">
        <v>199</v>
      </c>
      <c r="B52" s="523"/>
    </row>
    <row r="53" spans="1:7">
      <c r="A53" s="490" t="s">
        <v>254</v>
      </c>
      <c r="B53" s="523">
        <v>41010</v>
      </c>
      <c r="C53" s="163">
        <v>1</v>
      </c>
      <c r="D53" s="782">
        <v>292874</v>
      </c>
      <c r="E53" s="728" t="s">
        <v>261</v>
      </c>
      <c r="F53" s="725">
        <f t="shared" ref="F53:F67" si="4">INDEX(WCAAllocations,IFERROR(MATCH(E53,WCAFactors,0),2),IFERROR(MATCH(E53,WCAStates,0),4))</f>
        <v>0</v>
      </c>
      <c r="G53" s="715">
        <f>D53*F53</f>
        <v>0</v>
      </c>
    </row>
    <row r="54" spans="1:7">
      <c r="A54" s="490" t="s">
        <v>254</v>
      </c>
      <c r="B54" s="523">
        <v>41010</v>
      </c>
      <c r="C54" s="163">
        <v>1</v>
      </c>
      <c r="D54" s="782">
        <v>-89180</v>
      </c>
      <c r="E54" s="728" t="s">
        <v>214</v>
      </c>
      <c r="F54" s="725">
        <f t="shared" si="4"/>
        <v>0</v>
      </c>
      <c r="G54" s="715">
        <f t="shared" ref="G54:G67" si="5">D54*F54</f>
        <v>0</v>
      </c>
    </row>
    <row r="55" spans="1:7">
      <c r="A55" s="490" t="s">
        <v>254</v>
      </c>
      <c r="B55" s="490">
        <v>41010</v>
      </c>
      <c r="C55" s="163">
        <v>1</v>
      </c>
      <c r="D55" s="782">
        <v>-208729</v>
      </c>
      <c r="E55" s="728" t="s">
        <v>203</v>
      </c>
      <c r="F55" s="725">
        <f t="shared" si="4"/>
        <v>0.23084885646883446</v>
      </c>
      <c r="G55" s="715">
        <f t="shared" si="5"/>
        <v>-48184.850961883349</v>
      </c>
    </row>
    <row r="56" spans="1:7">
      <c r="A56" s="490" t="s">
        <v>254</v>
      </c>
      <c r="B56" s="490">
        <v>41010</v>
      </c>
      <c r="C56" s="163">
        <v>1</v>
      </c>
      <c r="D56" s="782">
        <v>-510383</v>
      </c>
      <c r="E56" s="728" t="s">
        <v>232</v>
      </c>
      <c r="F56" s="725">
        <f t="shared" si="4"/>
        <v>0.22612324164332259</v>
      </c>
      <c r="G56" s="715">
        <f t="shared" si="5"/>
        <v>-115409.45843964392</v>
      </c>
    </row>
    <row r="57" spans="1:7">
      <c r="A57" s="490" t="s">
        <v>254</v>
      </c>
      <c r="B57" s="490">
        <v>41010</v>
      </c>
      <c r="C57" s="163">
        <v>1</v>
      </c>
      <c r="D57" s="782">
        <v>-1726</v>
      </c>
      <c r="E57" s="728" t="s">
        <v>207</v>
      </c>
      <c r="F57" s="725">
        <f t="shared" si="4"/>
        <v>0.22741372946461591</v>
      </c>
      <c r="G57" s="715">
        <f t="shared" si="5"/>
        <v>-392.51609705592705</v>
      </c>
    </row>
    <row r="58" spans="1:7">
      <c r="A58" s="490" t="s">
        <v>254</v>
      </c>
      <c r="B58" s="490">
        <v>41010</v>
      </c>
      <c r="C58" s="163">
        <v>1</v>
      </c>
      <c r="D58" s="782">
        <v>6398941</v>
      </c>
      <c r="E58" s="728" t="s">
        <v>130</v>
      </c>
      <c r="F58" s="725">
        <f t="shared" si="4"/>
        <v>6.8539355270203509E-2</v>
      </c>
      <c r="G58" s="715">
        <f t="shared" si="5"/>
        <v>438579.2905520713</v>
      </c>
    </row>
    <row r="59" spans="1:7">
      <c r="A59" s="490" t="s">
        <v>254</v>
      </c>
      <c r="B59" s="490">
        <v>41010</v>
      </c>
      <c r="C59" s="163">
        <v>1</v>
      </c>
      <c r="D59" s="782">
        <v>33043</v>
      </c>
      <c r="E59" s="728" t="s">
        <v>170</v>
      </c>
      <c r="F59" s="725">
        <f t="shared" si="4"/>
        <v>0</v>
      </c>
      <c r="G59" s="715">
        <f t="shared" si="5"/>
        <v>0</v>
      </c>
    </row>
    <row r="60" spans="1:7">
      <c r="A60" s="490" t="s">
        <v>254</v>
      </c>
      <c r="B60" s="490">
        <v>41010</v>
      </c>
      <c r="C60" s="163">
        <v>1</v>
      </c>
      <c r="D60" s="782">
        <v>-16670</v>
      </c>
      <c r="E60" s="728" t="s">
        <v>173</v>
      </c>
      <c r="F60" s="725">
        <f t="shared" si="4"/>
        <v>0</v>
      </c>
      <c r="G60" s="715">
        <f t="shared" si="5"/>
        <v>0</v>
      </c>
    </row>
    <row r="61" spans="1:7">
      <c r="A61" s="490" t="s">
        <v>254</v>
      </c>
      <c r="B61" s="490">
        <v>41010</v>
      </c>
      <c r="C61" s="163">
        <v>1</v>
      </c>
      <c r="D61" s="782">
        <v>49700</v>
      </c>
      <c r="E61" s="728" t="s">
        <v>171</v>
      </c>
      <c r="F61" s="725">
        <f t="shared" si="4"/>
        <v>0</v>
      </c>
      <c r="G61" s="715">
        <f t="shared" si="5"/>
        <v>0</v>
      </c>
    </row>
    <row r="62" spans="1:7">
      <c r="A62" s="490" t="s">
        <v>254</v>
      </c>
      <c r="B62" s="490">
        <v>41010</v>
      </c>
      <c r="C62" s="163">
        <v>1</v>
      </c>
      <c r="D62" s="782">
        <v>-20041134</v>
      </c>
      <c r="E62" s="728" t="s">
        <v>164</v>
      </c>
      <c r="F62" s="725">
        <f t="shared" si="4"/>
        <v>0</v>
      </c>
      <c r="G62" s="715">
        <f t="shared" si="5"/>
        <v>0</v>
      </c>
    </row>
    <row r="63" spans="1:7">
      <c r="A63" s="490" t="s">
        <v>254</v>
      </c>
      <c r="B63" s="523">
        <v>41010</v>
      </c>
      <c r="C63" s="490">
        <v>1</v>
      </c>
      <c r="D63" s="782">
        <v>-265737</v>
      </c>
      <c r="E63" s="728" t="s">
        <v>146</v>
      </c>
      <c r="F63" s="725">
        <f t="shared" si="4"/>
        <v>7.9057273540331513E-2</v>
      </c>
      <c r="G63" s="715">
        <f t="shared" si="5"/>
        <v>-21008.442698787076</v>
      </c>
    </row>
    <row r="64" spans="1:7">
      <c r="A64" s="490" t="s">
        <v>254</v>
      </c>
      <c r="B64" s="523">
        <v>41010</v>
      </c>
      <c r="C64" s="490">
        <v>1</v>
      </c>
      <c r="D64" s="782">
        <v>218965</v>
      </c>
      <c r="E64" s="728" t="s">
        <v>151</v>
      </c>
      <c r="F64" s="725">
        <f t="shared" si="4"/>
        <v>6.2803307592478125E-2</v>
      </c>
      <c r="G64" s="715">
        <f t="shared" si="5"/>
        <v>13751.726246986973</v>
      </c>
    </row>
    <row r="65" spans="1:7">
      <c r="A65" s="490" t="s">
        <v>254</v>
      </c>
      <c r="B65" s="523">
        <v>41010</v>
      </c>
      <c r="C65" s="490">
        <v>1</v>
      </c>
      <c r="D65" s="782">
        <v>628064</v>
      </c>
      <c r="E65" s="728" t="s">
        <v>172</v>
      </c>
      <c r="F65" s="725">
        <f t="shared" si="4"/>
        <v>0</v>
      </c>
      <c r="G65" s="715">
        <f t="shared" si="5"/>
        <v>0</v>
      </c>
    </row>
    <row r="66" spans="1:7">
      <c r="A66" s="490" t="s">
        <v>254</v>
      </c>
      <c r="B66" s="523">
        <v>41010</v>
      </c>
      <c r="C66" s="490">
        <v>1</v>
      </c>
      <c r="D66" s="782">
        <v>-108173</v>
      </c>
      <c r="E66" s="728" t="s">
        <v>141</v>
      </c>
      <c r="F66" s="725">
        <f t="shared" si="4"/>
        <v>1</v>
      </c>
      <c r="G66" s="715">
        <f t="shared" si="5"/>
        <v>-108173</v>
      </c>
    </row>
    <row r="67" spans="1:7">
      <c r="A67" s="490" t="s">
        <v>254</v>
      </c>
      <c r="B67" s="523">
        <v>41010</v>
      </c>
      <c r="C67" s="490">
        <v>1</v>
      </c>
      <c r="D67" s="782">
        <v>-43322</v>
      </c>
      <c r="E67" s="728" t="s">
        <v>517</v>
      </c>
      <c r="F67" s="725">
        <f t="shared" si="4"/>
        <v>0</v>
      </c>
      <c r="G67" s="715">
        <f t="shared" si="5"/>
        <v>0</v>
      </c>
    </row>
    <row r="68" spans="1:7" ht="13.5" thickBot="1">
      <c r="B68" s="523"/>
      <c r="C68" s="490"/>
      <c r="D68" s="730">
        <f>SUM(D53:D67)</f>
        <v>-13663467</v>
      </c>
      <c r="E68" s="490"/>
      <c r="F68" s="490"/>
      <c r="G68" s="730">
        <f>SUM(G53:G67)</f>
        <v>159162.74860168796</v>
      </c>
    </row>
    <row r="69" spans="1:7" ht="13.5" thickTop="1">
      <c r="B69" s="523"/>
      <c r="C69" s="490"/>
      <c r="D69" s="729"/>
      <c r="E69" s="490"/>
      <c r="F69" s="490"/>
      <c r="G69" s="729"/>
    </row>
    <row r="70" spans="1:7">
      <c r="A70" s="490" t="s">
        <v>254</v>
      </c>
      <c r="B70" s="523">
        <v>41110</v>
      </c>
      <c r="C70" s="490">
        <v>1</v>
      </c>
      <c r="D70" s="782">
        <v>-708014</v>
      </c>
      <c r="E70" s="731" t="s">
        <v>155</v>
      </c>
      <c r="F70" s="725">
        <f t="shared" ref="F70:F86" si="6">INDEX(WCAAllocations,IFERROR(MATCH(E70,WCAFactors,0),2),IFERROR(MATCH(E70,WCAStates,0),4))</f>
        <v>0.11935828318835348</v>
      </c>
      <c r="G70" s="729">
        <f>D70*F70</f>
        <v>-84507.335513318903</v>
      </c>
    </row>
    <row r="71" spans="1:7">
      <c r="A71" s="490" t="s">
        <v>254</v>
      </c>
      <c r="B71" s="523">
        <v>41110</v>
      </c>
      <c r="C71" s="490">
        <v>1</v>
      </c>
      <c r="D71" s="782">
        <v>2452246</v>
      </c>
      <c r="E71" s="731" t="s">
        <v>261</v>
      </c>
      <c r="F71" s="725">
        <f t="shared" si="6"/>
        <v>0</v>
      </c>
      <c r="G71" s="729">
        <f t="shared" ref="G71:G86" si="7">D71*F71</f>
        <v>0</v>
      </c>
    </row>
    <row r="72" spans="1:7">
      <c r="A72" s="490" t="s">
        <v>254</v>
      </c>
      <c r="B72" s="523">
        <v>41110</v>
      </c>
      <c r="C72" s="490">
        <v>1</v>
      </c>
      <c r="D72" s="782">
        <v>431845</v>
      </c>
      <c r="E72" s="731" t="s">
        <v>214</v>
      </c>
      <c r="F72" s="725">
        <f t="shared" si="6"/>
        <v>0</v>
      </c>
      <c r="G72" s="729">
        <f t="shared" si="7"/>
        <v>0</v>
      </c>
    </row>
    <row r="73" spans="1:7">
      <c r="A73" s="490" t="s">
        <v>254</v>
      </c>
      <c r="B73" s="523">
        <v>41110</v>
      </c>
      <c r="C73" s="490">
        <v>1</v>
      </c>
      <c r="D73" s="782">
        <v>117296</v>
      </c>
      <c r="E73" s="731" t="s">
        <v>203</v>
      </c>
      <c r="F73" s="725">
        <f t="shared" si="6"/>
        <v>0.23084885646883446</v>
      </c>
      <c r="G73" s="729">
        <f t="shared" si="7"/>
        <v>27077.647468368406</v>
      </c>
    </row>
    <row r="74" spans="1:7">
      <c r="A74" s="490" t="s">
        <v>254</v>
      </c>
      <c r="B74" s="523">
        <v>41110</v>
      </c>
      <c r="C74" s="490">
        <v>1</v>
      </c>
      <c r="D74" s="782">
        <v>-642537</v>
      </c>
      <c r="E74" s="731" t="s">
        <v>149</v>
      </c>
      <c r="F74" s="725">
        <f t="shared" si="6"/>
        <v>6.8539355270203509E-2</v>
      </c>
      <c r="G74" s="729">
        <f t="shared" si="7"/>
        <v>-44039.07171725075</v>
      </c>
    </row>
    <row r="75" spans="1:7">
      <c r="A75" s="490" t="s">
        <v>254</v>
      </c>
      <c r="B75" s="523">
        <v>41110</v>
      </c>
      <c r="C75" s="490">
        <v>1</v>
      </c>
      <c r="D75" s="782">
        <v>-253043</v>
      </c>
      <c r="E75" s="731" t="s">
        <v>232</v>
      </c>
      <c r="F75" s="725">
        <f t="shared" si="6"/>
        <v>0.22612324164332259</v>
      </c>
      <c r="G75" s="729">
        <f t="shared" si="7"/>
        <v>-57218.903435151282</v>
      </c>
    </row>
    <row r="76" spans="1:7">
      <c r="A76" s="490" t="s">
        <v>254</v>
      </c>
      <c r="B76" s="523">
        <v>41110</v>
      </c>
      <c r="C76" s="490">
        <v>1</v>
      </c>
      <c r="D76" s="782">
        <v>-123</v>
      </c>
      <c r="E76" s="731" t="s">
        <v>146</v>
      </c>
      <c r="F76" s="725">
        <f t="shared" si="6"/>
        <v>7.9057273540331513E-2</v>
      </c>
      <c r="G76" s="729">
        <f t="shared" si="7"/>
        <v>-9.7240446454607756</v>
      </c>
    </row>
    <row r="77" spans="1:7">
      <c r="A77" s="490" t="s">
        <v>254</v>
      </c>
      <c r="B77" s="523">
        <v>41110</v>
      </c>
      <c r="C77" s="490">
        <v>1</v>
      </c>
      <c r="D77" s="782">
        <v>536191</v>
      </c>
      <c r="E77" s="731" t="s">
        <v>150</v>
      </c>
      <c r="F77" s="725">
        <f t="shared" si="6"/>
        <v>6.220721907403963E-2</v>
      </c>
      <c r="G77" s="729">
        <f t="shared" si="7"/>
        <v>33354.951002528382</v>
      </c>
    </row>
    <row r="78" spans="1:7">
      <c r="A78" s="490" t="s">
        <v>254</v>
      </c>
      <c r="B78" s="523">
        <v>41110</v>
      </c>
      <c r="C78" s="490">
        <v>1</v>
      </c>
      <c r="D78" s="782">
        <v>-147790</v>
      </c>
      <c r="E78" s="731" t="s">
        <v>151</v>
      </c>
      <c r="F78" s="725">
        <f t="shared" si="6"/>
        <v>6.2803307592478125E-2</v>
      </c>
      <c r="G78" s="729">
        <f t="shared" si="7"/>
        <v>-9281.7008290923422</v>
      </c>
    </row>
    <row r="79" spans="1:7">
      <c r="A79" s="490" t="s">
        <v>254</v>
      </c>
      <c r="B79" s="523">
        <v>41110</v>
      </c>
      <c r="C79" s="490">
        <v>1</v>
      </c>
      <c r="D79" s="782">
        <v>-47848</v>
      </c>
      <c r="E79" s="731" t="s">
        <v>130</v>
      </c>
      <c r="F79" s="725">
        <f t="shared" si="6"/>
        <v>6.8539355270203509E-2</v>
      </c>
      <c r="G79" s="729">
        <f t="shared" si="7"/>
        <v>-3279.4710709686974</v>
      </c>
    </row>
    <row r="80" spans="1:7">
      <c r="A80" s="490" t="s">
        <v>254</v>
      </c>
      <c r="B80" s="523">
        <v>41110</v>
      </c>
      <c r="C80" s="490">
        <v>1</v>
      </c>
      <c r="D80" s="782">
        <v>-236048</v>
      </c>
      <c r="E80" s="731" t="s">
        <v>170</v>
      </c>
      <c r="F80" s="725">
        <f t="shared" si="6"/>
        <v>0</v>
      </c>
      <c r="G80" s="729">
        <f t="shared" si="7"/>
        <v>0</v>
      </c>
    </row>
    <row r="81" spans="1:9">
      <c r="A81" s="490" t="s">
        <v>254</v>
      </c>
      <c r="B81" s="523">
        <v>41110</v>
      </c>
      <c r="C81" s="490">
        <v>1</v>
      </c>
      <c r="D81" s="782">
        <v>47286</v>
      </c>
      <c r="E81" s="731" t="s">
        <v>173</v>
      </c>
      <c r="F81" s="725">
        <f t="shared" si="6"/>
        <v>0</v>
      </c>
      <c r="G81" s="729">
        <f t="shared" si="7"/>
        <v>0</v>
      </c>
    </row>
    <row r="82" spans="1:9">
      <c r="A82" s="490" t="s">
        <v>254</v>
      </c>
      <c r="B82" s="523">
        <v>41110</v>
      </c>
      <c r="C82" s="490">
        <v>1</v>
      </c>
      <c r="D82" s="782">
        <v>1158798</v>
      </c>
      <c r="E82" s="731" t="s">
        <v>171</v>
      </c>
      <c r="F82" s="725">
        <f t="shared" si="6"/>
        <v>0</v>
      </c>
      <c r="G82" s="729">
        <f t="shared" si="7"/>
        <v>0</v>
      </c>
    </row>
    <row r="83" spans="1:9">
      <c r="A83" s="490" t="s">
        <v>254</v>
      </c>
      <c r="B83" s="523">
        <v>41110</v>
      </c>
      <c r="C83" s="490">
        <v>1</v>
      </c>
      <c r="D83" s="782">
        <v>-3739919</v>
      </c>
      <c r="E83" s="731" t="s">
        <v>164</v>
      </c>
      <c r="F83" s="725">
        <f t="shared" si="6"/>
        <v>0</v>
      </c>
      <c r="G83" s="729">
        <f t="shared" si="7"/>
        <v>0</v>
      </c>
    </row>
    <row r="84" spans="1:9">
      <c r="A84" s="490" t="s">
        <v>254</v>
      </c>
      <c r="B84" s="523">
        <v>41110</v>
      </c>
      <c r="C84" s="490">
        <v>1</v>
      </c>
      <c r="D84" s="782">
        <v>807588</v>
      </c>
      <c r="E84" s="731" t="s">
        <v>172</v>
      </c>
      <c r="F84" s="725">
        <f t="shared" si="6"/>
        <v>0</v>
      </c>
      <c r="G84" s="729">
        <f t="shared" si="7"/>
        <v>0</v>
      </c>
    </row>
    <row r="85" spans="1:9">
      <c r="A85" s="490" t="s">
        <v>254</v>
      </c>
      <c r="B85" s="523">
        <v>41110</v>
      </c>
      <c r="C85" s="490">
        <v>1</v>
      </c>
      <c r="D85" s="782">
        <v>-428908</v>
      </c>
      <c r="E85" s="731" t="s">
        <v>141</v>
      </c>
      <c r="F85" s="725">
        <f t="shared" si="6"/>
        <v>1</v>
      </c>
      <c r="G85" s="729">
        <f t="shared" si="7"/>
        <v>-428908</v>
      </c>
    </row>
    <row r="86" spans="1:9">
      <c r="A86" s="490" t="s">
        <v>254</v>
      </c>
      <c r="B86" s="523">
        <v>41110</v>
      </c>
      <c r="C86" s="490">
        <v>1</v>
      </c>
      <c r="D86" s="782">
        <v>-270651</v>
      </c>
      <c r="E86" s="731" t="s">
        <v>517</v>
      </c>
      <c r="F86" s="725">
        <f t="shared" si="6"/>
        <v>0</v>
      </c>
      <c r="G86" s="729">
        <f t="shared" si="7"/>
        <v>0</v>
      </c>
    </row>
    <row r="87" spans="1:9" ht="13.5" thickBot="1">
      <c r="B87" s="523"/>
      <c r="C87" s="490"/>
      <c r="D87" s="730">
        <f>SUM(D70:D86)</f>
        <v>-923631</v>
      </c>
      <c r="E87" s="490"/>
      <c r="F87" s="490"/>
      <c r="G87" s="730">
        <f>SUM(G70:G86)</f>
        <v>-566811.60813953064</v>
      </c>
    </row>
    <row r="88" spans="1:9" ht="13.5" thickTop="1">
      <c r="B88" s="523"/>
      <c r="C88" s="490"/>
      <c r="D88" s="729"/>
      <c r="E88" s="490"/>
      <c r="F88" s="490"/>
      <c r="G88" s="729"/>
    </row>
    <row r="89" spans="1:9">
      <c r="A89" s="490" t="s">
        <v>451</v>
      </c>
      <c r="B89" s="523"/>
      <c r="C89" s="490"/>
      <c r="D89" s="782">
        <f>D87+D68</f>
        <v>-14587098</v>
      </c>
      <c r="E89" s="490"/>
      <c r="F89" s="490"/>
      <c r="G89" s="729">
        <f>G87+G68</f>
        <v>-407648.85953784268</v>
      </c>
    </row>
    <row r="90" spans="1:9">
      <c r="B90" s="523"/>
      <c r="C90" s="490"/>
      <c r="D90" s="490"/>
      <c r="E90" s="490"/>
      <c r="F90" s="490"/>
      <c r="G90" s="490"/>
    </row>
    <row r="91" spans="1:9">
      <c r="A91" s="506" t="s">
        <v>212</v>
      </c>
      <c r="B91" s="523"/>
      <c r="C91" s="490"/>
      <c r="D91" s="490"/>
      <c r="E91" s="490"/>
      <c r="F91" s="490"/>
      <c r="G91" s="490"/>
    </row>
    <row r="92" spans="1:9">
      <c r="A92" s="1403" t="s">
        <v>747</v>
      </c>
      <c r="B92" s="1403"/>
      <c r="C92" s="1403"/>
      <c r="D92" s="1403"/>
      <c r="E92" s="1403"/>
      <c r="F92" s="1403"/>
      <c r="G92" s="1403"/>
    </row>
    <row r="93" spans="1:9" ht="13.15" customHeight="1">
      <c r="A93" s="1403"/>
      <c r="B93" s="1403"/>
      <c r="C93" s="1403"/>
      <c r="D93" s="1403"/>
      <c r="E93" s="1403"/>
      <c r="F93" s="1403"/>
      <c r="G93" s="1403"/>
      <c r="H93" s="1317"/>
      <c r="I93" s="1317"/>
    </row>
    <row r="94" spans="1:9">
      <c r="A94" s="1403"/>
      <c r="B94" s="1403"/>
      <c r="C94" s="1403"/>
      <c r="D94" s="1403"/>
      <c r="E94" s="1403"/>
      <c r="F94" s="1403"/>
      <c r="G94" s="1403"/>
      <c r="H94" s="1317"/>
      <c r="I94" s="1317"/>
    </row>
    <row r="95" spans="1:9">
      <c r="B95" s="523"/>
      <c r="C95" s="490"/>
      <c r="D95" s="490"/>
      <c r="E95" s="490"/>
      <c r="F95" s="490"/>
      <c r="G95" s="490"/>
    </row>
    <row r="96" spans="1:9">
      <c r="B96" s="523"/>
      <c r="C96" s="490"/>
      <c r="D96" s="490"/>
      <c r="E96" s="490"/>
      <c r="F96" s="490"/>
      <c r="G96" s="490"/>
    </row>
    <row r="97" spans="2:7">
      <c r="B97" s="523"/>
      <c r="C97" s="490"/>
      <c r="D97" s="490"/>
      <c r="E97" s="490"/>
      <c r="F97" s="490"/>
      <c r="G97" s="490"/>
    </row>
    <row r="98" spans="2:7">
      <c r="B98" s="523"/>
      <c r="C98" s="490"/>
      <c r="D98" s="490"/>
      <c r="E98" s="490"/>
      <c r="F98" s="490"/>
      <c r="G98" s="490"/>
    </row>
    <row r="99" spans="2:7">
      <c r="B99" s="523"/>
      <c r="C99" s="490"/>
      <c r="D99" s="490"/>
      <c r="E99" s="490"/>
      <c r="F99" s="490"/>
      <c r="G99" s="490"/>
    </row>
    <row r="100" spans="2:7">
      <c r="B100" s="523"/>
      <c r="C100" s="490"/>
      <c r="D100" s="490"/>
      <c r="E100" s="490"/>
      <c r="F100" s="490"/>
      <c r="G100" s="490"/>
    </row>
    <row r="101" spans="2:7">
      <c r="B101" s="523"/>
      <c r="C101" s="490"/>
      <c r="D101" s="490"/>
      <c r="E101" s="490"/>
      <c r="F101" s="490"/>
      <c r="G101" s="490"/>
    </row>
    <row r="102" spans="2:7">
      <c r="B102" s="523"/>
      <c r="C102" s="490"/>
      <c r="D102" s="490"/>
      <c r="E102" s="490"/>
      <c r="F102" s="490"/>
      <c r="G102" s="490"/>
    </row>
    <row r="103" spans="2:7">
      <c r="B103" s="523"/>
      <c r="C103" s="490"/>
      <c r="D103" s="490"/>
      <c r="E103" s="490"/>
      <c r="F103" s="490"/>
      <c r="G103" s="490"/>
    </row>
    <row r="104" spans="2:7">
      <c r="B104" s="523"/>
      <c r="C104" s="490"/>
      <c r="D104" s="490"/>
      <c r="E104" s="490"/>
      <c r="F104" s="490"/>
      <c r="G104" s="490"/>
    </row>
    <row r="105" spans="2:7">
      <c r="B105" s="523"/>
      <c r="C105" s="490"/>
      <c r="D105" s="490"/>
      <c r="E105" s="490"/>
      <c r="F105" s="490"/>
      <c r="G105" s="490"/>
    </row>
    <row r="106" spans="2:7">
      <c r="B106" s="523"/>
      <c r="C106" s="490"/>
      <c r="D106" s="490"/>
      <c r="E106" s="490"/>
      <c r="F106" s="490"/>
      <c r="G106" s="490"/>
    </row>
    <row r="107" spans="2:7">
      <c r="B107" s="523"/>
      <c r="C107" s="490"/>
      <c r="D107" s="490"/>
      <c r="E107" s="490"/>
      <c r="F107" s="490"/>
      <c r="G107" s="490"/>
    </row>
    <row r="108" spans="2:7">
      <c r="B108" s="523"/>
      <c r="C108" s="490"/>
      <c r="D108" s="490"/>
      <c r="E108" s="490"/>
      <c r="F108" s="490"/>
      <c r="G108" s="490"/>
    </row>
    <row r="109" spans="2:7">
      <c r="B109" s="523"/>
      <c r="C109" s="490"/>
      <c r="D109" s="490"/>
      <c r="E109" s="490"/>
      <c r="F109" s="490"/>
      <c r="G109" s="490"/>
    </row>
    <row r="110" spans="2:7">
      <c r="B110" s="523"/>
      <c r="C110" s="490"/>
      <c r="D110" s="490"/>
      <c r="E110" s="490"/>
      <c r="F110" s="490"/>
      <c r="G110" s="490"/>
    </row>
    <row r="111" spans="2:7">
      <c r="B111" s="523"/>
      <c r="C111" s="490"/>
      <c r="D111" s="490"/>
      <c r="E111" s="490"/>
      <c r="F111" s="490"/>
      <c r="G111" s="490"/>
    </row>
    <row r="112" spans="2:7">
      <c r="B112" s="523"/>
      <c r="C112" s="490"/>
      <c r="D112" s="490"/>
      <c r="E112" s="490"/>
      <c r="F112" s="490"/>
      <c r="G112" s="490"/>
    </row>
    <row r="113" spans="2:7">
      <c r="B113" s="523"/>
      <c r="C113" s="490"/>
      <c r="D113" s="490"/>
      <c r="E113" s="490"/>
      <c r="F113" s="490"/>
      <c r="G113" s="490"/>
    </row>
    <row r="114" spans="2:7">
      <c r="B114" s="523"/>
      <c r="C114" s="490"/>
      <c r="D114" s="490"/>
      <c r="E114" s="490"/>
      <c r="F114" s="490"/>
      <c r="G114" s="490"/>
    </row>
    <row r="115" spans="2:7">
      <c r="B115" s="523"/>
      <c r="C115" s="490"/>
      <c r="D115" s="490"/>
      <c r="E115" s="490"/>
      <c r="F115" s="490"/>
      <c r="G115" s="490"/>
    </row>
    <row r="116" spans="2:7">
      <c r="B116" s="523"/>
      <c r="C116" s="490"/>
      <c r="D116" s="490"/>
      <c r="E116" s="490"/>
      <c r="F116" s="490"/>
      <c r="G116" s="490"/>
    </row>
    <row r="117" spans="2:7">
      <c r="B117" s="523"/>
      <c r="C117" s="490"/>
      <c r="D117" s="490"/>
      <c r="E117" s="490"/>
      <c r="F117" s="490"/>
      <c r="G117" s="490"/>
    </row>
    <row r="118" spans="2:7">
      <c r="B118" s="523"/>
      <c r="C118" s="490"/>
      <c r="D118" s="490"/>
      <c r="E118" s="490"/>
      <c r="F118" s="490"/>
      <c r="G118" s="490"/>
    </row>
    <row r="119" spans="2:7">
      <c r="B119" s="523"/>
      <c r="C119" s="490"/>
      <c r="D119" s="490"/>
      <c r="E119" s="490"/>
      <c r="F119" s="490"/>
      <c r="G119" s="490"/>
    </row>
    <row r="120" spans="2:7">
      <c r="B120" s="523"/>
      <c r="C120" s="490"/>
      <c r="D120" s="490"/>
      <c r="E120" s="490"/>
      <c r="F120" s="490"/>
      <c r="G120" s="490"/>
    </row>
    <row r="121" spans="2:7">
      <c r="B121" s="523"/>
      <c r="C121" s="490"/>
      <c r="D121" s="490"/>
      <c r="E121" s="490"/>
      <c r="F121" s="490"/>
      <c r="G121" s="490"/>
    </row>
    <row r="122" spans="2:7">
      <c r="B122" s="523"/>
      <c r="C122" s="490"/>
      <c r="D122" s="490"/>
      <c r="E122" s="490"/>
      <c r="F122" s="490"/>
      <c r="G122" s="490"/>
    </row>
    <row r="123" spans="2:7">
      <c r="B123" s="523"/>
      <c r="C123" s="490"/>
      <c r="D123" s="490"/>
      <c r="E123" s="490"/>
      <c r="F123" s="490"/>
      <c r="G123" s="490"/>
    </row>
    <row r="124" spans="2:7">
      <c r="B124" s="523"/>
      <c r="C124" s="490"/>
      <c r="D124" s="490"/>
      <c r="E124" s="490"/>
      <c r="F124" s="490"/>
      <c r="G124" s="490"/>
    </row>
    <row r="125" spans="2:7">
      <c r="B125" s="523"/>
      <c r="C125" s="490"/>
      <c r="D125" s="490"/>
      <c r="E125" s="490"/>
      <c r="F125" s="490"/>
      <c r="G125" s="490"/>
    </row>
    <row r="126" spans="2:7">
      <c r="B126" s="523"/>
      <c r="C126" s="490"/>
      <c r="D126" s="490"/>
      <c r="E126" s="490"/>
      <c r="F126" s="490"/>
      <c r="G126" s="490"/>
    </row>
    <row r="127" spans="2:7">
      <c r="B127" s="523"/>
      <c r="C127" s="490"/>
      <c r="D127" s="490"/>
      <c r="E127" s="490"/>
      <c r="F127" s="490"/>
      <c r="G127" s="490"/>
    </row>
    <row r="128" spans="2:7">
      <c r="B128" s="523"/>
      <c r="C128" s="490"/>
      <c r="D128" s="490"/>
      <c r="E128" s="490"/>
      <c r="F128" s="490"/>
      <c r="G128" s="490"/>
    </row>
    <row r="129" spans="2:7">
      <c r="B129" s="523"/>
      <c r="C129" s="490"/>
      <c r="D129" s="490"/>
      <c r="E129" s="490"/>
      <c r="F129" s="490"/>
      <c r="G129" s="490"/>
    </row>
    <row r="130" spans="2:7">
      <c r="B130" s="523"/>
      <c r="C130" s="490"/>
      <c r="D130" s="490"/>
      <c r="E130" s="490"/>
      <c r="F130" s="490"/>
      <c r="G130" s="490"/>
    </row>
    <row r="131" spans="2:7">
      <c r="B131" s="523"/>
      <c r="C131" s="490"/>
      <c r="D131" s="490"/>
      <c r="E131" s="490"/>
      <c r="F131" s="490"/>
      <c r="G131" s="490"/>
    </row>
    <row r="132" spans="2:7">
      <c r="B132" s="523"/>
      <c r="C132" s="490"/>
      <c r="D132" s="490"/>
      <c r="E132" s="490"/>
      <c r="F132" s="490"/>
      <c r="G132" s="490"/>
    </row>
    <row r="133" spans="2:7">
      <c r="B133" s="523"/>
      <c r="C133" s="490"/>
      <c r="D133" s="490"/>
      <c r="E133" s="490"/>
      <c r="F133" s="490"/>
      <c r="G133" s="490"/>
    </row>
    <row r="134" spans="2:7">
      <c r="B134" s="523"/>
      <c r="C134" s="490"/>
      <c r="D134" s="490"/>
      <c r="E134" s="490"/>
      <c r="F134" s="490"/>
      <c r="G134" s="490"/>
    </row>
    <row r="135" spans="2:7">
      <c r="B135" s="523"/>
      <c r="C135" s="490"/>
      <c r="D135" s="490"/>
      <c r="E135" s="490"/>
      <c r="F135" s="490"/>
      <c r="G135" s="490"/>
    </row>
    <row r="136" spans="2:7">
      <c r="B136" s="523"/>
      <c r="C136" s="490"/>
      <c r="D136" s="490"/>
      <c r="E136" s="490"/>
      <c r="F136" s="490"/>
      <c r="G136" s="490"/>
    </row>
    <row r="137" spans="2:7">
      <c r="B137" s="523"/>
      <c r="C137" s="490"/>
      <c r="D137" s="490"/>
      <c r="E137" s="490"/>
      <c r="F137" s="490"/>
      <c r="G137" s="490"/>
    </row>
    <row r="138" spans="2:7">
      <c r="B138" s="523"/>
      <c r="C138" s="490"/>
      <c r="D138" s="490"/>
      <c r="E138" s="490"/>
      <c r="F138" s="490"/>
      <c r="G138" s="490"/>
    </row>
    <row r="139" spans="2:7">
      <c r="B139" s="523"/>
      <c r="C139" s="490"/>
      <c r="D139" s="490"/>
      <c r="E139" s="490"/>
      <c r="F139" s="490"/>
      <c r="G139" s="490"/>
    </row>
    <row r="140" spans="2:7">
      <c r="B140" s="523"/>
      <c r="C140" s="490"/>
      <c r="D140" s="490"/>
      <c r="E140" s="490"/>
      <c r="F140" s="490"/>
      <c r="G140" s="490"/>
    </row>
    <row r="141" spans="2:7">
      <c r="B141" s="523"/>
      <c r="C141" s="490"/>
      <c r="D141" s="490"/>
      <c r="E141" s="490"/>
      <c r="F141" s="490"/>
      <c r="G141" s="490"/>
    </row>
    <row r="142" spans="2:7">
      <c r="B142" s="523"/>
      <c r="C142" s="490"/>
      <c r="D142" s="490"/>
      <c r="E142" s="490"/>
      <c r="F142" s="490"/>
      <c r="G142" s="490"/>
    </row>
    <row r="143" spans="2:7">
      <c r="B143" s="523"/>
      <c r="C143" s="490"/>
      <c r="D143" s="490"/>
      <c r="E143" s="490"/>
      <c r="F143" s="490"/>
      <c r="G143" s="490"/>
    </row>
    <row r="144" spans="2:7">
      <c r="B144" s="523"/>
      <c r="C144" s="490"/>
      <c r="D144" s="490"/>
      <c r="E144" s="490"/>
      <c r="F144" s="490"/>
      <c r="G144" s="490"/>
    </row>
    <row r="145" spans="2:7">
      <c r="B145" s="523"/>
      <c r="C145" s="490"/>
      <c r="D145" s="490"/>
      <c r="E145" s="490"/>
      <c r="F145" s="490"/>
      <c r="G145" s="490"/>
    </row>
    <row r="146" spans="2:7">
      <c r="B146" s="523"/>
      <c r="C146" s="490"/>
      <c r="D146" s="490"/>
      <c r="E146" s="490"/>
      <c r="F146" s="490"/>
      <c r="G146" s="490"/>
    </row>
    <row r="147" spans="2:7">
      <c r="B147" s="523"/>
      <c r="C147" s="490"/>
      <c r="D147" s="490"/>
      <c r="E147" s="490"/>
      <c r="F147" s="490"/>
      <c r="G147" s="490"/>
    </row>
    <row r="148" spans="2:7">
      <c r="B148" s="523"/>
      <c r="C148" s="490"/>
      <c r="D148" s="490"/>
      <c r="E148" s="490"/>
      <c r="F148" s="490"/>
      <c r="G148" s="490"/>
    </row>
    <row r="149" spans="2:7">
      <c r="B149" s="523"/>
      <c r="C149" s="490"/>
      <c r="D149" s="490"/>
      <c r="E149" s="490"/>
      <c r="F149" s="490"/>
      <c r="G149" s="490"/>
    </row>
    <row r="150" spans="2:7">
      <c r="B150" s="523"/>
      <c r="C150" s="490"/>
      <c r="D150" s="490"/>
      <c r="E150" s="490"/>
      <c r="F150" s="490"/>
      <c r="G150" s="490"/>
    </row>
    <row r="151" spans="2:7">
      <c r="B151" s="523"/>
      <c r="C151" s="490"/>
      <c r="D151" s="490"/>
      <c r="E151" s="490"/>
      <c r="F151" s="490"/>
      <c r="G151" s="490"/>
    </row>
    <row r="152" spans="2:7">
      <c r="B152" s="523"/>
      <c r="C152" s="490"/>
      <c r="D152" s="490"/>
      <c r="E152" s="490"/>
      <c r="F152" s="490"/>
      <c r="G152" s="490"/>
    </row>
    <row r="153" spans="2:7">
      <c r="B153" s="523"/>
      <c r="C153" s="490"/>
      <c r="D153" s="490"/>
      <c r="E153" s="490"/>
      <c r="F153" s="490"/>
      <c r="G153" s="490"/>
    </row>
    <row r="154" spans="2:7">
      <c r="B154" s="523"/>
      <c r="C154" s="490"/>
      <c r="D154" s="490"/>
      <c r="E154" s="490"/>
      <c r="F154" s="490"/>
      <c r="G154" s="490"/>
    </row>
    <row r="155" spans="2:7">
      <c r="B155" s="523"/>
      <c r="C155" s="490"/>
      <c r="D155" s="490"/>
      <c r="E155" s="490"/>
      <c r="F155" s="490"/>
      <c r="G155" s="490"/>
    </row>
    <row r="156" spans="2:7">
      <c r="B156" s="523"/>
      <c r="C156" s="490"/>
      <c r="D156" s="490"/>
      <c r="E156" s="490"/>
      <c r="F156" s="490"/>
      <c r="G156" s="490"/>
    </row>
    <row r="157" spans="2:7">
      <c r="B157" s="523"/>
      <c r="C157" s="490"/>
      <c r="D157" s="490"/>
      <c r="E157" s="490"/>
      <c r="F157" s="490"/>
      <c r="G157" s="490"/>
    </row>
    <row r="158" spans="2:7">
      <c r="B158" s="523"/>
      <c r="C158" s="490"/>
      <c r="D158" s="490"/>
      <c r="E158" s="490"/>
      <c r="F158" s="490"/>
      <c r="G158" s="490"/>
    </row>
    <row r="159" spans="2:7">
      <c r="B159" s="523"/>
      <c r="C159" s="490"/>
      <c r="D159" s="490"/>
      <c r="E159" s="490"/>
      <c r="F159" s="490"/>
      <c r="G159" s="490"/>
    </row>
    <row r="160" spans="2:7">
      <c r="B160" s="523"/>
      <c r="C160" s="490"/>
      <c r="D160" s="490"/>
      <c r="E160" s="490"/>
      <c r="F160" s="490"/>
      <c r="G160" s="490"/>
    </row>
    <row r="161" spans="2:7">
      <c r="B161" s="523"/>
      <c r="C161" s="490"/>
      <c r="D161" s="490"/>
      <c r="E161" s="490"/>
      <c r="F161" s="490"/>
      <c r="G161" s="490"/>
    </row>
    <row r="162" spans="2:7">
      <c r="B162" s="523"/>
      <c r="C162" s="490"/>
      <c r="D162" s="490"/>
      <c r="E162" s="490"/>
      <c r="F162" s="490"/>
      <c r="G162" s="490"/>
    </row>
    <row r="163" spans="2:7">
      <c r="B163" s="523"/>
      <c r="C163" s="490"/>
      <c r="D163" s="490"/>
      <c r="E163" s="490"/>
      <c r="F163" s="490"/>
      <c r="G163" s="490"/>
    </row>
    <row r="164" spans="2:7">
      <c r="B164" s="523"/>
      <c r="C164" s="490"/>
      <c r="D164" s="490"/>
      <c r="E164" s="490"/>
      <c r="F164" s="490"/>
      <c r="G164" s="490"/>
    </row>
    <row r="165" spans="2:7">
      <c r="B165" s="523"/>
      <c r="C165" s="490"/>
      <c r="D165" s="490"/>
      <c r="E165" s="490"/>
      <c r="F165" s="490"/>
      <c r="G165" s="490"/>
    </row>
    <row r="166" spans="2:7">
      <c r="B166" s="523"/>
      <c r="C166" s="490"/>
      <c r="D166" s="490"/>
      <c r="E166" s="490"/>
      <c r="F166" s="490"/>
      <c r="G166" s="490"/>
    </row>
    <row r="167" spans="2:7">
      <c r="B167" s="523"/>
      <c r="C167" s="490"/>
      <c r="D167" s="490"/>
      <c r="E167" s="490"/>
      <c r="F167" s="490"/>
      <c r="G167" s="490"/>
    </row>
    <row r="168" spans="2:7">
      <c r="B168" s="523"/>
      <c r="C168" s="490"/>
      <c r="D168" s="490"/>
      <c r="E168" s="490"/>
      <c r="F168" s="490"/>
      <c r="G168" s="490"/>
    </row>
    <row r="169" spans="2:7">
      <c r="B169" s="523"/>
      <c r="C169" s="490"/>
      <c r="D169" s="490"/>
      <c r="E169" s="490"/>
      <c r="F169" s="490"/>
      <c r="G169" s="490"/>
    </row>
    <row r="170" spans="2:7">
      <c r="B170" s="523"/>
      <c r="C170" s="490"/>
      <c r="D170" s="490"/>
      <c r="E170" s="490"/>
      <c r="F170" s="490"/>
      <c r="G170" s="490"/>
    </row>
    <row r="171" spans="2:7">
      <c r="B171" s="523"/>
      <c r="C171" s="490"/>
      <c r="D171" s="490"/>
      <c r="E171" s="490"/>
      <c r="F171" s="490"/>
      <c r="G171" s="490"/>
    </row>
    <row r="172" spans="2:7">
      <c r="B172" s="523"/>
      <c r="C172" s="490"/>
      <c r="D172" s="490"/>
      <c r="E172" s="490"/>
      <c r="F172" s="490"/>
      <c r="G172" s="490"/>
    </row>
    <row r="173" spans="2:7">
      <c r="B173" s="523"/>
      <c r="C173" s="490"/>
      <c r="D173" s="490"/>
      <c r="E173" s="490"/>
      <c r="F173" s="490"/>
      <c r="G173" s="490"/>
    </row>
    <row r="174" spans="2:7">
      <c r="B174" s="523"/>
      <c r="C174" s="490"/>
      <c r="D174" s="490"/>
      <c r="E174" s="490"/>
      <c r="F174" s="490"/>
      <c r="G174" s="490"/>
    </row>
    <row r="175" spans="2:7">
      <c r="B175" s="523"/>
      <c r="C175" s="490"/>
      <c r="D175" s="490"/>
      <c r="E175" s="490"/>
      <c r="F175" s="490"/>
      <c r="G175" s="490"/>
    </row>
    <row r="176" spans="2:7">
      <c r="B176" s="523"/>
      <c r="C176" s="490"/>
      <c r="D176" s="490"/>
      <c r="E176" s="490"/>
      <c r="F176" s="490"/>
      <c r="G176" s="490"/>
    </row>
    <row r="177" spans="2:7">
      <c r="B177" s="523"/>
      <c r="C177" s="490"/>
      <c r="D177" s="490"/>
      <c r="E177" s="490"/>
      <c r="F177" s="490"/>
      <c r="G177" s="490"/>
    </row>
    <row r="178" spans="2:7">
      <c r="B178" s="523"/>
      <c r="C178" s="490"/>
      <c r="D178" s="490"/>
      <c r="E178" s="490"/>
      <c r="F178" s="490"/>
      <c r="G178" s="490"/>
    </row>
    <row r="179" spans="2:7">
      <c r="B179" s="523"/>
      <c r="C179" s="490"/>
      <c r="D179" s="490"/>
      <c r="E179" s="490"/>
      <c r="F179" s="490"/>
      <c r="G179" s="490"/>
    </row>
    <row r="180" spans="2:7">
      <c r="B180" s="523"/>
      <c r="C180" s="490"/>
      <c r="D180" s="490"/>
      <c r="E180" s="490"/>
      <c r="F180" s="490"/>
      <c r="G180" s="490"/>
    </row>
    <row r="181" spans="2:7">
      <c r="B181" s="523"/>
      <c r="C181" s="490"/>
      <c r="D181" s="490"/>
      <c r="E181" s="490"/>
      <c r="F181" s="490"/>
      <c r="G181" s="490"/>
    </row>
    <row r="182" spans="2:7">
      <c r="B182" s="523"/>
      <c r="C182" s="490"/>
      <c r="D182" s="490"/>
      <c r="E182" s="490"/>
      <c r="F182" s="490"/>
      <c r="G182" s="490"/>
    </row>
    <row r="183" spans="2:7">
      <c r="B183" s="523"/>
      <c r="C183" s="490"/>
      <c r="D183" s="490"/>
      <c r="E183" s="490"/>
      <c r="F183" s="490"/>
      <c r="G183" s="490"/>
    </row>
    <row r="184" spans="2:7">
      <c r="B184" s="523"/>
      <c r="C184" s="490"/>
      <c r="D184" s="490"/>
      <c r="E184" s="490"/>
      <c r="F184" s="490"/>
      <c r="G184" s="490"/>
    </row>
    <row r="185" spans="2:7">
      <c r="B185" s="523"/>
      <c r="C185" s="490"/>
      <c r="D185" s="490"/>
      <c r="E185" s="490"/>
      <c r="F185" s="490"/>
      <c r="G185" s="490"/>
    </row>
    <row r="186" spans="2:7">
      <c r="B186" s="523"/>
      <c r="C186" s="490"/>
      <c r="D186" s="490"/>
      <c r="E186" s="490"/>
      <c r="F186" s="490"/>
      <c r="G186" s="490"/>
    </row>
    <row r="187" spans="2:7">
      <c r="B187" s="523"/>
      <c r="C187" s="490"/>
      <c r="D187" s="490"/>
      <c r="E187" s="490"/>
      <c r="F187" s="490"/>
      <c r="G187" s="490"/>
    </row>
    <row r="188" spans="2:7">
      <c r="B188" s="523"/>
      <c r="C188" s="490"/>
      <c r="D188" s="490"/>
      <c r="E188" s="490"/>
      <c r="F188" s="490"/>
      <c r="G188" s="490"/>
    </row>
    <row r="189" spans="2:7">
      <c r="B189" s="523"/>
      <c r="C189" s="490"/>
      <c r="D189" s="490"/>
      <c r="E189" s="490"/>
      <c r="F189" s="490"/>
      <c r="G189" s="490"/>
    </row>
    <row r="190" spans="2:7">
      <c r="B190" s="523"/>
      <c r="C190" s="490"/>
      <c r="D190" s="490"/>
      <c r="E190" s="490"/>
      <c r="F190" s="490"/>
      <c r="G190" s="490"/>
    </row>
    <row r="191" spans="2:7">
      <c r="B191" s="523"/>
      <c r="C191" s="490"/>
      <c r="D191" s="490"/>
      <c r="E191" s="490"/>
      <c r="F191" s="490"/>
      <c r="G191" s="490"/>
    </row>
    <row r="192" spans="2:7">
      <c r="B192" s="523"/>
      <c r="C192" s="490"/>
      <c r="D192" s="490"/>
      <c r="E192" s="490"/>
      <c r="F192" s="490"/>
      <c r="G192" s="490"/>
    </row>
    <row r="193" spans="2:7">
      <c r="B193" s="523"/>
      <c r="C193" s="490"/>
      <c r="D193" s="490"/>
      <c r="E193" s="490"/>
      <c r="F193" s="490"/>
      <c r="G193" s="490"/>
    </row>
    <row r="194" spans="2:7">
      <c r="B194" s="523"/>
      <c r="C194" s="490"/>
      <c r="D194" s="490"/>
      <c r="E194" s="490"/>
      <c r="F194" s="490"/>
      <c r="G194" s="490"/>
    </row>
    <row r="195" spans="2:7">
      <c r="B195" s="523"/>
      <c r="C195" s="490"/>
      <c r="D195" s="490"/>
      <c r="E195" s="490"/>
      <c r="F195" s="490"/>
      <c r="G195" s="490"/>
    </row>
    <row r="196" spans="2:7">
      <c r="B196" s="523"/>
      <c r="C196" s="490"/>
      <c r="D196" s="490"/>
      <c r="E196" s="490"/>
      <c r="F196" s="490"/>
      <c r="G196" s="490"/>
    </row>
    <row r="197" spans="2:7">
      <c r="B197" s="523"/>
      <c r="C197" s="490"/>
      <c r="D197" s="490"/>
      <c r="E197" s="490"/>
      <c r="F197" s="490"/>
      <c r="G197" s="490"/>
    </row>
    <row r="198" spans="2:7">
      <c r="B198" s="523"/>
      <c r="C198" s="490"/>
      <c r="D198" s="490"/>
      <c r="E198" s="490"/>
      <c r="F198" s="490"/>
      <c r="G198" s="490"/>
    </row>
    <row r="199" spans="2:7">
      <c r="B199" s="523"/>
      <c r="C199" s="490"/>
      <c r="D199" s="490"/>
      <c r="E199" s="490"/>
      <c r="F199" s="490"/>
      <c r="G199" s="490"/>
    </row>
    <row r="200" spans="2:7">
      <c r="B200" s="523"/>
      <c r="C200" s="490"/>
      <c r="D200" s="490"/>
      <c r="E200" s="490"/>
      <c r="F200" s="490"/>
      <c r="G200" s="490"/>
    </row>
    <row r="201" spans="2:7">
      <c r="B201" s="523"/>
      <c r="C201" s="490"/>
      <c r="D201" s="490"/>
      <c r="E201" s="490"/>
      <c r="F201" s="490"/>
      <c r="G201" s="490"/>
    </row>
    <row r="202" spans="2:7">
      <c r="B202" s="523"/>
      <c r="C202" s="490"/>
      <c r="D202" s="490"/>
      <c r="E202" s="490"/>
      <c r="F202" s="490"/>
      <c r="G202" s="490"/>
    </row>
    <row r="203" spans="2:7">
      <c r="B203" s="523"/>
      <c r="C203" s="490"/>
      <c r="D203" s="490"/>
      <c r="E203" s="490"/>
      <c r="F203" s="490"/>
      <c r="G203" s="490"/>
    </row>
    <row r="204" spans="2:7">
      <c r="B204" s="523"/>
      <c r="C204" s="490"/>
      <c r="D204" s="490"/>
      <c r="E204" s="490"/>
      <c r="F204" s="490"/>
      <c r="G204" s="490"/>
    </row>
    <row r="205" spans="2:7">
      <c r="B205" s="523"/>
      <c r="C205" s="490"/>
      <c r="D205" s="490"/>
      <c r="E205" s="490"/>
      <c r="F205" s="490"/>
      <c r="G205" s="490"/>
    </row>
    <row r="206" spans="2:7">
      <c r="B206" s="523"/>
      <c r="C206" s="490"/>
      <c r="D206" s="490"/>
      <c r="E206" s="490"/>
      <c r="F206" s="490"/>
      <c r="G206" s="490"/>
    </row>
    <row r="207" spans="2:7">
      <c r="B207" s="523"/>
      <c r="C207" s="490"/>
      <c r="D207" s="490"/>
      <c r="E207" s="490"/>
      <c r="F207" s="490"/>
      <c r="G207" s="490"/>
    </row>
    <row r="208" spans="2:7">
      <c r="B208" s="523"/>
      <c r="C208" s="490"/>
      <c r="D208" s="490"/>
      <c r="E208" s="490"/>
      <c r="F208" s="490"/>
      <c r="G208" s="490"/>
    </row>
    <row r="209" spans="2:7">
      <c r="B209" s="523"/>
      <c r="C209" s="490"/>
      <c r="D209" s="490"/>
      <c r="E209" s="490"/>
      <c r="F209" s="490"/>
      <c r="G209" s="490"/>
    </row>
    <row r="210" spans="2:7">
      <c r="B210" s="523"/>
      <c r="C210" s="490"/>
      <c r="D210" s="490"/>
      <c r="E210" s="490"/>
      <c r="F210" s="490"/>
      <c r="G210" s="490"/>
    </row>
    <row r="211" spans="2:7">
      <c r="B211" s="523"/>
      <c r="C211" s="490"/>
      <c r="D211" s="490"/>
      <c r="E211" s="490"/>
      <c r="F211" s="490"/>
      <c r="G211" s="490"/>
    </row>
    <row r="212" spans="2:7">
      <c r="B212" s="523"/>
      <c r="C212" s="490"/>
      <c r="D212" s="490"/>
      <c r="E212" s="490"/>
      <c r="F212" s="490"/>
      <c r="G212" s="490"/>
    </row>
    <row r="213" spans="2:7">
      <c r="B213" s="523"/>
      <c r="C213" s="490"/>
      <c r="D213" s="490"/>
      <c r="E213" s="490"/>
      <c r="F213" s="490"/>
      <c r="G213" s="490"/>
    </row>
    <row r="214" spans="2:7">
      <c r="B214" s="523"/>
      <c r="C214" s="490"/>
      <c r="D214" s="490"/>
      <c r="E214" s="490"/>
      <c r="F214" s="490"/>
      <c r="G214" s="490"/>
    </row>
    <row r="215" spans="2:7">
      <c r="B215" s="523"/>
      <c r="C215" s="490"/>
      <c r="D215" s="490"/>
      <c r="E215" s="490"/>
      <c r="F215" s="490"/>
      <c r="G215" s="490"/>
    </row>
    <row r="216" spans="2:7">
      <c r="B216" s="523"/>
      <c r="C216" s="490"/>
      <c r="D216" s="490"/>
      <c r="E216" s="490"/>
      <c r="F216" s="490"/>
      <c r="G216" s="490"/>
    </row>
    <row r="217" spans="2:7">
      <c r="B217" s="523"/>
      <c r="C217" s="490"/>
      <c r="D217" s="490"/>
      <c r="E217" s="490"/>
      <c r="F217" s="490"/>
      <c r="G217" s="490"/>
    </row>
    <row r="218" spans="2:7">
      <c r="B218" s="523"/>
      <c r="C218" s="490"/>
      <c r="D218" s="490"/>
      <c r="E218" s="490"/>
      <c r="F218" s="490"/>
      <c r="G218" s="490"/>
    </row>
    <row r="219" spans="2:7">
      <c r="B219" s="523"/>
      <c r="C219" s="490"/>
      <c r="D219" s="490"/>
      <c r="E219" s="490"/>
      <c r="F219" s="490"/>
      <c r="G219" s="490"/>
    </row>
    <row r="220" spans="2:7">
      <c r="B220" s="523"/>
      <c r="C220" s="490"/>
      <c r="D220" s="490"/>
      <c r="E220" s="490"/>
      <c r="F220" s="490"/>
      <c r="G220" s="490"/>
    </row>
    <row r="221" spans="2:7">
      <c r="B221" s="523"/>
      <c r="C221" s="490"/>
      <c r="D221" s="490"/>
      <c r="E221" s="490"/>
      <c r="F221" s="490"/>
      <c r="G221" s="490"/>
    </row>
    <row r="222" spans="2:7">
      <c r="B222" s="523"/>
      <c r="C222" s="490"/>
      <c r="D222" s="490"/>
      <c r="E222" s="490"/>
      <c r="F222" s="490"/>
      <c r="G222" s="490"/>
    </row>
    <row r="223" spans="2:7">
      <c r="B223" s="523"/>
      <c r="C223" s="490"/>
      <c r="D223" s="490"/>
      <c r="E223" s="490"/>
      <c r="F223" s="490"/>
      <c r="G223" s="490"/>
    </row>
    <row r="224" spans="2:7">
      <c r="B224" s="523"/>
      <c r="C224" s="490"/>
      <c r="D224" s="490"/>
      <c r="E224" s="490"/>
      <c r="F224" s="490"/>
      <c r="G224" s="490"/>
    </row>
    <row r="225" spans="2:7">
      <c r="B225" s="523"/>
      <c r="C225" s="490"/>
      <c r="D225" s="490"/>
      <c r="E225" s="490"/>
      <c r="F225" s="490"/>
      <c r="G225" s="490"/>
    </row>
    <row r="226" spans="2:7">
      <c r="B226" s="523"/>
      <c r="C226" s="490"/>
      <c r="D226" s="490"/>
      <c r="E226" s="490"/>
      <c r="F226" s="490"/>
      <c r="G226" s="490"/>
    </row>
    <row r="227" spans="2:7">
      <c r="B227" s="523"/>
      <c r="C227" s="490"/>
      <c r="D227" s="490"/>
      <c r="E227" s="490"/>
      <c r="F227" s="490"/>
      <c r="G227" s="490"/>
    </row>
    <row r="228" spans="2:7">
      <c r="B228" s="523"/>
      <c r="C228" s="490"/>
      <c r="D228" s="490"/>
      <c r="E228" s="490"/>
      <c r="F228" s="490"/>
      <c r="G228" s="490"/>
    </row>
    <row r="229" spans="2:7">
      <c r="B229" s="523"/>
      <c r="C229" s="490"/>
      <c r="D229" s="490"/>
      <c r="E229" s="490"/>
      <c r="F229" s="490"/>
      <c r="G229" s="490"/>
    </row>
    <row r="230" spans="2:7">
      <c r="B230" s="523"/>
      <c r="C230" s="490"/>
      <c r="D230" s="490"/>
      <c r="E230" s="490"/>
      <c r="F230" s="490"/>
      <c r="G230" s="490"/>
    </row>
    <row r="231" spans="2:7">
      <c r="B231" s="523"/>
      <c r="C231" s="490"/>
      <c r="D231" s="490"/>
      <c r="E231" s="490"/>
      <c r="F231" s="490"/>
      <c r="G231" s="490"/>
    </row>
    <row r="232" spans="2:7">
      <c r="B232" s="523"/>
      <c r="C232" s="490"/>
      <c r="D232" s="490"/>
      <c r="E232" s="490"/>
      <c r="F232" s="490"/>
      <c r="G232" s="490"/>
    </row>
    <row r="233" spans="2:7">
      <c r="B233" s="523"/>
      <c r="C233" s="490"/>
      <c r="D233" s="490"/>
      <c r="E233" s="490"/>
      <c r="F233" s="490"/>
      <c r="G233" s="490"/>
    </row>
    <row r="234" spans="2:7">
      <c r="B234" s="523"/>
      <c r="C234" s="490"/>
      <c r="D234" s="490"/>
      <c r="E234" s="490"/>
      <c r="F234" s="490"/>
      <c r="G234" s="490"/>
    </row>
    <row r="235" spans="2:7">
      <c r="B235" s="523"/>
      <c r="C235" s="490"/>
      <c r="D235" s="490"/>
      <c r="E235" s="490"/>
      <c r="F235" s="490"/>
      <c r="G235" s="490"/>
    </row>
    <row r="236" spans="2:7">
      <c r="B236" s="523"/>
      <c r="C236" s="490"/>
      <c r="D236" s="490"/>
      <c r="E236" s="490"/>
      <c r="F236" s="490"/>
      <c r="G236" s="490"/>
    </row>
    <row r="237" spans="2:7">
      <c r="B237" s="523"/>
      <c r="C237" s="490"/>
      <c r="D237" s="490"/>
      <c r="E237" s="490"/>
      <c r="F237" s="490"/>
      <c r="G237" s="490"/>
    </row>
    <row r="238" spans="2:7">
      <c r="B238" s="523"/>
      <c r="C238" s="490"/>
      <c r="D238" s="490"/>
      <c r="E238" s="490"/>
      <c r="F238" s="490"/>
      <c r="G238" s="490"/>
    </row>
    <row r="239" spans="2:7">
      <c r="B239" s="523"/>
      <c r="C239" s="490"/>
      <c r="D239" s="490"/>
      <c r="E239" s="490"/>
      <c r="F239" s="490"/>
      <c r="G239" s="490"/>
    </row>
    <row r="240" spans="2:7">
      <c r="B240" s="523"/>
      <c r="C240" s="490"/>
      <c r="D240" s="490"/>
      <c r="E240" s="490"/>
      <c r="F240" s="490"/>
      <c r="G240" s="490"/>
    </row>
    <row r="241" spans="2:7">
      <c r="B241" s="523"/>
      <c r="C241" s="490"/>
      <c r="D241" s="490"/>
      <c r="E241" s="490"/>
      <c r="F241" s="490"/>
      <c r="G241" s="490"/>
    </row>
    <row r="242" spans="2:7">
      <c r="B242" s="523"/>
      <c r="C242" s="490"/>
      <c r="D242" s="490"/>
      <c r="E242" s="490"/>
      <c r="F242" s="490"/>
      <c r="G242" s="490"/>
    </row>
    <row r="243" spans="2:7">
      <c r="B243" s="523"/>
      <c r="C243" s="490"/>
      <c r="D243" s="490"/>
      <c r="E243" s="490"/>
      <c r="F243" s="490"/>
      <c r="G243" s="490"/>
    </row>
    <row r="244" spans="2:7">
      <c r="B244" s="523"/>
      <c r="C244" s="490"/>
      <c r="D244" s="490"/>
      <c r="E244" s="490"/>
      <c r="F244" s="490"/>
      <c r="G244" s="490"/>
    </row>
    <row r="245" spans="2:7">
      <c r="B245" s="523"/>
      <c r="C245" s="490"/>
      <c r="D245" s="490"/>
      <c r="E245" s="490"/>
      <c r="F245" s="490"/>
      <c r="G245" s="490"/>
    </row>
    <row r="246" spans="2:7">
      <c r="B246" s="523"/>
      <c r="C246" s="490"/>
      <c r="D246" s="490"/>
      <c r="E246" s="490"/>
      <c r="F246" s="490"/>
      <c r="G246" s="490"/>
    </row>
    <row r="247" spans="2:7">
      <c r="B247" s="523"/>
      <c r="C247" s="490"/>
      <c r="D247" s="490"/>
      <c r="E247" s="490"/>
      <c r="F247" s="490"/>
      <c r="G247" s="490"/>
    </row>
    <row r="248" spans="2:7">
      <c r="B248" s="523"/>
      <c r="C248" s="490"/>
      <c r="D248" s="490"/>
      <c r="E248" s="490"/>
      <c r="F248" s="490"/>
      <c r="G248" s="490"/>
    </row>
    <row r="249" spans="2:7">
      <c r="B249" s="523"/>
      <c r="C249" s="490"/>
      <c r="D249" s="490"/>
      <c r="E249" s="490"/>
      <c r="F249" s="490"/>
      <c r="G249" s="490"/>
    </row>
    <row r="250" spans="2:7">
      <c r="B250" s="523"/>
      <c r="C250" s="490"/>
      <c r="D250" s="490"/>
      <c r="E250" s="490"/>
      <c r="F250" s="490"/>
      <c r="G250" s="490"/>
    </row>
    <row r="251" spans="2:7">
      <c r="B251" s="523"/>
      <c r="C251" s="490"/>
      <c r="D251" s="490"/>
      <c r="E251" s="490"/>
      <c r="F251" s="490"/>
      <c r="G251" s="490"/>
    </row>
    <row r="252" spans="2:7">
      <c r="B252" s="523"/>
      <c r="C252" s="490"/>
      <c r="D252" s="490"/>
      <c r="E252" s="490"/>
      <c r="F252" s="490"/>
      <c r="G252" s="490"/>
    </row>
    <row r="253" spans="2:7">
      <c r="B253" s="523"/>
      <c r="C253" s="490"/>
      <c r="D253" s="490"/>
      <c r="E253" s="490"/>
      <c r="F253" s="490"/>
      <c r="G253" s="490"/>
    </row>
    <row r="254" spans="2:7">
      <c r="B254" s="523"/>
      <c r="C254" s="490"/>
      <c r="D254" s="490"/>
      <c r="E254" s="490"/>
      <c r="F254" s="490"/>
      <c r="G254" s="490"/>
    </row>
    <row r="255" spans="2:7">
      <c r="B255" s="523"/>
      <c r="C255" s="490"/>
      <c r="D255" s="490"/>
      <c r="E255" s="490"/>
      <c r="F255" s="490"/>
      <c r="G255" s="490"/>
    </row>
    <row r="256" spans="2:7">
      <c r="B256" s="523"/>
      <c r="C256" s="490"/>
      <c r="D256" s="490"/>
      <c r="E256" s="490"/>
      <c r="F256" s="490"/>
      <c r="G256" s="490"/>
    </row>
    <row r="257" spans="2:7">
      <c r="B257" s="523"/>
      <c r="C257" s="490"/>
      <c r="D257" s="490"/>
      <c r="E257" s="490"/>
      <c r="F257" s="490"/>
      <c r="G257" s="490"/>
    </row>
    <row r="258" spans="2:7">
      <c r="B258" s="523"/>
      <c r="C258" s="490"/>
      <c r="D258" s="490"/>
      <c r="E258" s="490"/>
      <c r="F258" s="490"/>
      <c r="G258" s="490"/>
    </row>
    <row r="259" spans="2:7">
      <c r="B259" s="523"/>
      <c r="C259" s="490"/>
      <c r="D259" s="490"/>
      <c r="E259" s="490"/>
      <c r="F259" s="490"/>
      <c r="G259" s="490"/>
    </row>
    <row r="260" spans="2:7">
      <c r="B260" s="523"/>
      <c r="C260" s="490"/>
      <c r="D260" s="490"/>
      <c r="E260" s="490"/>
      <c r="F260" s="490"/>
      <c r="G260" s="490"/>
    </row>
    <row r="261" spans="2:7">
      <c r="B261" s="523"/>
      <c r="C261" s="490"/>
      <c r="D261" s="490"/>
      <c r="E261" s="490"/>
      <c r="F261" s="490"/>
      <c r="G261" s="490"/>
    </row>
    <row r="262" spans="2:7">
      <c r="B262" s="523"/>
      <c r="C262" s="490"/>
      <c r="D262" s="490"/>
      <c r="E262" s="490"/>
      <c r="F262" s="490"/>
      <c r="G262" s="490"/>
    </row>
    <row r="263" spans="2:7">
      <c r="B263" s="523"/>
      <c r="C263" s="490"/>
      <c r="D263" s="490"/>
      <c r="E263" s="490"/>
      <c r="F263" s="490"/>
      <c r="G263" s="490"/>
    </row>
    <row r="264" spans="2:7">
      <c r="B264" s="523"/>
      <c r="C264" s="490"/>
      <c r="D264" s="490"/>
      <c r="E264" s="490"/>
      <c r="F264" s="490"/>
      <c r="G264" s="490"/>
    </row>
    <row r="265" spans="2:7">
      <c r="B265" s="523"/>
      <c r="C265" s="490"/>
      <c r="D265" s="490"/>
      <c r="E265" s="490"/>
      <c r="F265" s="490"/>
      <c r="G265" s="490"/>
    </row>
    <row r="266" spans="2:7">
      <c r="B266" s="523"/>
      <c r="C266" s="490"/>
      <c r="D266" s="490"/>
      <c r="E266" s="490"/>
      <c r="F266" s="490"/>
      <c r="G266" s="490"/>
    </row>
    <row r="267" spans="2:7">
      <c r="B267" s="523"/>
      <c r="C267" s="490"/>
      <c r="D267" s="490"/>
      <c r="E267" s="490"/>
      <c r="F267" s="490"/>
      <c r="G267" s="490"/>
    </row>
    <row r="268" spans="2:7">
      <c r="B268" s="523"/>
      <c r="C268" s="490"/>
      <c r="D268" s="490"/>
      <c r="E268" s="490"/>
      <c r="F268" s="490"/>
      <c r="G268" s="490"/>
    </row>
    <row r="269" spans="2:7">
      <c r="B269" s="523"/>
      <c r="C269" s="490"/>
      <c r="D269" s="490"/>
      <c r="E269" s="490"/>
      <c r="F269" s="490"/>
      <c r="G269" s="490"/>
    </row>
    <row r="270" spans="2:7">
      <c r="B270" s="523"/>
      <c r="C270" s="490"/>
      <c r="D270" s="490"/>
      <c r="E270" s="490"/>
      <c r="F270" s="490"/>
      <c r="G270" s="490"/>
    </row>
    <row r="271" spans="2:7">
      <c r="B271" s="523"/>
      <c r="C271" s="490"/>
      <c r="D271" s="490"/>
      <c r="E271" s="490"/>
      <c r="F271" s="490"/>
      <c r="G271" s="490"/>
    </row>
    <row r="272" spans="2:7">
      <c r="B272" s="523"/>
      <c r="C272" s="490"/>
      <c r="D272" s="490"/>
      <c r="E272" s="490"/>
      <c r="F272" s="490"/>
      <c r="G272" s="490"/>
    </row>
    <row r="273" spans="2:7">
      <c r="B273" s="523"/>
      <c r="C273" s="490"/>
      <c r="D273" s="490"/>
      <c r="E273" s="490"/>
      <c r="F273" s="490"/>
      <c r="G273" s="490"/>
    </row>
    <row r="274" spans="2:7">
      <c r="B274" s="523"/>
      <c r="C274" s="490"/>
      <c r="D274" s="490"/>
      <c r="E274" s="490"/>
      <c r="F274" s="490"/>
      <c r="G274" s="490"/>
    </row>
    <row r="275" spans="2:7">
      <c r="B275" s="523"/>
      <c r="C275" s="490"/>
      <c r="D275" s="490"/>
      <c r="E275" s="490"/>
      <c r="F275" s="490"/>
      <c r="G275" s="490"/>
    </row>
    <row r="276" spans="2:7">
      <c r="B276" s="523"/>
      <c r="C276" s="490"/>
      <c r="D276" s="490"/>
      <c r="E276" s="490"/>
      <c r="F276" s="490"/>
      <c r="G276" s="490"/>
    </row>
    <row r="277" spans="2:7">
      <c r="B277" s="523"/>
      <c r="C277" s="490"/>
      <c r="D277" s="490"/>
      <c r="E277" s="490"/>
      <c r="F277" s="490"/>
      <c r="G277" s="490"/>
    </row>
    <row r="278" spans="2:7">
      <c r="B278" s="523"/>
      <c r="C278" s="490"/>
      <c r="D278" s="490"/>
      <c r="E278" s="490"/>
      <c r="F278" s="490"/>
      <c r="G278" s="490"/>
    </row>
    <row r="279" spans="2:7">
      <c r="B279" s="523"/>
      <c r="C279" s="490"/>
      <c r="D279" s="490"/>
      <c r="E279" s="490"/>
      <c r="F279" s="490"/>
      <c r="G279" s="490"/>
    </row>
    <row r="280" spans="2:7">
      <c r="B280" s="523"/>
      <c r="C280" s="490"/>
      <c r="D280" s="490"/>
      <c r="E280" s="490"/>
      <c r="F280" s="490"/>
      <c r="G280" s="490"/>
    </row>
    <row r="281" spans="2:7">
      <c r="B281" s="523"/>
      <c r="C281" s="490"/>
      <c r="D281" s="490"/>
      <c r="E281" s="490"/>
      <c r="F281" s="490"/>
      <c r="G281" s="490"/>
    </row>
    <row r="282" spans="2:7">
      <c r="B282" s="523"/>
      <c r="C282" s="490"/>
      <c r="D282" s="490"/>
      <c r="E282" s="490"/>
      <c r="F282" s="490"/>
      <c r="G282" s="490"/>
    </row>
    <row r="283" spans="2:7">
      <c r="B283" s="523"/>
      <c r="C283" s="490"/>
      <c r="D283" s="490"/>
      <c r="E283" s="490"/>
      <c r="F283" s="490"/>
      <c r="G283" s="490"/>
    </row>
    <row r="284" spans="2:7">
      <c r="B284" s="523"/>
      <c r="C284" s="490"/>
      <c r="D284" s="490"/>
      <c r="E284" s="490"/>
      <c r="F284" s="490"/>
      <c r="G284" s="490"/>
    </row>
    <row r="285" spans="2:7">
      <c r="B285" s="523"/>
      <c r="C285" s="490"/>
      <c r="D285" s="490"/>
      <c r="E285" s="490"/>
      <c r="F285" s="490"/>
      <c r="G285" s="490"/>
    </row>
    <row r="286" spans="2:7">
      <c r="B286" s="523"/>
      <c r="C286" s="490"/>
      <c r="D286" s="490"/>
      <c r="E286" s="490"/>
      <c r="F286" s="490"/>
      <c r="G286" s="490"/>
    </row>
    <row r="287" spans="2:7">
      <c r="B287" s="523"/>
      <c r="C287" s="490"/>
      <c r="D287" s="490"/>
      <c r="E287" s="490"/>
      <c r="F287" s="490"/>
      <c r="G287" s="490"/>
    </row>
    <row r="288" spans="2:7">
      <c r="B288" s="523"/>
      <c r="C288" s="490"/>
      <c r="D288" s="490"/>
      <c r="E288" s="490"/>
      <c r="F288" s="490"/>
      <c r="G288" s="490"/>
    </row>
    <row r="289" spans="2:7">
      <c r="B289" s="523"/>
      <c r="C289" s="490"/>
      <c r="D289" s="490"/>
      <c r="E289" s="490"/>
      <c r="F289" s="490"/>
      <c r="G289" s="490"/>
    </row>
    <row r="290" spans="2:7">
      <c r="B290" s="523"/>
      <c r="C290" s="490"/>
      <c r="D290" s="490"/>
      <c r="E290" s="490"/>
      <c r="F290" s="490"/>
      <c r="G290" s="490"/>
    </row>
    <row r="291" spans="2:7">
      <c r="B291" s="523"/>
      <c r="C291" s="490"/>
      <c r="D291" s="490"/>
      <c r="E291" s="490"/>
      <c r="F291" s="490"/>
      <c r="G291" s="490"/>
    </row>
    <row r="292" spans="2:7">
      <c r="B292" s="523"/>
      <c r="C292" s="490"/>
      <c r="D292" s="490"/>
      <c r="E292" s="490"/>
      <c r="F292" s="490"/>
      <c r="G292" s="490"/>
    </row>
    <row r="293" spans="2:7">
      <c r="B293" s="523"/>
      <c r="C293" s="490"/>
      <c r="D293" s="490"/>
      <c r="E293" s="490"/>
      <c r="F293" s="490"/>
      <c r="G293" s="490"/>
    </row>
    <row r="294" spans="2:7">
      <c r="B294" s="523"/>
      <c r="C294" s="490"/>
      <c r="D294" s="490"/>
      <c r="E294" s="490"/>
      <c r="F294" s="490"/>
      <c r="G294" s="490"/>
    </row>
    <row r="295" spans="2:7">
      <c r="B295" s="523"/>
      <c r="C295" s="490"/>
      <c r="D295" s="490"/>
      <c r="E295" s="490"/>
      <c r="F295" s="490"/>
      <c r="G295" s="490"/>
    </row>
    <row r="296" spans="2:7">
      <c r="B296" s="523"/>
      <c r="C296" s="490"/>
      <c r="D296" s="490"/>
      <c r="E296" s="490"/>
      <c r="F296" s="490"/>
      <c r="G296" s="490"/>
    </row>
    <row r="297" spans="2:7">
      <c r="B297" s="523"/>
      <c r="C297" s="490"/>
      <c r="D297" s="490"/>
      <c r="E297" s="490"/>
      <c r="F297" s="490"/>
      <c r="G297" s="490"/>
    </row>
    <row r="298" spans="2:7">
      <c r="B298" s="523"/>
      <c r="C298" s="490"/>
      <c r="D298" s="490"/>
      <c r="E298" s="490"/>
      <c r="F298" s="490"/>
      <c r="G298" s="490"/>
    </row>
    <row r="299" spans="2:7">
      <c r="B299" s="523"/>
      <c r="C299" s="490"/>
      <c r="D299" s="490"/>
      <c r="E299" s="490"/>
      <c r="F299" s="490"/>
      <c r="G299" s="490"/>
    </row>
    <row r="300" spans="2:7">
      <c r="B300" s="523"/>
      <c r="C300" s="490"/>
      <c r="D300" s="490"/>
      <c r="E300" s="490"/>
      <c r="F300" s="490"/>
      <c r="G300" s="490"/>
    </row>
    <row r="301" spans="2:7">
      <c r="B301" s="523"/>
      <c r="C301" s="490"/>
      <c r="D301" s="490"/>
      <c r="E301" s="490"/>
      <c r="F301" s="490"/>
      <c r="G301" s="490"/>
    </row>
    <row r="302" spans="2:7">
      <c r="B302" s="523"/>
      <c r="C302" s="490"/>
      <c r="D302" s="490"/>
      <c r="E302" s="490"/>
      <c r="F302" s="490"/>
      <c r="G302" s="490"/>
    </row>
    <row r="303" spans="2:7">
      <c r="B303" s="523"/>
      <c r="C303" s="490"/>
      <c r="D303" s="490"/>
      <c r="E303" s="490"/>
      <c r="F303" s="490"/>
      <c r="G303" s="490"/>
    </row>
    <row r="304" spans="2:7">
      <c r="B304" s="523"/>
      <c r="C304" s="490"/>
      <c r="D304" s="490"/>
      <c r="E304" s="490"/>
      <c r="F304" s="490"/>
      <c r="G304" s="490"/>
    </row>
    <row r="305" spans="2:7">
      <c r="B305" s="523"/>
      <c r="C305" s="490"/>
      <c r="D305" s="490"/>
      <c r="E305" s="490"/>
      <c r="F305" s="490"/>
      <c r="G305" s="490"/>
    </row>
    <row r="306" spans="2:7">
      <c r="B306" s="523"/>
      <c r="C306" s="490"/>
      <c r="D306" s="490"/>
      <c r="E306" s="490"/>
      <c r="F306" s="490"/>
      <c r="G306" s="490"/>
    </row>
    <row r="307" spans="2:7">
      <c r="B307" s="523"/>
      <c r="C307" s="490"/>
      <c r="D307" s="490"/>
      <c r="E307" s="490"/>
      <c r="F307" s="490"/>
      <c r="G307" s="490"/>
    </row>
    <row r="308" spans="2:7">
      <c r="B308" s="523"/>
      <c r="C308" s="490"/>
      <c r="D308" s="490"/>
      <c r="E308" s="490"/>
      <c r="F308" s="490"/>
      <c r="G308" s="490"/>
    </row>
    <row r="309" spans="2:7">
      <c r="B309" s="523"/>
      <c r="C309" s="490"/>
      <c r="D309" s="490"/>
      <c r="E309" s="490"/>
      <c r="F309" s="490"/>
      <c r="G309" s="490"/>
    </row>
    <row r="310" spans="2:7">
      <c r="B310" s="523"/>
      <c r="C310" s="490"/>
      <c r="D310" s="490"/>
      <c r="E310" s="490"/>
      <c r="F310" s="490"/>
      <c r="G310" s="490"/>
    </row>
    <row r="311" spans="2:7">
      <c r="B311" s="523"/>
      <c r="C311" s="490"/>
      <c r="D311" s="490"/>
      <c r="E311" s="490"/>
      <c r="F311" s="490"/>
      <c r="G311" s="490"/>
    </row>
    <row r="312" spans="2:7">
      <c r="B312" s="523"/>
      <c r="C312" s="490"/>
      <c r="D312" s="490"/>
      <c r="E312" s="490"/>
      <c r="F312" s="490"/>
      <c r="G312" s="490"/>
    </row>
    <row r="313" spans="2:7">
      <c r="B313" s="523"/>
      <c r="C313" s="490"/>
      <c r="D313" s="490"/>
      <c r="E313" s="490"/>
      <c r="F313" s="490"/>
      <c r="G313" s="490"/>
    </row>
    <row r="314" spans="2:7">
      <c r="B314" s="523"/>
      <c r="C314" s="490"/>
      <c r="D314" s="490"/>
      <c r="E314" s="490"/>
      <c r="F314" s="490"/>
      <c r="G314" s="490"/>
    </row>
    <row r="315" spans="2:7">
      <c r="B315" s="523"/>
      <c r="C315" s="490"/>
      <c r="D315" s="490"/>
      <c r="E315" s="490"/>
      <c r="F315" s="490"/>
      <c r="G315" s="490"/>
    </row>
    <row r="316" spans="2:7">
      <c r="B316" s="523"/>
      <c r="C316" s="490"/>
      <c r="D316" s="490"/>
      <c r="E316" s="490"/>
      <c r="F316" s="490"/>
      <c r="G316" s="490"/>
    </row>
    <row r="317" spans="2:7">
      <c r="B317" s="523"/>
      <c r="C317" s="490"/>
      <c r="D317" s="490"/>
      <c r="E317" s="490"/>
      <c r="F317" s="490"/>
      <c r="G317" s="490"/>
    </row>
    <row r="318" spans="2:7">
      <c r="B318" s="523"/>
      <c r="C318" s="490"/>
      <c r="D318" s="490"/>
      <c r="E318" s="490"/>
      <c r="F318" s="490"/>
      <c r="G318" s="490"/>
    </row>
    <row r="319" spans="2:7">
      <c r="B319" s="523"/>
      <c r="C319" s="490"/>
      <c r="D319" s="490"/>
      <c r="E319" s="490"/>
      <c r="F319" s="490"/>
      <c r="G319" s="490"/>
    </row>
    <row r="320" spans="2:7">
      <c r="B320" s="523"/>
      <c r="C320" s="490"/>
      <c r="D320" s="490"/>
      <c r="E320" s="490"/>
      <c r="F320" s="490"/>
      <c r="G320" s="490"/>
    </row>
    <row r="321" spans="2:7">
      <c r="B321" s="523"/>
      <c r="C321" s="490"/>
      <c r="D321" s="490"/>
      <c r="E321" s="490"/>
      <c r="F321" s="490"/>
      <c r="G321" s="490"/>
    </row>
    <row r="322" spans="2:7">
      <c r="B322" s="523"/>
      <c r="C322" s="490"/>
      <c r="D322" s="490"/>
      <c r="E322" s="490"/>
      <c r="F322" s="490"/>
      <c r="G322" s="490"/>
    </row>
    <row r="323" spans="2:7">
      <c r="B323" s="523"/>
      <c r="C323" s="490"/>
      <c r="D323" s="490"/>
      <c r="E323" s="490"/>
      <c r="F323" s="490"/>
      <c r="G323" s="490"/>
    </row>
    <row r="324" spans="2:7">
      <c r="B324" s="523"/>
      <c r="C324" s="490"/>
      <c r="D324" s="490"/>
      <c r="E324" s="490"/>
      <c r="F324" s="490"/>
      <c r="G324" s="490"/>
    </row>
    <row r="325" spans="2:7">
      <c r="B325" s="523"/>
      <c r="C325" s="490"/>
      <c r="D325" s="490"/>
      <c r="E325" s="490"/>
      <c r="F325" s="490"/>
      <c r="G325" s="490"/>
    </row>
    <row r="326" spans="2:7">
      <c r="B326" s="523"/>
      <c r="C326" s="490"/>
      <c r="D326" s="490"/>
      <c r="E326" s="490"/>
      <c r="F326" s="490"/>
      <c r="G326" s="490"/>
    </row>
    <row r="327" spans="2:7">
      <c r="B327" s="523"/>
      <c r="C327" s="490"/>
      <c r="D327" s="490"/>
      <c r="E327" s="490"/>
      <c r="F327" s="490"/>
      <c r="G327" s="490"/>
    </row>
    <row r="328" spans="2:7">
      <c r="B328" s="523"/>
      <c r="C328" s="490"/>
      <c r="D328" s="490"/>
      <c r="E328" s="490"/>
      <c r="F328" s="490"/>
      <c r="G328" s="490"/>
    </row>
    <row r="329" spans="2:7">
      <c r="B329" s="523"/>
      <c r="C329" s="490"/>
      <c r="D329" s="490"/>
      <c r="E329" s="490"/>
      <c r="F329" s="490"/>
      <c r="G329" s="490"/>
    </row>
    <row r="330" spans="2:7">
      <c r="B330" s="523"/>
      <c r="C330" s="490"/>
      <c r="D330" s="490"/>
      <c r="E330" s="490"/>
      <c r="F330" s="490"/>
      <c r="G330" s="490"/>
    </row>
    <row r="331" spans="2:7">
      <c r="B331" s="523"/>
      <c r="C331" s="490"/>
      <c r="D331" s="490"/>
      <c r="E331" s="490"/>
      <c r="F331" s="490"/>
      <c r="G331" s="490"/>
    </row>
    <row r="332" spans="2:7">
      <c r="B332" s="523"/>
      <c r="C332" s="490"/>
      <c r="D332" s="490"/>
      <c r="E332" s="490"/>
      <c r="F332" s="490"/>
      <c r="G332" s="490"/>
    </row>
    <row r="333" spans="2:7">
      <c r="B333" s="523"/>
      <c r="C333" s="490"/>
      <c r="D333" s="490"/>
      <c r="E333" s="490"/>
      <c r="F333" s="490"/>
      <c r="G333" s="490"/>
    </row>
    <row r="334" spans="2:7">
      <c r="B334" s="523"/>
      <c r="C334" s="490"/>
      <c r="D334" s="490"/>
      <c r="E334" s="490"/>
      <c r="F334" s="490"/>
      <c r="G334" s="490"/>
    </row>
    <row r="335" spans="2:7">
      <c r="B335" s="523"/>
      <c r="C335" s="490"/>
      <c r="D335" s="490"/>
      <c r="E335" s="490"/>
      <c r="F335" s="490"/>
      <c r="G335" s="490"/>
    </row>
    <row r="336" spans="2:7">
      <c r="B336" s="523"/>
      <c r="C336" s="490"/>
      <c r="D336" s="490"/>
      <c r="E336" s="490"/>
      <c r="F336" s="490"/>
      <c r="G336" s="490"/>
    </row>
    <row r="337" spans="2:7">
      <c r="B337" s="523"/>
      <c r="C337" s="490"/>
      <c r="D337" s="490"/>
      <c r="E337" s="490"/>
      <c r="F337" s="490"/>
      <c r="G337" s="490"/>
    </row>
    <row r="338" spans="2:7">
      <c r="B338" s="523"/>
      <c r="C338" s="490"/>
      <c r="D338" s="490"/>
      <c r="E338" s="490"/>
      <c r="F338" s="490"/>
      <c r="G338" s="490"/>
    </row>
    <row r="339" spans="2:7">
      <c r="B339" s="523"/>
      <c r="C339" s="490"/>
      <c r="D339" s="490"/>
      <c r="E339" s="490"/>
      <c r="F339" s="490"/>
      <c r="G339" s="490"/>
    </row>
    <row r="340" spans="2:7">
      <c r="B340" s="523"/>
      <c r="C340" s="490"/>
      <c r="D340" s="490"/>
      <c r="E340" s="490"/>
      <c r="F340" s="490"/>
      <c r="G340" s="490"/>
    </row>
    <row r="341" spans="2:7">
      <c r="B341" s="523"/>
      <c r="C341" s="490"/>
      <c r="D341" s="490"/>
      <c r="E341" s="490"/>
      <c r="F341" s="490"/>
      <c r="G341" s="490"/>
    </row>
    <row r="342" spans="2:7">
      <c r="B342" s="523"/>
      <c r="C342" s="490"/>
      <c r="D342" s="490"/>
      <c r="E342" s="490"/>
      <c r="F342" s="490"/>
      <c r="G342" s="490"/>
    </row>
    <row r="343" spans="2:7">
      <c r="B343" s="523"/>
      <c r="C343" s="490"/>
      <c r="D343" s="490"/>
      <c r="E343" s="490"/>
      <c r="F343" s="490"/>
      <c r="G343" s="490"/>
    </row>
    <row r="344" spans="2:7">
      <c r="B344" s="523"/>
      <c r="C344" s="490"/>
      <c r="D344" s="490"/>
      <c r="E344" s="490"/>
      <c r="F344" s="490"/>
      <c r="G344" s="490"/>
    </row>
    <row r="345" spans="2:7">
      <c r="B345" s="523"/>
      <c r="C345" s="490"/>
      <c r="D345" s="490"/>
      <c r="E345" s="490"/>
      <c r="F345" s="490"/>
      <c r="G345" s="490"/>
    </row>
    <row r="346" spans="2:7">
      <c r="B346" s="523"/>
      <c r="C346" s="490"/>
      <c r="D346" s="490"/>
      <c r="E346" s="490"/>
      <c r="F346" s="490"/>
      <c r="G346" s="490"/>
    </row>
    <row r="347" spans="2:7">
      <c r="B347" s="523"/>
      <c r="C347" s="490"/>
      <c r="D347" s="490"/>
      <c r="E347" s="490"/>
      <c r="F347" s="490"/>
      <c r="G347" s="490"/>
    </row>
    <row r="348" spans="2:7">
      <c r="B348" s="523"/>
      <c r="C348" s="490"/>
      <c r="D348" s="490"/>
      <c r="E348" s="490"/>
      <c r="F348" s="490"/>
      <c r="G348" s="490"/>
    </row>
    <row r="349" spans="2:7">
      <c r="B349" s="523"/>
      <c r="C349" s="490"/>
      <c r="D349" s="490"/>
      <c r="E349" s="490"/>
      <c r="F349" s="490"/>
      <c r="G349" s="490"/>
    </row>
    <row r="350" spans="2:7">
      <c r="B350" s="523"/>
      <c r="C350" s="490"/>
      <c r="D350" s="490"/>
      <c r="E350" s="490"/>
      <c r="F350" s="490"/>
      <c r="G350" s="490"/>
    </row>
    <row r="351" spans="2:7">
      <c r="B351" s="523"/>
      <c r="C351" s="490"/>
      <c r="D351" s="490"/>
      <c r="E351" s="490"/>
      <c r="F351" s="490"/>
      <c r="G351" s="490"/>
    </row>
    <row r="352" spans="2:7">
      <c r="B352" s="523"/>
      <c r="C352" s="490"/>
      <c r="D352" s="490"/>
      <c r="E352" s="490"/>
      <c r="F352" s="490"/>
      <c r="G352" s="490"/>
    </row>
    <row r="353" spans="2:7">
      <c r="B353" s="523"/>
      <c r="C353" s="490"/>
      <c r="D353" s="490"/>
      <c r="E353" s="490"/>
      <c r="F353" s="490"/>
      <c r="G353" s="490"/>
    </row>
    <row r="354" spans="2:7">
      <c r="B354" s="523"/>
      <c r="C354" s="490"/>
      <c r="D354" s="490"/>
      <c r="E354" s="490"/>
      <c r="F354" s="490"/>
      <c r="G354" s="490"/>
    </row>
    <row r="355" spans="2:7">
      <c r="B355" s="523"/>
      <c r="C355" s="490"/>
      <c r="D355" s="490"/>
      <c r="E355" s="490"/>
      <c r="F355" s="490"/>
      <c r="G355" s="490"/>
    </row>
    <row r="356" spans="2:7">
      <c r="B356" s="523"/>
      <c r="C356" s="490"/>
      <c r="D356" s="490"/>
      <c r="E356" s="490"/>
      <c r="F356" s="490"/>
      <c r="G356" s="490"/>
    </row>
    <row r="357" spans="2:7">
      <c r="B357" s="523"/>
      <c r="C357" s="490"/>
      <c r="D357" s="490"/>
      <c r="E357" s="490"/>
      <c r="F357" s="490"/>
      <c r="G357" s="490"/>
    </row>
    <row r="358" spans="2:7">
      <c r="B358" s="523"/>
      <c r="C358" s="490"/>
      <c r="D358" s="490"/>
      <c r="E358" s="490"/>
      <c r="F358" s="490"/>
      <c r="G358" s="490"/>
    </row>
    <row r="359" spans="2:7">
      <c r="B359" s="523"/>
      <c r="C359" s="490"/>
      <c r="D359" s="490"/>
      <c r="E359" s="490"/>
      <c r="F359" s="490"/>
      <c r="G359" s="490"/>
    </row>
    <row r="360" spans="2:7">
      <c r="B360" s="523"/>
      <c r="C360" s="490"/>
      <c r="D360" s="490"/>
      <c r="E360" s="490"/>
      <c r="F360" s="490"/>
      <c r="G360" s="490"/>
    </row>
    <row r="361" spans="2:7">
      <c r="B361" s="523"/>
      <c r="C361" s="490"/>
      <c r="D361" s="490"/>
      <c r="E361" s="490"/>
      <c r="F361" s="490"/>
      <c r="G361" s="490"/>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346"/>
  <sheetViews>
    <sheetView workbookViewId="0">
      <selection activeCell="F16" sqref="F16"/>
    </sheetView>
  </sheetViews>
  <sheetFormatPr defaultColWidth="10" defaultRowHeight="12.75"/>
  <cols>
    <col min="1" max="1" width="26.7109375" style="6" customWidth="1"/>
    <col min="2" max="2" width="9.7109375" style="6" bestFit="1" customWidth="1"/>
    <col min="3" max="3" width="5.42578125" style="6" bestFit="1" customWidth="1"/>
    <col min="4" max="4" width="10.140625" style="6" bestFit="1" customWidth="1"/>
    <col min="5" max="5" width="8" style="6" bestFit="1" customWidth="1"/>
    <col min="6" max="6" width="10" style="6" bestFit="1" customWidth="1"/>
    <col min="7" max="7" width="13.28515625" style="6" bestFit="1" customWidth="1"/>
    <col min="8" max="8" width="8.28515625" style="6" customWidth="1"/>
    <col min="9" max="254" width="10" style="6"/>
    <col min="255" max="255" width="2.5703125" style="6" customWidth="1"/>
    <col min="256" max="256" width="7.140625" style="6" customWidth="1"/>
    <col min="257" max="257" width="16.85546875" style="6" customWidth="1"/>
    <col min="258" max="258" width="9.7109375" style="6" customWidth="1"/>
    <col min="259" max="259" width="4.7109375" style="6" customWidth="1"/>
    <col min="260" max="260" width="14.42578125" style="6" customWidth="1"/>
    <col min="261" max="261" width="11.140625" style="6" customWidth="1"/>
    <col min="262" max="262" width="10.28515625" style="6" customWidth="1"/>
    <col min="263" max="263" width="13" style="6" customWidth="1"/>
    <col min="264" max="264" width="8.28515625" style="6" customWidth="1"/>
    <col min="265" max="510" width="10" style="6"/>
    <col min="511" max="511" width="2.5703125" style="6" customWidth="1"/>
    <col min="512" max="512" width="7.140625" style="6" customWidth="1"/>
    <col min="513" max="513" width="16.85546875" style="6" customWidth="1"/>
    <col min="514" max="514" width="9.7109375" style="6" customWidth="1"/>
    <col min="515" max="515" width="4.7109375" style="6" customWidth="1"/>
    <col min="516" max="516" width="14.42578125" style="6" customWidth="1"/>
    <col min="517" max="517" width="11.140625" style="6" customWidth="1"/>
    <col min="518" max="518" width="10.28515625" style="6" customWidth="1"/>
    <col min="519" max="519" width="13" style="6" customWidth="1"/>
    <col min="520" max="520" width="8.28515625" style="6" customWidth="1"/>
    <col min="521" max="766" width="10" style="6"/>
    <col min="767" max="767" width="2.5703125" style="6" customWidth="1"/>
    <col min="768" max="768" width="7.140625" style="6" customWidth="1"/>
    <col min="769" max="769" width="16.85546875" style="6" customWidth="1"/>
    <col min="770" max="770" width="9.7109375" style="6" customWidth="1"/>
    <col min="771" max="771" width="4.7109375" style="6" customWidth="1"/>
    <col min="772" max="772" width="14.42578125" style="6" customWidth="1"/>
    <col min="773" max="773" width="11.140625" style="6" customWidth="1"/>
    <col min="774" max="774" width="10.28515625" style="6" customWidth="1"/>
    <col min="775" max="775" width="13" style="6" customWidth="1"/>
    <col min="776" max="776" width="8.28515625" style="6" customWidth="1"/>
    <col min="777" max="1022" width="10" style="6"/>
    <col min="1023" max="1023" width="2.5703125" style="6" customWidth="1"/>
    <col min="1024" max="1024" width="7.140625" style="6" customWidth="1"/>
    <col min="1025" max="1025" width="16.85546875" style="6" customWidth="1"/>
    <col min="1026" max="1026" width="9.7109375" style="6" customWidth="1"/>
    <col min="1027" max="1027" width="4.7109375" style="6" customWidth="1"/>
    <col min="1028" max="1028" width="14.42578125" style="6" customWidth="1"/>
    <col min="1029" max="1029" width="11.140625" style="6" customWidth="1"/>
    <col min="1030" max="1030" width="10.28515625" style="6" customWidth="1"/>
    <col min="1031" max="1031" width="13" style="6" customWidth="1"/>
    <col min="1032" max="1032" width="8.28515625" style="6" customWidth="1"/>
    <col min="1033" max="1278" width="10" style="6"/>
    <col min="1279" max="1279" width="2.5703125" style="6" customWidth="1"/>
    <col min="1280" max="1280" width="7.140625" style="6" customWidth="1"/>
    <col min="1281" max="1281" width="16.85546875" style="6" customWidth="1"/>
    <col min="1282" max="1282" width="9.7109375" style="6" customWidth="1"/>
    <col min="1283" max="1283" width="4.7109375" style="6" customWidth="1"/>
    <col min="1284" max="1284" width="14.42578125" style="6" customWidth="1"/>
    <col min="1285" max="1285" width="11.140625" style="6" customWidth="1"/>
    <col min="1286" max="1286" width="10.28515625" style="6" customWidth="1"/>
    <col min="1287" max="1287" width="13" style="6" customWidth="1"/>
    <col min="1288" max="1288" width="8.28515625" style="6" customWidth="1"/>
    <col min="1289" max="1534" width="10" style="6"/>
    <col min="1535" max="1535" width="2.5703125" style="6" customWidth="1"/>
    <col min="1536" max="1536" width="7.140625" style="6" customWidth="1"/>
    <col min="1537" max="1537" width="16.85546875" style="6" customWidth="1"/>
    <col min="1538" max="1538" width="9.7109375" style="6" customWidth="1"/>
    <col min="1539" max="1539" width="4.7109375" style="6" customWidth="1"/>
    <col min="1540" max="1540" width="14.42578125" style="6" customWidth="1"/>
    <col min="1541" max="1541" width="11.140625" style="6" customWidth="1"/>
    <col min="1542" max="1542" width="10.28515625" style="6" customWidth="1"/>
    <col min="1543" max="1543" width="13" style="6" customWidth="1"/>
    <col min="1544" max="1544" width="8.28515625" style="6" customWidth="1"/>
    <col min="1545" max="1790" width="10" style="6"/>
    <col min="1791" max="1791" width="2.5703125" style="6" customWidth="1"/>
    <col min="1792" max="1792" width="7.140625" style="6" customWidth="1"/>
    <col min="1793" max="1793" width="16.85546875" style="6" customWidth="1"/>
    <col min="1794" max="1794" width="9.7109375" style="6" customWidth="1"/>
    <col min="1795" max="1795" width="4.7109375" style="6" customWidth="1"/>
    <col min="1796" max="1796" width="14.42578125" style="6" customWidth="1"/>
    <col min="1797" max="1797" width="11.140625" style="6" customWidth="1"/>
    <col min="1798" max="1798" width="10.28515625" style="6" customWidth="1"/>
    <col min="1799" max="1799" width="13" style="6" customWidth="1"/>
    <col min="1800" max="1800" width="8.28515625" style="6" customWidth="1"/>
    <col min="1801" max="2046" width="10" style="6"/>
    <col min="2047" max="2047" width="2.5703125" style="6" customWidth="1"/>
    <col min="2048" max="2048" width="7.140625" style="6" customWidth="1"/>
    <col min="2049" max="2049" width="16.85546875" style="6" customWidth="1"/>
    <col min="2050" max="2050" width="9.7109375" style="6" customWidth="1"/>
    <col min="2051" max="2051" width="4.7109375" style="6" customWidth="1"/>
    <col min="2052" max="2052" width="14.42578125" style="6" customWidth="1"/>
    <col min="2053" max="2053" width="11.140625" style="6" customWidth="1"/>
    <col min="2054" max="2054" width="10.28515625" style="6" customWidth="1"/>
    <col min="2055" max="2055" width="13" style="6" customWidth="1"/>
    <col min="2056" max="2056" width="8.28515625" style="6" customWidth="1"/>
    <col min="2057" max="2302" width="10" style="6"/>
    <col min="2303" max="2303" width="2.5703125" style="6" customWidth="1"/>
    <col min="2304" max="2304" width="7.140625" style="6" customWidth="1"/>
    <col min="2305" max="2305" width="16.85546875" style="6" customWidth="1"/>
    <col min="2306" max="2306" width="9.7109375" style="6" customWidth="1"/>
    <col min="2307" max="2307" width="4.7109375" style="6" customWidth="1"/>
    <col min="2308" max="2308" width="14.42578125" style="6" customWidth="1"/>
    <col min="2309" max="2309" width="11.140625" style="6" customWidth="1"/>
    <col min="2310" max="2310" width="10.28515625" style="6" customWidth="1"/>
    <col min="2311" max="2311" width="13" style="6" customWidth="1"/>
    <col min="2312" max="2312" width="8.28515625" style="6" customWidth="1"/>
    <col min="2313" max="2558" width="10" style="6"/>
    <col min="2559" max="2559" width="2.5703125" style="6" customWidth="1"/>
    <col min="2560" max="2560" width="7.140625" style="6" customWidth="1"/>
    <col min="2561" max="2561" width="16.85546875" style="6" customWidth="1"/>
    <col min="2562" max="2562" width="9.7109375" style="6" customWidth="1"/>
    <col min="2563" max="2563" width="4.7109375" style="6" customWidth="1"/>
    <col min="2564" max="2564" width="14.42578125" style="6" customWidth="1"/>
    <col min="2565" max="2565" width="11.140625" style="6" customWidth="1"/>
    <col min="2566" max="2566" width="10.28515625" style="6" customWidth="1"/>
    <col min="2567" max="2567" width="13" style="6" customWidth="1"/>
    <col min="2568" max="2568" width="8.28515625" style="6" customWidth="1"/>
    <col min="2569" max="2814" width="10" style="6"/>
    <col min="2815" max="2815" width="2.5703125" style="6" customWidth="1"/>
    <col min="2816" max="2816" width="7.140625" style="6" customWidth="1"/>
    <col min="2817" max="2817" width="16.85546875" style="6" customWidth="1"/>
    <col min="2818" max="2818" width="9.7109375" style="6" customWidth="1"/>
    <col min="2819" max="2819" width="4.7109375" style="6" customWidth="1"/>
    <col min="2820" max="2820" width="14.42578125" style="6" customWidth="1"/>
    <col min="2821" max="2821" width="11.140625" style="6" customWidth="1"/>
    <col min="2822" max="2822" width="10.28515625" style="6" customWidth="1"/>
    <col min="2823" max="2823" width="13" style="6" customWidth="1"/>
    <col min="2824" max="2824" width="8.28515625" style="6" customWidth="1"/>
    <col min="2825" max="3070" width="10" style="6"/>
    <col min="3071" max="3071" width="2.5703125" style="6" customWidth="1"/>
    <col min="3072" max="3072" width="7.140625" style="6" customWidth="1"/>
    <col min="3073" max="3073" width="16.85546875" style="6" customWidth="1"/>
    <col min="3074" max="3074" width="9.7109375" style="6" customWidth="1"/>
    <col min="3075" max="3075" width="4.7109375" style="6" customWidth="1"/>
    <col min="3076" max="3076" width="14.42578125" style="6" customWidth="1"/>
    <col min="3077" max="3077" width="11.140625" style="6" customWidth="1"/>
    <col min="3078" max="3078" width="10.28515625" style="6" customWidth="1"/>
    <col min="3079" max="3079" width="13" style="6" customWidth="1"/>
    <col min="3080" max="3080" width="8.28515625" style="6" customWidth="1"/>
    <col min="3081" max="3326" width="10" style="6"/>
    <col min="3327" max="3327" width="2.5703125" style="6" customWidth="1"/>
    <col min="3328" max="3328" width="7.140625" style="6" customWidth="1"/>
    <col min="3329" max="3329" width="16.85546875" style="6" customWidth="1"/>
    <col min="3330" max="3330" width="9.7109375" style="6" customWidth="1"/>
    <col min="3331" max="3331" width="4.7109375" style="6" customWidth="1"/>
    <col min="3332" max="3332" width="14.42578125" style="6" customWidth="1"/>
    <col min="3333" max="3333" width="11.140625" style="6" customWidth="1"/>
    <col min="3334" max="3334" width="10.28515625" style="6" customWidth="1"/>
    <col min="3335" max="3335" width="13" style="6" customWidth="1"/>
    <col min="3336" max="3336" width="8.28515625" style="6" customWidth="1"/>
    <col min="3337" max="3582" width="10" style="6"/>
    <col min="3583" max="3583" width="2.5703125" style="6" customWidth="1"/>
    <col min="3584" max="3584" width="7.140625" style="6" customWidth="1"/>
    <col min="3585" max="3585" width="16.85546875" style="6" customWidth="1"/>
    <col min="3586" max="3586" width="9.7109375" style="6" customWidth="1"/>
    <col min="3587" max="3587" width="4.7109375" style="6" customWidth="1"/>
    <col min="3588" max="3588" width="14.42578125" style="6" customWidth="1"/>
    <col min="3589" max="3589" width="11.140625" style="6" customWidth="1"/>
    <col min="3590" max="3590" width="10.28515625" style="6" customWidth="1"/>
    <col min="3591" max="3591" width="13" style="6" customWidth="1"/>
    <col min="3592" max="3592" width="8.28515625" style="6" customWidth="1"/>
    <col min="3593" max="3838" width="10" style="6"/>
    <col min="3839" max="3839" width="2.5703125" style="6" customWidth="1"/>
    <col min="3840" max="3840" width="7.140625" style="6" customWidth="1"/>
    <col min="3841" max="3841" width="16.85546875" style="6" customWidth="1"/>
    <col min="3842" max="3842" width="9.7109375" style="6" customWidth="1"/>
    <col min="3843" max="3843" width="4.7109375" style="6" customWidth="1"/>
    <col min="3844" max="3844" width="14.42578125" style="6" customWidth="1"/>
    <col min="3845" max="3845" width="11.140625" style="6" customWidth="1"/>
    <col min="3846" max="3846" width="10.28515625" style="6" customWidth="1"/>
    <col min="3847" max="3847" width="13" style="6" customWidth="1"/>
    <col min="3848" max="3848" width="8.28515625" style="6" customWidth="1"/>
    <col min="3849" max="4094" width="10" style="6"/>
    <col min="4095" max="4095" width="2.5703125" style="6" customWidth="1"/>
    <col min="4096" max="4096" width="7.140625" style="6" customWidth="1"/>
    <col min="4097" max="4097" width="16.85546875" style="6" customWidth="1"/>
    <col min="4098" max="4098" width="9.7109375" style="6" customWidth="1"/>
    <col min="4099" max="4099" width="4.7109375" style="6" customWidth="1"/>
    <col min="4100" max="4100" width="14.42578125" style="6" customWidth="1"/>
    <col min="4101" max="4101" width="11.140625" style="6" customWidth="1"/>
    <col min="4102" max="4102" width="10.28515625" style="6" customWidth="1"/>
    <col min="4103" max="4103" width="13" style="6" customWidth="1"/>
    <col min="4104" max="4104" width="8.28515625" style="6" customWidth="1"/>
    <col min="4105" max="4350" width="10" style="6"/>
    <col min="4351" max="4351" width="2.5703125" style="6" customWidth="1"/>
    <col min="4352" max="4352" width="7.140625" style="6" customWidth="1"/>
    <col min="4353" max="4353" width="16.85546875" style="6" customWidth="1"/>
    <col min="4354" max="4354" width="9.7109375" style="6" customWidth="1"/>
    <col min="4355" max="4355" width="4.7109375" style="6" customWidth="1"/>
    <col min="4356" max="4356" width="14.42578125" style="6" customWidth="1"/>
    <col min="4357" max="4357" width="11.140625" style="6" customWidth="1"/>
    <col min="4358" max="4358" width="10.28515625" style="6" customWidth="1"/>
    <col min="4359" max="4359" width="13" style="6" customWidth="1"/>
    <col min="4360" max="4360" width="8.28515625" style="6" customWidth="1"/>
    <col min="4361" max="4606" width="10" style="6"/>
    <col min="4607" max="4607" width="2.5703125" style="6" customWidth="1"/>
    <col min="4608" max="4608" width="7.140625" style="6" customWidth="1"/>
    <col min="4609" max="4609" width="16.85546875" style="6" customWidth="1"/>
    <col min="4610" max="4610" width="9.7109375" style="6" customWidth="1"/>
    <col min="4611" max="4611" width="4.7109375" style="6" customWidth="1"/>
    <col min="4612" max="4612" width="14.42578125" style="6" customWidth="1"/>
    <col min="4613" max="4613" width="11.140625" style="6" customWidth="1"/>
    <col min="4614" max="4614" width="10.28515625" style="6" customWidth="1"/>
    <col min="4615" max="4615" width="13" style="6" customWidth="1"/>
    <col min="4616" max="4616" width="8.28515625" style="6" customWidth="1"/>
    <col min="4617" max="4862" width="10" style="6"/>
    <col min="4863" max="4863" width="2.5703125" style="6" customWidth="1"/>
    <col min="4864" max="4864" width="7.140625" style="6" customWidth="1"/>
    <col min="4865" max="4865" width="16.85546875" style="6" customWidth="1"/>
    <col min="4866" max="4866" width="9.7109375" style="6" customWidth="1"/>
    <col min="4867" max="4867" width="4.7109375" style="6" customWidth="1"/>
    <col min="4868" max="4868" width="14.42578125" style="6" customWidth="1"/>
    <col min="4869" max="4869" width="11.140625" style="6" customWidth="1"/>
    <col min="4870" max="4870" width="10.28515625" style="6" customWidth="1"/>
    <col min="4871" max="4871" width="13" style="6" customWidth="1"/>
    <col min="4872" max="4872" width="8.28515625" style="6" customWidth="1"/>
    <col min="4873" max="5118" width="10" style="6"/>
    <col min="5119" max="5119" width="2.5703125" style="6" customWidth="1"/>
    <col min="5120" max="5120" width="7.140625" style="6" customWidth="1"/>
    <col min="5121" max="5121" width="16.85546875" style="6" customWidth="1"/>
    <col min="5122" max="5122" width="9.7109375" style="6" customWidth="1"/>
    <col min="5123" max="5123" width="4.7109375" style="6" customWidth="1"/>
    <col min="5124" max="5124" width="14.42578125" style="6" customWidth="1"/>
    <col min="5125" max="5125" width="11.140625" style="6" customWidth="1"/>
    <col min="5126" max="5126" width="10.28515625" style="6" customWidth="1"/>
    <col min="5127" max="5127" width="13" style="6" customWidth="1"/>
    <col min="5128" max="5128" width="8.28515625" style="6" customWidth="1"/>
    <col min="5129" max="5374" width="10" style="6"/>
    <col min="5375" max="5375" width="2.5703125" style="6" customWidth="1"/>
    <col min="5376" max="5376" width="7.140625" style="6" customWidth="1"/>
    <col min="5377" max="5377" width="16.85546875" style="6" customWidth="1"/>
    <col min="5378" max="5378" width="9.7109375" style="6" customWidth="1"/>
    <col min="5379" max="5379" width="4.7109375" style="6" customWidth="1"/>
    <col min="5380" max="5380" width="14.42578125" style="6" customWidth="1"/>
    <col min="5381" max="5381" width="11.140625" style="6" customWidth="1"/>
    <col min="5382" max="5382" width="10.28515625" style="6" customWidth="1"/>
    <col min="5383" max="5383" width="13" style="6" customWidth="1"/>
    <col min="5384" max="5384" width="8.28515625" style="6" customWidth="1"/>
    <col min="5385" max="5630" width="10" style="6"/>
    <col min="5631" max="5631" width="2.5703125" style="6" customWidth="1"/>
    <col min="5632" max="5632" width="7.140625" style="6" customWidth="1"/>
    <col min="5633" max="5633" width="16.85546875" style="6" customWidth="1"/>
    <col min="5634" max="5634" width="9.7109375" style="6" customWidth="1"/>
    <col min="5635" max="5635" width="4.7109375" style="6" customWidth="1"/>
    <col min="5636" max="5636" width="14.42578125" style="6" customWidth="1"/>
    <col min="5637" max="5637" width="11.140625" style="6" customWidth="1"/>
    <col min="5638" max="5638" width="10.28515625" style="6" customWidth="1"/>
    <col min="5639" max="5639" width="13" style="6" customWidth="1"/>
    <col min="5640" max="5640" width="8.28515625" style="6" customWidth="1"/>
    <col min="5641" max="5886" width="10" style="6"/>
    <col min="5887" max="5887" width="2.5703125" style="6" customWidth="1"/>
    <col min="5888" max="5888" width="7.140625" style="6" customWidth="1"/>
    <col min="5889" max="5889" width="16.85546875" style="6" customWidth="1"/>
    <col min="5890" max="5890" width="9.7109375" style="6" customWidth="1"/>
    <col min="5891" max="5891" width="4.7109375" style="6" customWidth="1"/>
    <col min="5892" max="5892" width="14.42578125" style="6" customWidth="1"/>
    <col min="5893" max="5893" width="11.140625" style="6" customWidth="1"/>
    <col min="5894" max="5894" width="10.28515625" style="6" customWidth="1"/>
    <col min="5895" max="5895" width="13" style="6" customWidth="1"/>
    <col min="5896" max="5896" width="8.28515625" style="6" customWidth="1"/>
    <col min="5897" max="6142" width="10" style="6"/>
    <col min="6143" max="6143" width="2.5703125" style="6" customWidth="1"/>
    <col min="6144" max="6144" width="7.140625" style="6" customWidth="1"/>
    <col min="6145" max="6145" width="16.85546875" style="6" customWidth="1"/>
    <col min="6146" max="6146" width="9.7109375" style="6" customWidth="1"/>
    <col min="6147" max="6147" width="4.7109375" style="6" customWidth="1"/>
    <col min="6148" max="6148" width="14.42578125" style="6" customWidth="1"/>
    <col min="6149" max="6149" width="11.140625" style="6" customWidth="1"/>
    <col min="6150" max="6150" width="10.28515625" style="6" customWidth="1"/>
    <col min="6151" max="6151" width="13" style="6" customWidth="1"/>
    <col min="6152" max="6152" width="8.28515625" style="6" customWidth="1"/>
    <col min="6153" max="6398" width="10" style="6"/>
    <col min="6399" max="6399" width="2.5703125" style="6" customWidth="1"/>
    <col min="6400" max="6400" width="7.140625" style="6" customWidth="1"/>
    <col min="6401" max="6401" width="16.85546875" style="6" customWidth="1"/>
    <col min="6402" max="6402" width="9.7109375" style="6" customWidth="1"/>
    <col min="6403" max="6403" width="4.7109375" style="6" customWidth="1"/>
    <col min="6404" max="6404" width="14.42578125" style="6" customWidth="1"/>
    <col min="6405" max="6405" width="11.140625" style="6" customWidth="1"/>
    <col min="6406" max="6406" width="10.28515625" style="6" customWidth="1"/>
    <col min="6407" max="6407" width="13" style="6" customWidth="1"/>
    <col min="6408" max="6408" width="8.28515625" style="6" customWidth="1"/>
    <col min="6409" max="6654" width="10" style="6"/>
    <col min="6655" max="6655" width="2.5703125" style="6" customWidth="1"/>
    <col min="6656" max="6656" width="7.140625" style="6" customWidth="1"/>
    <col min="6657" max="6657" width="16.85546875" style="6" customWidth="1"/>
    <col min="6658" max="6658" width="9.7109375" style="6" customWidth="1"/>
    <col min="6659" max="6659" width="4.7109375" style="6" customWidth="1"/>
    <col min="6660" max="6660" width="14.42578125" style="6" customWidth="1"/>
    <col min="6661" max="6661" width="11.140625" style="6" customWidth="1"/>
    <col min="6662" max="6662" width="10.28515625" style="6" customWidth="1"/>
    <col min="6663" max="6663" width="13" style="6" customWidth="1"/>
    <col min="6664" max="6664" width="8.28515625" style="6" customWidth="1"/>
    <col min="6665" max="6910" width="10" style="6"/>
    <col min="6911" max="6911" width="2.5703125" style="6" customWidth="1"/>
    <col min="6912" max="6912" width="7.140625" style="6" customWidth="1"/>
    <col min="6913" max="6913" width="16.85546875" style="6" customWidth="1"/>
    <col min="6914" max="6914" width="9.7109375" style="6" customWidth="1"/>
    <col min="6915" max="6915" width="4.7109375" style="6" customWidth="1"/>
    <col min="6916" max="6916" width="14.42578125" style="6" customWidth="1"/>
    <col min="6917" max="6917" width="11.140625" style="6" customWidth="1"/>
    <col min="6918" max="6918" width="10.28515625" style="6" customWidth="1"/>
    <col min="6919" max="6919" width="13" style="6" customWidth="1"/>
    <col min="6920" max="6920" width="8.28515625" style="6" customWidth="1"/>
    <col min="6921" max="7166" width="10" style="6"/>
    <col min="7167" max="7167" width="2.5703125" style="6" customWidth="1"/>
    <col min="7168" max="7168" width="7.140625" style="6" customWidth="1"/>
    <col min="7169" max="7169" width="16.85546875" style="6" customWidth="1"/>
    <col min="7170" max="7170" width="9.7109375" style="6" customWidth="1"/>
    <col min="7171" max="7171" width="4.7109375" style="6" customWidth="1"/>
    <col min="7172" max="7172" width="14.42578125" style="6" customWidth="1"/>
    <col min="7173" max="7173" width="11.140625" style="6" customWidth="1"/>
    <col min="7174" max="7174" width="10.28515625" style="6" customWidth="1"/>
    <col min="7175" max="7175" width="13" style="6" customWidth="1"/>
    <col min="7176" max="7176" width="8.28515625" style="6" customWidth="1"/>
    <col min="7177" max="7422" width="10" style="6"/>
    <col min="7423" max="7423" width="2.5703125" style="6" customWidth="1"/>
    <col min="7424" max="7424" width="7.140625" style="6" customWidth="1"/>
    <col min="7425" max="7425" width="16.85546875" style="6" customWidth="1"/>
    <col min="7426" max="7426" width="9.7109375" style="6" customWidth="1"/>
    <col min="7427" max="7427" width="4.7109375" style="6" customWidth="1"/>
    <col min="7428" max="7428" width="14.42578125" style="6" customWidth="1"/>
    <col min="7429" max="7429" width="11.140625" style="6" customWidth="1"/>
    <col min="7430" max="7430" width="10.28515625" style="6" customWidth="1"/>
    <col min="7431" max="7431" width="13" style="6" customWidth="1"/>
    <col min="7432" max="7432" width="8.28515625" style="6" customWidth="1"/>
    <col min="7433" max="7678" width="10" style="6"/>
    <col min="7679" max="7679" width="2.5703125" style="6" customWidth="1"/>
    <col min="7680" max="7680" width="7.140625" style="6" customWidth="1"/>
    <col min="7681" max="7681" width="16.85546875" style="6" customWidth="1"/>
    <col min="7682" max="7682" width="9.7109375" style="6" customWidth="1"/>
    <col min="7683" max="7683" width="4.7109375" style="6" customWidth="1"/>
    <col min="7684" max="7684" width="14.42578125" style="6" customWidth="1"/>
    <col min="7685" max="7685" width="11.140625" style="6" customWidth="1"/>
    <col min="7686" max="7686" width="10.28515625" style="6" customWidth="1"/>
    <col min="7687" max="7687" width="13" style="6" customWidth="1"/>
    <col min="7688" max="7688" width="8.28515625" style="6" customWidth="1"/>
    <col min="7689" max="7934" width="10" style="6"/>
    <col min="7935" max="7935" width="2.5703125" style="6" customWidth="1"/>
    <col min="7936" max="7936" width="7.140625" style="6" customWidth="1"/>
    <col min="7937" max="7937" width="16.85546875" style="6" customWidth="1"/>
    <col min="7938" max="7938" width="9.7109375" style="6" customWidth="1"/>
    <col min="7939" max="7939" width="4.7109375" style="6" customWidth="1"/>
    <col min="7940" max="7940" width="14.42578125" style="6" customWidth="1"/>
    <col min="7941" max="7941" width="11.140625" style="6" customWidth="1"/>
    <col min="7942" max="7942" width="10.28515625" style="6" customWidth="1"/>
    <col min="7943" max="7943" width="13" style="6" customWidth="1"/>
    <col min="7944" max="7944" width="8.28515625" style="6" customWidth="1"/>
    <col min="7945" max="8190" width="10" style="6"/>
    <col min="8191" max="8191" width="2.5703125" style="6" customWidth="1"/>
    <col min="8192" max="8192" width="7.140625" style="6" customWidth="1"/>
    <col min="8193" max="8193" width="16.85546875" style="6" customWidth="1"/>
    <col min="8194" max="8194" width="9.7109375" style="6" customWidth="1"/>
    <col min="8195" max="8195" width="4.7109375" style="6" customWidth="1"/>
    <col min="8196" max="8196" width="14.42578125" style="6" customWidth="1"/>
    <col min="8197" max="8197" width="11.140625" style="6" customWidth="1"/>
    <col min="8198" max="8198" width="10.28515625" style="6" customWidth="1"/>
    <col min="8199" max="8199" width="13" style="6" customWidth="1"/>
    <col min="8200" max="8200" width="8.28515625" style="6" customWidth="1"/>
    <col min="8201" max="8446" width="10" style="6"/>
    <col min="8447" max="8447" width="2.5703125" style="6" customWidth="1"/>
    <col min="8448" max="8448" width="7.140625" style="6" customWidth="1"/>
    <col min="8449" max="8449" width="16.85546875" style="6" customWidth="1"/>
    <col min="8450" max="8450" width="9.7109375" style="6" customWidth="1"/>
    <col min="8451" max="8451" width="4.7109375" style="6" customWidth="1"/>
    <col min="8452" max="8452" width="14.42578125" style="6" customWidth="1"/>
    <col min="8453" max="8453" width="11.140625" style="6" customWidth="1"/>
    <col min="8454" max="8454" width="10.28515625" style="6" customWidth="1"/>
    <col min="8455" max="8455" width="13" style="6" customWidth="1"/>
    <col min="8456" max="8456" width="8.28515625" style="6" customWidth="1"/>
    <col min="8457" max="8702" width="10" style="6"/>
    <col min="8703" max="8703" width="2.5703125" style="6" customWidth="1"/>
    <col min="8704" max="8704" width="7.140625" style="6" customWidth="1"/>
    <col min="8705" max="8705" width="16.85546875" style="6" customWidth="1"/>
    <col min="8706" max="8706" width="9.7109375" style="6" customWidth="1"/>
    <col min="8707" max="8707" width="4.7109375" style="6" customWidth="1"/>
    <col min="8708" max="8708" width="14.42578125" style="6" customWidth="1"/>
    <col min="8709" max="8709" width="11.140625" style="6" customWidth="1"/>
    <col min="8710" max="8710" width="10.28515625" style="6" customWidth="1"/>
    <col min="8711" max="8711" width="13" style="6" customWidth="1"/>
    <col min="8712" max="8712" width="8.28515625" style="6" customWidth="1"/>
    <col min="8713" max="8958" width="10" style="6"/>
    <col min="8959" max="8959" width="2.5703125" style="6" customWidth="1"/>
    <col min="8960" max="8960" width="7.140625" style="6" customWidth="1"/>
    <col min="8961" max="8961" width="16.85546875" style="6" customWidth="1"/>
    <col min="8962" max="8962" width="9.7109375" style="6" customWidth="1"/>
    <col min="8963" max="8963" width="4.7109375" style="6" customWidth="1"/>
    <col min="8964" max="8964" width="14.42578125" style="6" customWidth="1"/>
    <col min="8965" max="8965" width="11.140625" style="6" customWidth="1"/>
    <col min="8966" max="8966" width="10.28515625" style="6" customWidth="1"/>
    <col min="8967" max="8967" width="13" style="6" customWidth="1"/>
    <col min="8968" max="8968" width="8.28515625" style="6" customWidth="1"/>
    <col min="8969" max="9214" width="10" style="6"/>
    <col min="9215" max="9215" width="2.5703125" style="6" customWidth="1"/>
    <col min="9216" max="9216" width="7.140625" style="6" customWidth="1"/>
    <col min="9217" max="9217" width="16.85546875" style="6" customWidth="1"/>
    <col min="9218" max="9218" width="9.7109375" style="6" customWidth="1"/>
    <col min="9219" max="9219" width="4.7109375" style="6" customWidth="1"/>
    <col min="9220" max="9220" width="14.42578125" style="6" customWidth="1"/>
    <col min="9221" max="9221" width="11.140625" style="6" customWidth="1"/>
    <col min="9222" max="9222" width="10.28515625" style="6" customWidth="1"/>
    <col min="9223" max="9223" width="13" style="6" customWidth="1"/>
    <col min="9224" max="9224" width="8.28515625" style="6" customWidth="1"/>
    <col min="9225" max="9470" width="10" style="6"/>
    <col min="9471" max="9471" width="2.5703125" style="6" customWidth="1"/>
    <col min="9472" max="9472" width="7.140625" style="6" customWidth="1"/>
    <col min="9473" max="9473" width="16.85546875" style="6" customWidth="1"/>
    <col min="9474" max="9474" width="9.7109375" style="6" customWidth="1"/>
    <col min="9475" max="9475" width="4.7109375" style="6" customWidth="1"/>
    <col min="9476" max="9476" width="14.42578125" style="6" customWidth="1"/>
    <col min="9477" max="9477" width="11.140625" style="6" customWidth="1"/>
    <col min="9478" max="9478" width="10.28515625" style="6" customWidth="1"/>
    <col min="9479" max="9479" width="13" style="6" customWidth="1"/>
    <col min="9480" max="9480" width="8.28515625" style="6" customWidth="1"/>
    <col min="9481" max="9726" width="10" style="6"/>
    <col min="9727" max="9727" width="2.5703125" style="6" customWidth="1"/>
    <col min="9728" max="9728" width="7.140625" style="6" customWidth="1"/>
    <col min="9729" max="9729" width="16.85546875" style="6" customWidth="1"/>
    <col min="9730" max="9730" width="9.7109375" style="6" customWidth="1"/>
    <col min="9731" max="9731" width="4.7109375" style="6" customWidth="1"/>
    <col min="9732" max="9732" width="14.42578125" style="6" customWidth="1"/>
    <col min="9733" max="9733" width="11.140625" style="6" customWidth="1"/>
    <col min="9734" max="9734" width="10.28515625" style="6" customWidth="1"/>
    <col min="9735" max="9735" width="13" style="6" customWidth="1"/>
    <col min="9736" max="9736" width="8.28515625" style="6" customWidth="1"/>
    <col min="9737" max="9982" width="10" style="6"/>
    <col min="9983" max="9983" width="2.5703125" style="6" customWidth="1"/>
    <col min="9984" max="9984" width="7.140625" style="6" customWidth="1"/>
    <col min="9985" max="9985" width="16.85546875" style="6" customWidth="1"/>
    <col min="9986" max="9986" width="9.7109375" style="6" customWidth="1"/>
    <col min="9987" max="9987" width="4.7109375" style="6" customWidth="1"/>
    <col min="9988" max="9988" width="14.42578125" style="6" customWidth="1"/>
    <col min="9989" max="9989" width="11.140625" style="6" customWidth="1"/>
    <col min="9990" max="9990" width="10.28515625" style="6" customWidth="1"/>
    <col min="9991" max="9991" width="13" style="6" customWidth="1"/>
    <col min="9992" max="9992" width="8.28515625" style="6" customWidth="1"/>
    <col min="9993" max="10238" width="10" style="6"/>
    <col min="10239" max="10239" width="2.5703125" style="6" customWidth="1"/>
    <col min="10240" max="10240" width="7.140625" style="6" customWidth="1"/>
    <col min="10241" max="10241" width="16.85546875" style="6" customWidth="1"/>
    <col min="10242" max="10242" width="9.7109375" style="6" customWidth="1"/>
    <col min="10243" max="10243" width="4.7109375" style="6" customWidth="1"/>
    <col min="10244" max="10244" width="14.42578125" style="6" customWidth="1"/>
    <col min="10245" max="10245" width="11.140625" style="6" customWidth="1"/>
    <col min="10246" max="10246" width="10.28515625" style="6" customWidth="1"/>
    <col min="10247" max="10247" width="13" style="6" customWidth="1"/>
    <col min="10248" max="10248" width="8.28515625" style="6" customWidth="1"/>
    <col min="10249" max="10494" width="10" style="6"/>
    <col min="10495" max="10495" width="2.5703125" style="6" customWidth="1"/>
    <col min="10496" max="10496" width="7.140625" style="6" customWidth="1"/>
    <col min="10497" max="10497" width="16.85546875" style="6" customWidth="1"/>
    <col min="10498" max="10498" width="9.7109375" style="6" customWidth="1"/>
    <col min="10499" max="10499" width="4.7109375" style="6" customWidth="1"/>
    <col min="10500" max="10500" width="14.42578125" style="6" customWidth="1"/>
    <col min="10501" max="10501" width="11.140625" style="6" customWidth="1"/>
    <col min="10502" max="10502" width="10.28515625" style="6" customWidth="1"/>
    <col min="10503" max="10503" width="13" style="6" customWidth="1"/>
    <col min="10504" max="10504" width="8.28515625" style="6" customWidth="1"/>
    <col min="10505" max="10750" width="10" style="6"/>
    <col min="10751" max="10751" width="2.5703125" style="6" customWidth="1"/>
    <col min="10752" max="10752" width="7.140625" style="6" customWidth="1"/>
    <col min="10753" max="10753" width="16.85546875" style="6" customWidth="1"/>
    <col min="10754" max="10754" width="9.7109375" style="6" customWidth="1"/>
    <col min="10755" max="10755" width="4.7109375" style="6" customWidth="1"/>
    <col min="10756" max="10756" width="14.42578125" style="6" customWidth="1"/>
    <col min="10757" max="10757" width="11.140625" style="6" customWidth="1"/>
    <col min="10758" max="10758" width="10.28515625" style="6" customWidth="1"/>
    <col min="10759" max="10759" width="13" style="6" customWidth="1"/>
    <col min="10760" max="10760" width="8.28515625" style="6" customWidth="1"/>
    <col min="10761" max="11006" width="10" style="6"/>
    <col min="11007" max="11007" width="2.5703125" style="6" customWidth="1"/>
    <col min="11008" max="11008" width="7.140625" style="6" customWidth="1"/>
    <col min="11009" max="11009" width="16.85546875" style="6" customWidth="1"/>
    <col min="11010" max="11010" width="9.7109375" style="6" customWidth="1"/>
    <col min="11011" max="11011" width="4.7109375" style="6" customWidth="1"/>
    <col min="11012" max="11012" width="14.42578125" style="6" customWidth="1"/>
    <col min="11013" max="11013" width="11.140625" style="6" customWidth="1"/>
    <col min="11014" max="11014" width="10.28515625" style="6" customWidth="1"/>
    <col min="11015" max="11015" width="13" style="6" customWidth="1"/>
    <col min="11016" max="11016" width="8.28515625" style="6" customWidth="1"/>
    <col min="11017" max="11262" width="10" style="6"/>
    <col min="11263" max="11263" width="2.5703125" style="6" customWidth="1"/>
    <col min="11264" max="11264" width="7.140625" style="6" customWidth="1"/>
    <col min="11265" max="11265" width="16.85546875" style="6" customWidth="1"/>
    <col min="11266" max="11266" width="9.7109375" style="6" customWidth="1"/>
    <col min="11267" max="11267" width="4.7109375" style="6" customWidth="1"/>
    <col min="11268" max="11268" width="14.42578125" style="6" customWidth="1"/>
    <col min="11269" max="11269" width="11.140625" style="6" customWidth="1"/>
    <col min="11270" max="11270" width="10.28515625" style="6" customWidth="1"/>
    <col min="11271" max="11271" width="13" style="6" customWidth="1"/>
    <col min="11272" max="11272" width="8.28515625" style="6" customWidth="1"/>
    <col min="11273" max="11518" width="10" style="6"/>
    <col min="11519" max="11519" width="2.5703125" style="6" customWidth="1"/>
    <col min="11520" max="11520" width="7.140625" style="6" customWidth="1"/>
    <col min="11521" max="11521" width="16.85546875" style="6" customWidth="1"/>
    <col min="11522" max="11522" width="9.7109375" style="6" customWidth="1"/>
    <col min="11523" max="11523" width="4.7109375" style="6" customWidth="1"/>
    <col min="11524" max="11524" width="14.42578125" style="6" customWidth="1"/>
    <col min="11525" max="11525" width="11.140625" style="6" customWidth="1"/>
    <col min="11526" max="11526" width="10.28515625" style="6" customWidth="1"/>
    <col min="11527" max="11527" width="13" style="6" customWidth="1"/>
    <col min="11528" max="11528" width="8.28515625" style="6" customWidth="1"/>
    <col min="11529" max="11774" width="10" style="6"/>
    <col min="11775" max="11775" width="2.5703125" style="6" customWidth="1"/>
    <col min="11776" max="11776" width="7.140625" style="6" customWidth="1"/>
    <col min="11777" max="11777" width="16.85546875" style="6" customWidth="1"/>
    <col min="11778" max="11778" width="9.7109375" style="6" customWidth="1"/>
    <col min="11779" max="11779" width="4.7109375" style="6" customWidth="1"/>
    <col min="11780" max="11780" width="14.42578125" style="6" customWidth="1"/>
    <col min="11781" max="11781" width="11.140625" style="6" customWidth="1"/>
    <col min="11782" max="11782" width="10.28515625" style="6" customWidth="1"/>
    <col min="11783" max="11783" width="13" style="6" customWidth="1"/>
    <col min="11784" max="11784" width="8.28515625" style="6" customWidth="1"/>
    <col min="11785" max="12030" width="10" style="6"/>
    <col min="12031" max="12031" width="2.5703125" style="6" customWidth="1"/>
    <col min="12032" max="12032" width="7.140625" style="6" customWidth="1"/>
    <col min="12033" max="12033" width="16.85546875" style="6" customWidth="1"/>
    <col min="12034" max="12034" width="9.7109375" style="6" customWidth="1"/>
    <col min="12035" max="12035" width="4.7109375" style="6" customWidth="1"/>
    <col min="12036" max="12036" width="14.42578125" style="6" customWidth="1"/>
    <col min="12037" max="12037" width="11.140625" style="6" customWidth="1"/>
    <col min="12038" max="12038" width="10.28515625" style="6" customWidth="1"/>
    <col min="12039" max="12039" width="13" style="6" customWidth="1"/>
    <col min="12040" max="12040" width="8.28515625" style="6" customWidth="1"/>
    <col min="12041" max="12286" width="10" style="6"/>
    <col min="12287" max="12287" width="2.5703125" style="6" customWidth="1"/>
    <col min="12288" max="12288" width="7.140625" style="6" customWidth="1"/>
    <col min="12289" max="12289" width="16.85546875" style="6" customWidth="1"/>
    <col min="12290" max="12290" width="9.7109375" style="6" customWidth="1"/>
    <col min="12291" max="12291" width="4.7109375" style="6" customWidth="1"/>
    <col min="12292" max="12292" width="14.42578125" style="6" customWidth="1"/>
    <col min="12293" max="12293" width="11.140625" style="6" customWidth="1"/>
    <col min="12294" max="12294" width="10.28515625" style="6" customWidth="1"/>
    <col min="12295" max="12295" width="13" style="6" customWidth="1"/>
    <col min="12296" max="12296" width="8.28515625" style="6" customWidth="1"/>
    <col min="12297" max="12542" width="10" style="6"/>
    <col min="12543" max="12543" width="2.5703125" style="6" customWidth="1"/>
    <col min="12544" max="12544" width="7.140625" style="6" customWidth="1"/>
    <col min="12545" max="12545" width="16.85546875" style="6" customWidth="1"/>
    <col min="12546" max="12546" width="9.7109375" style="6" customWidth="1"/>
    <col min="12547" max="12547" width="4.7109375" style="6" customWidth="1"/>
    <col min="12548" max="12548" width="14.42578125" style="6" customWidth="1"/>
    <col min="12549" max="12549" width="11.140625" style="6" customWidth="1"/>
    <col min="12550" max="12550" width="10.28515625" style="6" customWidth="1"/>
    <col min="12551" max="12551" width="13" style="6" customWidth="1"/>
    <col min="12552" max="12552" width="8.28515625" style="6" customWidth="1"/>
    <col min="12553" max="12798" width="10" style="6"/>
    <col min="12799" max="12799" width="2.5703125" style="6" customWidth="1"/>
    <col min="12800" max="12800" width="7.140625" style="6" customWidth="1"/>
    <col min="12801" max="12801" width="16.85546875" style="6" customWidth="1"/>
    <col min="12802" max="12802" width="9.7109375" style="6" customWidth="1"/>
    <col min="12803" max="12803" width="4.7109375" style="6" customWidth="1"/>
    <col min="12804" max="12804" width="14.42578125" style="6" customWidth="1"/>
    <col min="12805" max="12805" width="11.140625" style="6" customWidth="1"/>
    <col min="12806" max="12806" width="10.28515625" style="6" customWidth="1"/>
    <col min="12807" max="12807" width="13" style="6" customWidth="1"/>
    <col min="12808" max="12808" width="8.28515625" style="6" customWidth="1"/>
    <col min="12809" max="13054" width="10" style="6"/>
    <col min="13055" max="13055" width="2.5703125" style="6" customWidth="1"/>
    <col min="13056" max="13056" width="7.140625" style="6" customWidth="1"/>
    <col min="13057" max="13057" width="16.85546875" style="6" customWidth="1"/>
    <col min="13058" max="13058" width="9.7109375" style="6" customWidth="1"/>
    <col min="13059" max="13059" width="4.7109375" style="6" customWidth="1"/>
    <col min="13060" max="13060" width="14.42578125" style="6" customWidth="1"/>
    <col min="13061" max="13061" width="11.140625" style="6" customWidth="1"/>
    <col min="13062" max="13062" width="10.28515625" style="6" customWidth="1"/>
    <col min="13063" max="13063" width="13" style="6" customWidth="1"/>
    <col min="13064" max="13064" width="8.28515625" style="6" customWidth="1"/>
    <col min="13065" max="13310" width="10" style="6"/>
    <col min="13311" max="13311" width="2.5703125" style="6" customWidth="1"/>
    <col min="13312" max="13312" width="7.140625" style="6" customWidth="1"/>
    <col min="13313" max="13313" width="16.85546875" style="6" customWidth="1"/>
    <col min="13314" max="13314" width="9.7109375" style="6" customWidth="1"/>
    <col min="13315" max="13315" width="4.7109375" style="6" customWidth="1"/>
    <col min="13316" max="13316" width="14.42578125" style="6" customWidth="1"/>
    <col min="13317" max="13317" width="11.140625" style="6" customWidth="1"/>
    <col min="13318" max="13318" width="10.28515625" style="6" customWidth="1"/>
    <col min="13319" max="13319" width="13" style="6" customWidth="1"/>
    <col min="13320" max="13320" width="8.28515625" style="6" customWidth="1"/>
    <col min="13321" max="13566" width="10" style="6"/>
    <col min="13567" max="13567" width="2.5703125" style="6" customWidth="1"/>
    <col min="13568" max="13568" width="7.140625" style="6" customWidth="1"/>
    <col min="13569" max="13569" width="16.85546875" style="6" customWidth="1"/>
    <col min="13570" max="13570" width="9.7109375" style="6" customWidth="1"/>
    <col min="13571" max="13571" width="4.7109375" style="6" customWidth="1"/>
    <col min="13572" max="13572" width="14.42578125" style="6" customWidth="1"/>
    <col min="13573" max="13573" width="11.140625" style="6" customWidth="1"/>
    <col min="13574" max="13574" width="10.28515625" style="6" customWidth="1"/>
    <col min="13575" max="13575" width="13" style="6" customWidth="1"/>
    <col min="13576" max="13576" width="8.28515625" style="6" customWidth="1"/>
    <col min="13577" max="13822" width="10" style="6"/>
    <col min="13823" max="13823" width="2.5703125" style="6" customWidth="1"/>
    <col min="13824" max="13824" width="7.140625" style="6" customWidth="1"/>
    <col min="13825" max="13825" width="16.85546875" style="6" customWidth="1"/>
    <col min="13826" max="13826" width="9.7109375" style="6" customWidth="1"/>
    <col min="13827" max="13827" width="4.7109375" style="6" customWidth="1"/>
    <col min="13828" max="13828" width="14.42578125" style="6" customWidth="1"/>
    <col min="13829" max="13829" width="11.140625" style="6" customWidth="1"/>
    <col min="13830" max="13830" width="10.28515625" style="6" customWidth="1"/>
    <col min="13831" max="13831" width="13" style="6" customWidth="1"/>
    <col min="13832" max="13832" width="8.28515625" style="6" customWidth="1"/>
    <col min="13833" max="14078" width="10" style="6"/>
    <col min="14079" max="14079" width="2.5703125" style="6" customWidth="1"/>
    <col min="14080" max="14080" width="7.140625" style="6" customWidth="1"/>
    <col min="14081" max="14081" width="16.85546875" style="6" customWidth="1"/>
    <col min="14082" max="14082" width="9.7109375" style="6" customWidth="1"/>
    <col min="14083" max="14083" width="4.7109375" style="6" customWidth="1"/>
    <col min="14084" max="14084" width="14.42578125" style="6" customWidth="1"/>
    <col min="14085" max="14085" width="11.140625" style="6" customWidth="1"/>
    <col min="14086" max="14086" width="10.28515625" style="6" customWidth="1"/>
    <col min="14087" max="14087" width="13" style="6" customWidth="1"/>
    <col min="14088" max="14088" width="8.28515625" style="6" customWidth="1"/>
    <col min="14089" max="14334" width="10" style="6"/>
    <col min="14335" max="14335" width="2.5703125" style="6" customWidth="1"/>
    <col min="14336" max="14336" width="7.140625" style="6" customWidth="1"/>
    <col min="14337" max="14337" width="16.85546875" style="6" customWidth="1"/>
    <col min="14338" max="14338" width="9.7109375" style="6" customWidth="1"/>
    <col min="14339" max="14339" width="4.7109375" style="6" customWidth="1"/>
    <col min="14340" max="14340" width="14.42578125" style="6" customWidth="1"/>
    <col min="14341" max="14341" width="11.140625" style="6" customWidth="1"/>
    <col min="14342" max="14342" width="10.28515625" style="6" customWidth="1"/>
    <col min="14343" max="14343" width="13" style="6" customWidth="1"/>
    <col min="14344" max="14344" width="8.28515625" style="6" customWidth="1"/>
    <col min="14345" max="14590" width="10" style="6"/>
    <col min="14591" max="14591" width="2.5703125" style="6" customWidth="1"/>
    <col min="14592" max="14592" width="7.140625" style="6" customWidth="1"/>
    <col min="14593" max="14593" width="16.85546875" style="6" customWidth="1"/>
    <col min="14594" max="14594" width="9.7109375" style="6" customWidth="1"/>
    <col min="14595" max="14595" width="4.7109375" style="6" customWidth="1"/>
    <col min="14596" max="14596" width="14.42578125" style="6" customWidth="1"/>
    <col min="14597" max="14597" width="11.140625" style="6" customWidth="1"/>
    <col min="14598" max="14598" width="10.28515625" style="6" customWidth="1"/>
    <col min="14599" max="14599" width="13" style="6" customWidth="1"/>
    <col min="14600" max="14600" width="8.28515625" style="6" customWidth="1"/>
    <col min="14601" max="14846" width="10" style="6"/>
    <col min="14847" max="14847" width="2.5703125" style="6" customWidth="1"/>
    <col min="14848" max="14848" width="7.140625" style="6" customWidth="1"/>
    <col min="14849" max="14849" width="16.85546875" style="6" customWidth="1"/>
    <col min="14850" max="14850" width="9.7109375" style="6" customWidth="1"/>
    <col min="14851" max="14851" width="4.7109375" style="6" customWidth="1"/>
    <col min="14852" max="14852" width="14.42578125" style="6" customWidth="1"/>
    <col min="14853" max="14853" width="11.140625" style="6" customWidth="1"/>
    <col min="14854" max="14854" width="10.28515625" style="6" customWidth="1"/>
    <col min="14855" max="14855" width="13" style="6" customWidth="1"/>
    <col min="14856" max="14856" width="8.28515625" style="6" customWidth="1"/>
    <col min="14857" max="15102" width="10" style="6"/>
    <col min="15103" max="15103" width="2.5703125" style="6" customWidth="1"/>
    <col min="15104" max="15104" width="7.140625" style="6" customWidth="1"/>
    <col min="15105" max="15105" width="16.85546875" style="6" customWidth="1"/>
    <col min="15106" max="15106" width="9.7109375" style="6" customWidth="1"/>
    <col min="15107" max="15107" width="4.7109375" style="6" customWidth="1"/>
    <col min="15108" max="15108" width="14.42578125" style="6" customWidth="1"/>
    <col min="15109" max="15109" width="11.140625" style="6" customWidth="1"/>
    <col min="15110" max="15110" width="10.28515625" style="6" customWidth="1"/>
    <col min="15111" max="15111" width="13" style="6" customWidth="1"/>
    <col min="15112" max="15112" width="8.28515625" style="6" customWidth="1"/>
    <col min="15113" max="15358" width="10" style="6"/>
    <col min="15359" max="15359" width="2.5703125" style="6" customWidth="1"/>
    <col min="15360" max="15360" width="7.140625" style="6" customWidth="1"/>
    <col min="15361" max="15361" width="16.85546875" style="6" customWidth="1"/>
    <col min="15362" max="15362" width="9.7109375" style="6" customWidth="1"/>
    <col min="15363" max="15363" width="4.7109375" style="6" customWidth="1"/>
    <col min="15364" max="15364" width="14.42578125" style="6" customWidth="1"/>
    <col min="15365" max="15365" width="11.140625" style="6" customWidth="1"/>
    <col min="15366" max="15366" width="10.28515625" style="6" customWidth="1"/>
    <col min="15367" max="15367" width="13" style="6" customWidth="1"/>
    <col min="15368" max="15368" width="8.28515625" style="6" customWidth="1"/>
    <col min="15369" max="15614" width="10" style="6"/>
    <col min="15615" max="15615" width="2.5703125" style="6" customWidth="1"/>
    <col min="15616" max="15616" width="7.140625" style="6" customWidth="1"/>
    <col min="15617" max="15617" width="16.85546875" style="6" customWidth="1"/>
    <col min="15618" max="15618" width="9.7109375" style="6" customWidth="1"/>
    <col min="15619" max="15619" width="4.7109375" style="6" customWidth="1"/>
    <col min="15620" max="15620" width="14.42578125" style="6" customWidth="1"/>
    <col min="15621" max="15621" width="11.140625" style="6" customWidth="1"/>
    <col min="15622" max="15622" width="10.28515625" style="6" customWidth="1"/>
    <col min="15623" max="15623" width="13" style="6" customWidth="1"/>
    <col min="15624" max="15624" width="8.28515625" style="6" customWidth="1"/>
    <col min="15625" max="15870" width="10" style="6"/>
    <col min="15871" max="15871" width="2.5703125" style="6" customWidth="1"/>
    <col min="15872" max="15872" width="7.140625" style="6" customWidth="1"/>
    <col min="15873" max="15873" width="16.85546875" style="6" customWidth="1"/>
    <col min="15874" max="15874" width="9.7109375" style="6" customWidth="1"/>
    <col min="15875" max="15875" width="4.7109375" style="6" customWidth="1"/>
    <col min="15876" max="15876" width="14.42578125" style="6" customWidth="1"/>
    <col min="15877" max="15877" width="11.140625" style="6" customWidth="1"/>
    <col min="15878" max="15878" width="10.28515625" style="6" customWidth="1"/>
    <col min="15879" max="15879" width="13" style="6" customWidth="1"/>
    <col min="15880" max="15880" width="8.28515625" style="6" customWidth="1"/>
    <col min="15881" max="16126" width="10" style="6"/>
    <col min="16127" max="16127" width="2.5703125" style="6" customWidth="1"/>
    <col min="16128" max="16128" width="7.140625" style="6" customWidth="1"/>
    <col min="16129" max="16129" width="16.85546875" style="6" customWidth="1"/>
    <col min="16130" max="16130" width="9.7109375" style="6" customWidth="1"/>
    <col min="16131" max="16131" width="4.7109375" style="6" customWidth="1"/>
    <col min="16132" max="16132" width="14.42578125" style="6" customWidth="1"/>
    <col min="16133" max="16133" width="11.140625" style="6" customWidth="1"/>
    <col min="16134" max="16134" width="10.28515625" style="6" customWidth="1"/>
    <col min="16135" max="16135" width="13" style="6" customWidth="1"/>
    <col min="16136" max="16136" width="8.28515625" style="6" customWidth="1"/>
    <col min="16137" max="16384" width="10" style="6"/>
  </cols>
  <sheetData>
    <row r="1" spans="1:8" ht="12" customHeight="1">
      <c r="A1" s="17" t="str">
        <f>RevReqSummary!A1</f>
        <v>PacifiCorp General Rate Case UE-140617</v>
      </c>
      <c r="B1" s="569"/>
      <c r="C1" s="569"/>
      <c r="D1" s="134"/>
      <c r="E1" s="569"/>
      <c r="F1" s="705"/>
      <c r="G1" s="706"/>
      <c r="H1" s="3"/>
    </row>
    <row r="2" spans="1:8" ht="12" customHeight="1">
      <c r="A2" s="17" t="str">
        <f>RevReqSummary!A2</f>
        <v>For The Twelve Months Ended December 2013 - Staff Revenue Requirement</v>
      </c>
      <c r="B2" s="569"/>
      <c r="C2" s="569"/>
      <c r="D2" s="134"/>
      <c r="E2" s="569"/>
      <c r="F2" s="569"/>
      <c r="G2" s="134"/>
      <c r="H2" s="707"/>
    </row>
    <row r="3" spans="1:8" ht="12" customHeight="1">
      <c r="A3" s="573" t="s">
        <v>1091</v>
      </c>
      <c r="B3" s="569"/>
      <c r="C3" s="569"/>
      <c r="D3" s="134"/>
      <c r="E3" s="569"/>
      <c r="F3" s="569"/>
      <c r="G3" s="134"/>
      <c r="H3" s="707"/>
    </row>
    <row r="4" spans="1:8" ht="12" customHeight="1">
      <c r="A4" s="573" t="s">
        <v>507</v>
      </c>
      <c r="B4" s="569"/>
      <c r="C4" s="569"/>
      <c r="D4" s="134"/>
      <c r="E4" s="569"/>
      <c r="F4" s="569"/>
      <c r="G4" s="134"/>
      <c r="H4" s="707"/>
    </row>
    <row r="5" spans="1:8" ht="12" customHeight="1">
      <c r="A5" s="134"/>
      <c r="B5" s="569"/>
      <c r="C5" s="569"/>
      <c r="D5" s="134"/>
      <c r="E5" s="569"/>
      <c r="F5" s="569"/>
      <c r="G5" s="134"/>
      <c r="H5" s="707"/>
    </row>
    <row r="6" spans="1:8" ht="12" customHeight="1">
      <c r="A6" s="708"/>
      <c r="B6" s="23"/>
      <c r="C6" s="23"/>
      <c r="D6" s="23" t="s">
        <v>131</v>
      </c>
      <c r="E6" s="23"/>
      <c r="F6" s="23"/>
      <c r="G6" s="23" t="s">
        <v>236</v>
      </c>
      <c r="H6" s="705"/>
    </row>
    <row r="7" spans="1:8" ht="12" customHeight="1">
      <c r="A7" s="708"/>
      <c r="B7" s="26" t="s">
        <v>132</v>
      </c>
      <c r="C7" s="26" t="s">
        <v>660</v>
      </c>
      <c r="D7" s="26" t="s">
        <v>134</v>
      </c>
      <c r="E7" s="26" t="s">
        <v>135</v>
      </c>
      <c r="F7" s="26" t="s">
        <v>136</v>
      </c>
      <c r="G7" s="26" t="s">
        <v>137</v>
      </c>
      <c r="H7" s="709"/>
    </row>
    <row r="8" spans="1:8" ht="12" customHeight="1">
      <c r="A8" s="101" t="s">
        <v>234</v>
      </c>
      <c r="B8" s="30"/>
      <c r="C8" s="30"/>
      <c r="D8" s="30"/>
      <c r="E8" s="71"/>
      <c r="F8" s="62"/>
      <c r="G8" s="710"/>
      <c r="H8" s="711"/>
    </row>
    <row r="9" spans="1:8" ht="12" customHeight="1">
      <c r="A9" s="69"/>
      <c r="B9" s="76"/>
      <c r="C9" s="61"/>
      <c r="D9" s="655"/>
      <c r="E9" s="627"/>
      <c r="F9" s="712"/>
      <c r="G9" s="685"/>
      <c r="H9" s="61"/>
    </row>
    <row r="10" spans="1:8" ht="12" customHeight="1">
      <c r="A10" s="69" t="s">
        <v>341</v>
      </c>
      <c r="B10" s="76">
        <v>41110</v>
      </c>
      <c r="C10" s="61">
        <v>1</v>
      </c>
      <c r="D10" s="782">
        <v>-493727</v>
      </c>
      <c r="E10" s="70" t="s">
        <v>141</v>
      </c>
      <c r="F10" s="713">
        <f>INDEX(WCAAllocations,IFERROR(MATCH(E10,WCAFactors,0),2),IFERROR(MATCH(E10,WCAStates,0),4))</f>
        <v>1</v>
      </c>
      <c r="G10" s="714">
        <f>+D10</f>
        <v>-493727</v>
      </c>
      <c r="H10" s="61"/>
    </row>
    <row r="11" spans="1:8" ht="12" customHeight="1">
      <c r="A11" s="69"/>
      <c r="B11" s="76"/>
      <c r="C11" s="61"/>
      <c r="D11" s="655"/>
      <c r="E11" s="627"/>
      <c r="F11" s="712"/>
      <c r="G11" s="685"/>
      <c r="H11" s="61"/>
    </row>
    <row r="12" spans="1:8" ht="12" customHeight="1">
      <c r="A12" s="69" t="s">
        <v>368</v>
      </c>
      <c r="B12" s="76">
        <v>283</v>
      </c>
      <c r="C12" s="61">
        <v>1</v>
      </c>
      <c r="D12" s="782">
        <v>246864</v>
      </c>
      <c r="E12" s="70" t="s">
        <v>141</v>
      </c>
      <c r="F12" s="713">
        <f>INDEX(WCAAllocations,IFERROR(MATCH(E12,WCAFactors,0),2),IFERROR(MATCH(E12,WCAStates,0),4))</f>
        <v>1</v>
      </c>
      <c r="G12" s="714">
        <f>+D12</f>
        <v>246864</v>
      </c>
      <c r="H12" s="61"/>
    </row>
    <row r="13" spans="1:8" ht="12" customHeight="1">
      <c r="A13" s="69"/>
      <c r="B13" s="76"/>
      <c r="C13" s="61"/>
      <c r="D13" s="655"/>
      <c r="E13" s="627"/>
      <c r="F13" s="712"/>
      <c r="G13" s="685"/>
      <c r="H13" s="61"/>
    </row>
    <row r="14" spans="1:8" ht="12" customHeight="1">
      <c r="A14" s="69"/>
      <c r="B14" s="76"/>
      <c r="C14" s="61"/>
      <c r="D14" s="655"/>
      <c r="E14" s="627"/>
      <c r="F14" s="712"/>
      <c r="G14" s="685"/>
      <c r="H14" s="61"/>
    </row>
    <row r="15" spans="1:8" ht="12" customHeight="1">
      <c r="A15" s="97" t="s">
        <v>654</v>
      </c>
      <c r="B15" s="61"/>
      <c r="C15" s="61"/>
      <c r="D15" s="655"/>
      <c r="E15" s="627"/>
      <c r="F15" s="712"/>
      <c r="G15" s="685"/>
      <c r="H15" s="77"/>
    </row>
    <row r="16" spans="1:8" ht="12" customHeight="1">
      <c r="A16" s="1399" t="s">
        <v>1072</v>
      </c>
      <c r="B16" s="1399"/>
      <c r="C16" s="1399"/>
      <c r="D16" s="1399"/>
      <c r="E16" s="1399"/>
      <c r="F16" s="1399"/>
      <c r="G16" s="1399"/>
      <c r="H16" s="77"/>
    </row>
    <row r="17" spans="1:8" ht="12" customHeight="1">
      <c r="A17" s="1399"/>
      <c r="B17" s="1399"/>
      <c r="C17" s="1399"/>
      <c r="D17" s="1399"/>
      <c r="E17" s="1399"/>
      <c r="F17" s="1399"/>
      <c r="G17" s="1399"/>
      <c r="H17" s="71"/>
    </row>
    <row r="18" spans="1:8" ht="12" customHeight="1">
      <c r="A18" s="1399"/>
      <c r="B18" s="1399"/>
      <c r="C18" s="1399"/>
      <c r="D18" s="1399"/>
      <c r="E18" s="1399"/>
      <c r="F18" s="1399"/>
      <c r="G18" s="1399"/>
      <c r="H18" s="71"/>
    </row>
    <row r="19" spans="1:8">
      <c r="A19" s="1399"/>
      <c r="B19" s="1399"/>
      <c r="C19" s="1399"/>
      <c r="D19" s="1399"/>
      <c r="E19" s="1399"/>
      <c r="F19" s="1399"/>
      <c r="G19" s="1399"/>
    </row>
    <row r="20" spans="1:8">
      <c r="B20" s="703"/>
      <c r="E20" s="359"/>
    </row>
    <row r="21" spans="1:8">
      <c r="B21" s="703"/>
    </row>
    <row r="22" spans="1:8">
      <c r="B22" s="703"/>
      <c r="H22" s="688"/>
    </row>
    <row r="23" spans="1:8">
      <c r="B23" s="703"/>
    </row>
    <row r="24" spans="1:8">
      <c r="B24" s="703"/>
    </row>
    <row r="25" spans="1:8">
      <c r="B25" s="703"/>
    </row>
    <row r="26" spans="1:8">
      <c r="B26" s="703"/>
    </row>
    <row r="27" spans="1:8">
      <c r="B27" s="703"/>
    </row>
    <row r="28" spans="1:8">
      <c r="B28" s="703"/>
    </row>
    <row r="29" spans="1:8">
      <c r="B29" s="703"/>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351"/>
  <sheetViews>
    <sheetView workbookViewId="0">
      <selection activeCell="F16" sqref="F16"/>
    </sheetView>
  </sheetViews>
  <sheetFormatPr defaultRowHeight="12.75"/>
  <cols>
    <col min="1" max="1" width="24.5703125" style="6" customWidth="1"/>
    <col min="2" max="2" width="9.7109375" style="6" bestFit="1" customWidth="1"/>
    <col min="3" max="3" width="5.42578125" style="6" bestFit="1" customWidth="1"/>
    <col min="4" max="4" width="12.5703125" style="6" bestFit="1" customWidth="1"/>
    <col min="5" max="5" width="8" style="6" bestFit="1" customWidth="1"/>
    <col min="6" max="6" width="10" style="6" bestFit="1" customWidth="1"/>
    <col min="7" max="7" width="13.28515625" style="6" bestFit="1" customWidth="1"/>
    <col min="8" max="253" width="10" style="6"/>
    <col min="254" max="254" width="2.5703125" style="6" customWidth="1"/>
    <col min="255" max="255" width="7.140625" style="6" customWidth="1"/>
    <col min="256" max="256" width="16.85546875" style="6" customWidth="1"/>
    <col min="257" max="257" width="9.7109375" style="6" customWidth="1"/>
    <col min="258" max="258" width="4.7109375" style="6" customWidth="1"/>
    <col min="259" max="259" width="14.42578125" style="6" customWidth="1"/>
    <col min="260" max="260" width="11.140625" style="6" customWidth="1"/>
    <col min="261" max="261" width="10.28515625" style="6" customWidth="1"/>
    <col min="262" max="262" width="13" style="6" customWidth="1"/>
    <col min="263" max="263" width="8.28515625" style="6" customWidth="1"/>
    <col min="264" max="509" width="10" style="6"/>
    <col min="510" max="510" width="2.5703125" style="6" customWidth="1"/>
    <col min="511" max="511" width="7.140625" style="6" customWidth="1"/>
    <col min="512" max="512" width="16.85546875" style="6" customWidth="1"/>
    <col min="513" max="513" width="9.7109375" style="6" customWidth="1"/>
    <col min="514" max="514" width="4.7109375" style="6" customWidth="1"/>
    <col min="515" max="515" width="14.42578125" style="6" customWidth="1"/>
    <col min="516" max="516" width="11.140625" style="6" customWidth="1"/>
    <col min="517" max="517" width="10.28515625" style="6" customWidth="1"/>
    <col min="518" max="518" width="13" style="6" customWidth="1"/>
    <col min="519" max="519" width="8.28515625" style="6" customWidth="1"/>
    <col min="520" max="765" width="10" style="6"/>
    <col min="766" max="766" width="2.5703125" style="6" customWidth="1"/>
    <col min="767" max="767" width="7.140625" style="6" customWidth="1"/>
    <col min="768" max="768" width="16.85546875" style="6" customWidth="1"/>
    <col min="769" max="769" width="9.7109375" style="6" customWidth="1"/>
    <col min="770" max="770" width="4.7109375" style="6" customWidth="1"/>
    <col min="771" max="771" width="14.42578125" style="6" customWidth="1"/>
    <col min="772" max="772" width="11.140625" style="6" customWidth="1"/>
    <col min="773" max="773" width="10.28515625" style="6" customWidth="1"/>
    <col min="774" max="774" width="13" style="6" customWidth="1"/>
    <col min="775" max="775" width="8.28515625" style="6" customWidth="1"/>
    <col min="776" max="1021" width="9.140625" style="6"/>
    <col min="1022" max="1022" width="2.5703125" style="6" customWidth="1"/>
    <col min="1023" max="1023" width="7.140625" style="6" customWidth="1"/>
    <col min="1024" max="1024" width="16.85546875" style="6" customWidth="1"/>
    <col min="1025" max="1025" width="9.7109375" style="6" customWidth="1"/>
    <col min="1026" max="1026" width="4.7109375" style="6" customWidth="1"/>
    <col min="1027" max="1027" width="14.42578125" style="6" customWidth="1"/>
    <col min="1028" max="1028" width="11.140625" style="6" customWidth="1"/>
    <col min="1029" max="1029" width="10.28515625" style="6" customWidth="1"/>
    <col min="1030" max="1030" width="13" style="6" customWidth="1"/>
    <col min="1031" max="1031" width="8.28515625" style="6" customWidth="1"/>
    <col min="1032" max="1277" width="10" style="6"/>
    <col min="1278" max="1278" width="2.5703125" style="6" customWidth="1"/>
    <col min="1279" max="1279" width="7.140625" style="6" customWidth="1"/>
    <col min="1280" max="1280" width="16.85546875" style="6" customWidth="1"/>
    <col min="1281" max="1281" width="9.7109375" style="6" customWidth="1"/>
    <col min="1282" max="1282" width="4.7109375" style="6" customWidth="1"/>
    <col min="1283" max="1283" width="14.42578125" style="6" customWidth="1"/>
    <col min="1284" max="1284" width="11.140625" style="6" customWidth="1"/>
    <col min="1285" max="1285" width="10.28515625" style="6" customWidth="1"/>
    <col min="1286" max="1286" width="13" style="6" customWidth="1"/>
    <col min="1287" max="1287" width="8.28515625" style="6" customWidth="1"/>
    <col min="1288" max="1533" width="10" style="6"/>
    <col min="1534" max="1534" width="2.5703125" style="6" customWidth="1"/>
    <col min="1535" max="1535" width="7.140625" style="6" customWidth="1"/>
    <col min="1536" max="1536" width="16.85546875" style="6" customWidth="1"/>
    <col min="1537" max="1537" width="9.7109375" style="6" customWidth="1"/>
    <col min="1538" max="1538" width="4.7109375" style="6" customWidth="1"/>
    <col min="1539" max="1539" width="14.42578125" style="6" customWidth="1"/>
    <col min="1540" max="1540" width="11.140625" style="6" customWidth="1"/>
    <col min="1541" max="1541" width="10.28515625" style="6" customWidth="1"/>
    <col min="1542" max="1542" width="13" style="6" customWidth="1"/>
    <col min="1543" max="1543" width="8.28515625" style="6" customWidth="1"/>
    <col min="1544" max="1789" width="10" style="6"/>
    <col min="1790" max="1790" width="2.5703125" style="6" customWidth="1"/>
    <col min="1791" max="1791" width="7.140625" style="6" customWidth="1"/>
    <col min="1792" max="1792" width="16.85546875" style="6" customWidth="1"/>
    <col min="1793" max="1793" width="9.7109375" style="6" customWidth="1"/>
    <col min="1794" max="1794" width="4.7109375" style="6" customWidth="1"/>
    <col min="1795" max="1795" width="14.42578125" style="6" customWidth="1"/>
    <col min="1796" max="1796" width="11.140625" style="6" customWidth="1"/>
    <col min="1797" max="1797" width="10.28515625" style="6" customWidth="1"/>
    <col min="1798" max="1798" width="13" style="6" customWidth="1"/>
    <col min="1799" max="1799" width="8.28515625" style="6" customWidth="1"/>
    <col min="1800" max="2045" width="9.140625" style="6"/>
    <col min="2046" max="2046" width="2.5703125" style="6" customWidth="1"/>
    <col min="2047" max="2047" width="7.140625" style="6" customWidth="1"/>
    <col min="2048" max="2048" width="16.85546875" style="6" customWidth="1"/>
    <col min="2049" max="2049" width="9.7109375" style="6" customWidth="1"/>
    <col min="2050" max="2050" width="4.7109375" style="6" customWidth="1"/>
    <col min="2051" max="2051" width="14.42578125" style="6" customWidth="1"/>
    <col min="2052" max="2052" width="11.140625" style="6" customWidth="1"/>
    <col min="2053" max="2053" width="10.28515625" style="6" customWidth="1"/>
    <col min="2054" max="2054" width="13" style="6" customWidth="1"/>
    <col min="2055" max="2055" width="8.28515625" style="6" customWidth="1"/>
    <col min="2056" max="2301" width="10" style="6"/>
    <col min="2302" max="2302" width="2.5703125" style="6" customWidth="1"/>
    <col min="2303" max="2303" width="7.140625" style="6" customWidth="1"/>
    <col min="2304" max="2304" width="16.85546875" style="6" customWidth="1"/>
    <col min="2305" max="2305" width="9.7109375" style="6" customWidth="1"/>
    <col min="2306" max="2306" width="4.7109375" style="6" customWidth="1"/>
    <col min="2307" max="2307" width="14.42578125" style="6" customWidth="1"/>
    <col min="2308" max="2308" width="11.140625" style="6" customWidth="1"/>
    <col min="2309" max="2309" width="10.28515625" style="6" customWidth="1"/>
    <col min="2310" max="2310" width="13" style="6" customWidth="1"/>
    <col min="2311" max="2311" width="8.28515625" style="6" customWidth="1"/>
    <col min="2312" max="2557" width="10" style="6"/>
    <col min="2558" max="2558" width="2.5703125" style="6" customWidth="1"/>
    <col min="2559" max="2559" width="7.140625" style="6" customWidth="1"/>
    <col min="2560" max="2560" width="16.85546875" style="6" customWidth="1"/>
    <col min="2561" max="2561" width="9.7109375" style="6" customWidth="1"/>
    <col min="2562" max="2562" width="4.7109375" style="6" customWidth="1"/>
    <col min="2563" max="2563" width="14.42578125" style="6" customWidth="1"/>
    <col min="2564" max="2564" width="11.140625" style="6" customWidth="1"/>
    <col min="2565" max="2565" width="10.28515625" style="6" customWidth="1"/>
    <col min="2566" max="2566" width="13" style="6" customWidth="1"/>
    <col min="2567" max="2567" width="8.28515625" style="6" customWidth="1"/>
    <col min="2568" max="2813" width="10" style="6"/>
    <col min="2814" max="2814" width="2.5703125" style="6" customWidth="1"/>
    <col min="2815" max="2815" width="7.140625" style="6" customWidth="1"/>
    <col min="2816" max="2816" width="16.85546875" style="6" customWidth="1"/>
    <col min="2817" max="2817" width="9.7109375" style="6" customWidth="1"/>
    <col min="2818" max="2818" width="4.7109375" style="6" customWidth="1"/>
    <col min="2819" max="2819" width="14.42578125" style="6" customWidth="1"/>
    <col min="2820" max="2820" width="11.140625" style="6" customWidth="1"/>
    <col min="2821" max="2821" width="10.28515625" style="6" customWidth="1"/>
    <col min="2822" max="2822" width="13" style="6" customWidth="1"/>
    <col min="2823" max="2823" width="8.28515625" style="6" customWidth="1"/>
    <col min="2824" max="3069" width="9.140625" style="6"/>
    <col min="3070" max="3070" width="2.5703125" style="6" customWidth="1"/>
    <col min="3071" max="3071" width="7.140625" style="6" customWidth="1"/>
    <col min="3072" max="3072" width="16.85546875" style="6" customWidth="1"/>
    <col min="3073" max="3073" width="9.7109375" style="6" customWidth="1"/>
    <col min="3074" max="3074" width="4.7109375" style="6" customWidth="1"/>
    <col min="3075" max="3075" width="14.42578125" style="6" customWidth="1"/>
    <col min="3076" max="3076" width="11.140625" style="6" customWidth="1"/>
    <col min="3077" max="3077" width="10.28515625" style="6" customWidth="1"/>
    <col min="3078" max="3078" width="13" style="6" customWidth="1"/>
    <col min="3079" max="3079" width="8.28515625" style="6" customWidth="1"/>
    <col min="3080" max="3325" width="10" style="6"/>
    <col min="3326" max="3326" width="2.5703125" style="6" customWidth="1"/>
    <col min="3327" max="3327" width="7.140625" style="6" customWidth="1"/>
    <col min="3328" max="3328" width="16.85546875" style="6" customWidth="1"/>
    <col min="3329" max="3329" width="9.7109375" style="6" customWidth="1"/>
    <col min="3330" max="3330" width="4.7109375" style="6" customWidth="1"/>
    <col min="3331" max="3331" width="14.42578125" style="6" customWidth="1"/>
    <col min="3332" max="3332" width="11.140625" style="6" customWidth="1"/>
    <col min="3333" max="3333" width="10.28515625" style="6" customWidth="1"/>
    <col min="3334" max="3334" width="13" style="6" customWidth="1"/>
    <col min="3335" max="3335" width="8.28515625" style="6" customWidth="1"/>
    <col min="3336" max="3581" width="10" style="6"/>
    <col min="3582" max="3582" width="2.5703125" style="6" customWidth="1"/>
    <col min="3583" max="3583" width="7.140625" style="6" customWidth="1"/>
    <col min="3584" max="3584" width="16.85546875" style="6" customWidth="1"/>
    <col min="3585" max="3585" width="9.7109375" style="6" customWidth="1"/>
    <col min="3586" max="3586" width="4.7109375" style="6" customWidth="1"/>
    <col min="3587" max="3587" width="14.42578125" style="6" customWidth="1"/>
    <col min="3588" max="3588" width="11.140625" style="6" customWidth="1"/>
    <col min="3589" max="3589" width="10.28515625" style="6" customWidth="1"/>
    <col min="3590" max="3590" width="13" style="6" customWidth="1"/>
    <col min="3591" max="3591" width="8.28515625" style="6" customWidth="1"/>
    <col min="3592" max="3837" width="10" style="6"/>
    <col min="3838" max="3838" width="2.5703125" style="6" customWidth="1"/>
    <col min="3839" max="3839" width="7.140625" style="6" customWidth="1"/>
    <col min="3840" max="3840" width="16.85546875" style="6" customWidth="1"/>
    <col min="3841" max="3841" width="9.7109375" style="6" customWidth="1"/>
    <col min="3842" max="3842" width="4.7109375" style="6" customWidth="1"/>
    <col min="3843" max="3843" width="14.42578125" style="6" customWidth="1"/>
    <col min="3844" max="3844" width="11.140625" style="6" customWidth="1"/>
    <col min="3845" max="3845" width="10.28515625" style="6" customWidth="1"/>
    <col min="3846" max="3846" width="13" style="6" customWidth="1"/>
    <col min="3847" max="3847" width="8.28515625" style="6" customWidth="1"/>
    <col min="3848" max="4093" width="9.140625" style="6"/>
    <col min="4094" max="4094" width="2.5703125" style="6" customWidth="1"/>
    <col min="4095" max="4095" width="7.140625" style="6" customWidth="1"/>
    <col min="4096" max="4096" width="16.85546875" style="6" customWidth="1"/>
    <col min="4097" max="4097" width="9.7109375" style="6" customWidth="1"/>
    <col min="4098" max="4098" width="4.7109375" style="6" customWidth="1"/>
    <col min="4099" max="4099" width="14.42578125" style="6" customWidth="1"/>
    <col min="4100" max="4100" width="11.140625" style="6" customWidth="1"/>
    <col min="4101" max="4101" width="10.28515625" style="6" customWidth="1"/>
    <col min="4102" max="4102" width="13" style="6" customWidth="1"/>
    <col min="4103" max="4103" width="8.28515625" style="6" customWidth="1"/>
    <col min="4104" max="4349" width="10" style="6"/>
    <col min="4350" max="4350" width="2.5703125" style="6" customWidth="1"/>
    <col min="4351" max="4351" width="7.140625" style="6" customWidth="1"/>
    <col min="4352" max="4352" width="16.85546875" style="6" customWidth="1"/>
    <col min="4353" max="4353" width="9.7109375" style="6" customWidth="1"/>
    <col min="4354" max="4354" width="4.7109375" style="6" customWidth="1"/>
    <col min="4355" max="4355" width="14.42578125" style="6" customWidth="1"/>
    <col min="4356" max="4356" width="11.140625" style="6" customWidth="1"/>
    <col min="4357" max="4357" width="10.28515625" style="6" customWidth="1"/>
    <col min="4358" max="4358" width="13" style="6" customWidth="1"/>
    <col min="4359" max="4359" width="8.28515625" style="6" customWidth="1"/>
    <col min="4360" max="4605" width="10" style="6"/>
    <col min="4606" max="4606" width="2.5703125" style="6" customWidth="1"/>
    <col min="4607" max="4607" width="7.140625" style="6" customWidth="1"/>
    <col min="4608" max="4608" width="16.85546875" style="6" customWidth="1"/>
    <col min="4609" max="4609" width="9.7109375" style="6" customWidth="1"/>
    <col min="4610" max="4610" width="4.7109375" style="6" customWidth="1"/>
    <col min="4611" max="4611" width="14.42578125" style="6" customWidth="1"/>
    <col min="4612" max="4612" width="11.140625" style="6" customWidth="1"/>
    <col min="4613" max="4613" width="10.28515625" style="6" customWidth="1"/>
    <col min="4614" max="4614" width="13" style="6" customWidth="1"/>
    <col min="4615" max="4615" width="8.28515625" style="6" customWidth="1"/>
    <col min="4616" max="4861" width="10" style="6"/>
    <col min="4862" max="4862" width="2.5703125" style="6" customWidth="1"/>
    <col min="4863" max="4863" width="7.140625" style="6" customWidth="1"/>
    <col min="4864" max="4864" width="16.85546875" style="6" customWidth="1"/>
    <col min="4865" max="4865" width="9.7109375" style="6" customWidth="1"/>
    <col min="4866" max="4866" width="4.7109375" style="6" customWidth="1"/>
    <col min="4867" max="4867" width="14.42578125" style="6" customWidth="1"/>
    <col min="4868" max="4868" width="11.140625" style="6" customWidth="1"/>
    <col min="4869" max="4869" width="10.28515625" style="6" customWidth="1"/>
    <col min="4870" max="4870" width="13" style="6" customWidth="1"/>
    <col min="4871" max="4871" width="8.28515625" style="6" customWidth="1"/>
    <col min="4872" max="5117" width="9.140625" style="6"/>
    <col min="5118" max="5118" width="2.5703125" style="6" customWidth="1"/>
    <col min="5119" max="5119" width="7.140625" style="6" customWidth="1"/>
    <col min="5120" max="5120" width="16.85546875" style="6" customWidth="1"/>
    <col min="5121" max="5121" width="9.7109375" style="6" customWidth="1"/>
    <col min="5122" max="5122" width="4.7109375" style="6" customWidth="1"/>
    <col min="5123" max="5123" width="14.42578125" style="6" customWidth="1"/>
    <col min="5124" max="5124" width="11.140625" style="6" customWidth="1"/>
    <col min="5125" max="5125" width="10.28515625" style="6" customWidth="1"/>
    <col min="5126" max="5126" width="13" style="6" customWidth="1"/>
    <col min="5127" max="5127" width="8.28515625" style="6" customWidth="1"/>
    <col min="5128" max="5373" width="10" style="6"/>
    <col min="5374" max="5374" width="2.5703125" style="6" customWidth="1"/>
    <col min="5375" max="5375" width="7.140625" style="6" customWidth="1"/>
    <col min="5376" max="5376" width="16.85546875" style="6" customWidth="1"/>
    <col min="5377" max="5377" width="9.7109375" style="6" customWidth="1"/>
    <col min="5378" max="5378" width="4.7109375" style="6" customWidth="1"/>
    <col min="5379" max="5379" width="14.42578125" style="6" customWidth="1"/>
    <col min="5380" max="5380" width="11.140625" style="6" customWidth="1"/>
    <col min="5381" max="5381" width="10.28515625" style="6" customWidth="1"/>
    <col min="5382" max="5382" width="13" style="6" customWidth="1"/>
    <col min="5383" max="5383" width="8.28515625" style="6" customWidth="1"/>
    <col min="5384" max="5629" width="10" style="6"/>
    <col min="5630" max="5630" width="2.5703125" style="6" customWidth="1"/>
    <col min="5631" max="5631" width="7.140625" style="6" customWidth="1"/>
    <col min="5632" max="5632" width="16.85546875" style="6" customWidth="1"/>
    <col min="5633" max="5633" width="9.7109375" style="6" customWidth="1"/>
    <col min="5634" max="5634" width="4.7109375" style="6" customWidth="1"/>
    <col min="5635" max="5635" width="14.42578125" style="6" customWidth="1"/>
    <col min="5636" max="5636" width="11.140625" style="6" customWidth="1"/>
    <col min="5637" max="5637" width="10.28515625" style="6" customWidth="1"/>
    <col min="5638" max="5638" width="13" style="6" customWidth="1"/>
    <col min="5639" max="5639" width="8.28515625" style="6" customWidth="1"/>
    <col min="5640" max="5885" width="10" style="6"/>
    <col min="5886" max="5886" width="2.5703125" style="6" customWidth="1"/>
    <col min="5887" max="5887" width="7.140625" style="6" customWidth="1"/>
    <col min="5888" max="5888" width="16.85546875" style="6" customWidth="1"/>
    <col min="5889" max="5889" width="9.7109375" style="6" customWidth="1"/>
    <col min="5890" max="5890" width="4.7109375" style="6" customWidth="1"/>
    <col min="5891" max="5891" width="14.42578125" style="6" customWidth="1"/>
    <col min="5892" max="5892" width="11.140625" style="6" customWidth="1"/>
    <col min="5893" max="5893" width="10.28515625" style="6" customWidth="1"/>
    <col min="5894" max="5894" width="13" style="6" customWidth="1"/>
    <col min="5895" max="5895" width="8.28515625" style="6" customWidth="1"/>
    <col min="5896" max="6141" width="9.140625" style="6"/>
    <col min="6142" max="6142" width="2.5703125" style="6" customWidth="1"/>
    <col min="6143" max="6143" width="7.140625" style="6" customWidth="1"/>
    <col min="6144" max="6144" width="16.85546875" style="6" customWidth="1"/>
    <col min="6145" max="6145" width="9.7109375" style="6" customWidth="1"/>
    <col min="6146" max="6146" width="4.7109375" style="6" customWidth="1"/>
    <col min="6147" max="6147" width="14.42578125" style="6" customWidth="1"/>
    <col min="6148" max="6148" width="11.140625" style="6" customWidth="1"/>
    <col min="6149" max="6149" width="10.28515625" style="6" customWidth="1"/>
    <col min="6150" max="6150" width="13" style="6" customWidth="1"/>
    <col min="6151" max="6151" width="8.28515625" style="6" customWidth="1"/>
    <col min="6152" max="6397" width="10" style="6"/>
    <col min="6398" max="6398" width="2.5703125" style="6" customWidth="1"/>
    <col min="6399" max="6399" width="7.140625" style="6" customWidth="1"/>
    <col min="6400" max="6400" width="16.85546875" style="6" customWidth="1"/>
    <col min="6401" max="6401" width="9.7109375" style="6" customWidth="1"/>
    <col min="6402" max="6402" width="4.7109375" style="6" customWidth="1"/>
    <col min="6403" max="6403" width="14.42578125" style="6" customWidth="1"/>
    <col min="6404" max="6404" width="11.140625" style="6" customWidth="1"/>
    <col min="6405" max="6405" width="10.28515625" style="6" customWidth="1"/>
    <col min="6406" max="6406" width="13" style="6" customWidth="1"/>
    <col min="6407" max="6407" width="8.28515625" style="6" customWidth="1"/>
    <col min="6408" max="6653" width="10" style="6"/>
    <col min="6654" max="6654" width="2.5703125" style="6" customWidth="1"/>
    <col min="6655" max="6655" width="7.140625" style="6" customWidth="1"/>
    <col min="6656" max="6656" width="16.85546875" style="6" customWidth="1"/>
    <col min="6657" max="6657" width="9.7109375" style="6" customWidth="1"/>
    <col min="6658" max="6658" width="4.7109375" style="6" customWidth="1"/>
    <col min="6659" max="6659" width="14.42578125" style="6" customWidth="1"/>
    <col min="6660" max="6660" width="11.140625" style="6" customWidth="1"/>
    <col min="6661" max="6661" width="10.28515625" style="6" customWidth="1"/>
    <col min="6662" max="6662" width="13" style="6" customWidth="1"/>
    <col min="6663" max="6663" width="8.28515625" style="6" customWidth="1"/>
    <col min="6664" max="6909" width="10" style="6"/>
    <col min="6910" max="6910" width="2.5703125" style="6" customWidth="1"/>
    <col min="6911" max="6911" width="7.140625" style="6" customWidth="1"/>
    <col min="6912" max="6912" width="16.85546875" style="6" customWidth="1"/>
    <col min="6913" max="6913" width="9.7109375" style="6" customWidth="1"/>
    <col min="6914" max="6914" width="4.7109375" style="6" customWidth="1"/>
    <col min="6915" max="6915" width="14.42578125" style="6" customWidth="1"/>
    <col min="6916" max="6916" width="11.140625" style="6" customWidth="1"/>
    <col min="6917" max="6917" width="10.28515625" style="6" customWidth="1"/>
    <col min="6918" max="6918" width="13" style="6" customWidth="1"/>
    <col min="6919" max="6919" width="8.28515625" style="6" customWidth="1"/>
    <col min="6920" max="7165" width="9.140625" style="6"/>
    <col min="7166" max="7166" width="2.5703125" style="6" customWidth="1"/>
    <col min="7167" max="7167" width="7.140625" style="6" customWidth="1"/>
    <col min="7168" max="7168" width="16.85546875" style="6" customWidth="1"/>
    <col min="7169" max="7169" width="9.7109375" style="6" customWidth="1"/>
    <col min="7170" max="7170" width="4.7109375" style="6" customWidth="1"/>
    <col min="7171" max="7171" width="14.42578125" style="6" customWidth="1"/>
    <col min="7172" max="7172" width="11.140625" style="6" customWidth="1"/>
    <col min="7173" max="7173" width="10.28515625" style="6" customWidth="1"/>
    <col min="7174" max="7174" width="13" style="6" customWidth="1"/>
    <col min="7175" max="7175" width="8.28515625" style="6" customWidth="1"/>
    <col min="7176" max="7421" width="10" style="6"/>
    <col min="7422" max="7422" width="2.5703125" style="6" customWidth="1"/>
    <col min="7423" max="7423" width="7.140625" style="6" customWidth="1"/>
    <col min="7424" max="7424" width="16.85546875" style="6" customWidth="1"/>
    <col min="7425" max="7425" width="9.7109375" style="6" customWidth="1"/>
    <col min="7426" max="7426" width="4.7109375" style="6" customWidth="1"/>
    <col min="7427" max="7427" width="14.42578125" style="6" customWidth="1"/>
    <col min="7428" max="7428" width="11.140625" style="6" customWidth="1"/>
    <col min="7429" max="7429" width="10.28515625" style="6" customWidth="1"/>
    <col min="7430" max="7430" width="13" style="6" customWidth="1"/>
    <col min="7431" max="7431" width="8.28515625" style="6" customWidth="1"/>
    <col min="7432" max="7677" width="10" style="6"/>
    <col min="7678" max="7678" width="2.5703125" style="6" customWidth="1"/>
    <col min="7679" max="7679" width="7.140625" style="6" customWidth="1"/>
    <col min="7680" max="7680" width="16.85546875" style="6" customWidth="1"/>
    <col min="7681" max="7681" width="9.7109375" style="6" customWidth="1"/>
    <col min="7682" max="7682" width="4.7109375" style="6" customWidth="1"/>
    <col min="7683" max="7683" width="14.42578125" style="6" customWidth="1"/>
    <col min="7684" max="7684" width="11.140625" style="6" customWidth="1"/>
    <col min="7685" max="7685" width="10.28515625" style="6" customWidth="1"/>
    <col min="7686" max="7686" width="13" style="6" customWidth="1"/>
    <col min="7687" max="7687" width="8.28515625" style="6" customWidth="1"/>
    <col min="7688" max="7933" width="10" style="6"/>
    <col min="7934" max="7934" width="2.5703125" style="6" customWidth="1"/>
    <col min="7935" max="7935" width="7.140625" style="6" customWidth="1"/>
    <col min="7936" max="7936" width="16.85546875" style="6" customWidth="1"/>
    <col min="7937" max="7937" width="9.7109375" style="6" customWidth="1"/>
    <col min="7938" max="7938" width="4.7109375" style="6" customWidth="1"/>
    <col min="7939" max="7939" width="14.42578125" style="6" customWidth="1"/>
    <col min="7940" max="7940" width="11.140625" style="6" customWidth="1"/>
    <col min="7941" max="7941" width="10.28515625" style="6" customWidth="1"/>
    <col min="7942" max="7942" width="13" style="6" customWidth="1"/>
    <col min="7943" max="7943" width="8.28515625" style="6" customWidth="1"/>
    <col min="7944" max="8189" width="9.140625" style="6"/>
    <col min="8190" max="8190" width="2.5703125" style="6" customWidth="1"/>
    <col min="8191" max="8191" width="7.140625" style="6" customWidth="1"/>
    <col min="8192" max="8192" width="16.85546875" style="6" customWidth="1"/>
    <col min="8193" max="8193" width="9.7109375" style="6" customWidth="1"/>
    <col min="8194" max="8194" width="4.7109375" style="6" customWidth="1"/>
    <col min="8195" max="8195" width="14.42578125" style="6" customWidth="1"/>
    <col min="8196" max="8196" width="11.140625" style="6" customWidth="1"/>
    <col min="8197" max="8197" width="10.28515625" style="6" customWidth="1"/>
    <col min="8198" max="8198" width="13" style="6" customWidth="1"/>
    <col min="8199" max="8199" width="8.28515625" style="6" customWidth="1"/>
    <col min="8200" max="8445" width="10" style="6"/>
    <col min="8446" max="8446" width="2.5703125" style="6" customWidth="1"/>
    <col min="8447" max="8447" width="7.140625" style="6" customWidth="1"/>
    <col min="8448" max="8448" width="16.85546875" style="6" customWidth="1"/>
    <col min="8449" max="8449" width="9.7109375" style="6" customWidth="1"/>
    <col min="8450" max="8450" width="4.7109375" style="6" customWidth="1"/>
    <col min="8451" max="8451" width="14.42578125" style="6" customWidth="1"/>
    <col min="8452" max="8452" width="11.140625" style="6" customWidth="1"/>
    <col min="8453" max="8453" width="10.28515625" style="6" customWidth="1"/>
    <col min="8454" max="8454" width="13" style="6" customWidth="1"/>
    <col min="8455" max="8455" width="8.28515625" style="6" customWidth="1"/>
    <col min="8456" max="8701" width="10" style="6"/>
    <col min="8702" max="8702" width="2.5703125" style="6" customWidth="1"/>
    <col min="8703" max="8703" width="7.140625" style="6" customWidth="1"/>
    <col min="8704" max="8704" width="16.85546875" style="6" customWidth="1"/>
    <col min="8705" max="8705" width="9.7109375" style="6" customWidth="1"/>
    <col min="8706" max="8706" width="4.7109375" style="6" customWidth="1"/>
    <col min="8707" max="8707" width="14.42578125" style="6" customWidth="1"/>
    <col min="8708" max="8708" width="11.140625" style="6" customWidth="1"/>
    <col min="8709" max="8709" width="10.28515625" style="6" customWidth="1"/>
    <col min="8710" max="8710" width="13" style="6" customWidth="1"/>
    <col min="8711" max="8711" width="8.28515625" style="6" customWidth="1"/>
    <col min="8712" max="8957" width="10" style="6"/>
    <col min="8958" max="8958" width="2.5703125" style="6" customWidth="1"/>
    <col min="8959" max="8959" width="7.140625" style="6" customWidth="1"/>
    <col min="8960" max="8960" width="16.85546875" style="6" customWidth="1"/>
    <col min="8961" max="8961" width="9.7109375" style="6" customWidth="1"/>
    <col min="8962" max="8962" width="4.7109375" style="6" customWidth="1"/>
    <col min="8963" max="8963" width="14.42578125" style="6" customWidth="1"/>
    <col min="8964" max="8964" width="11.140625" style="6" customWidth="1"/>
    <col min="8965" max="8965" width="10.28515625" style="6" customWidth="1"/>
    <col min="8966" max="8966" width="13" style="6" customWidth="1"/>
    <col min="8967" max="8967" width="8.28515625" style="6" customWidth="1"/>
    <col min="8968" max="9213" width="9.140625" style="6"/>
    <col min="9214" max="9214" width="2.5703125" style="6" customWidth="1"/>
    <col min="9215" max="9215" width="7.140625" style="6" customWidth="1"/>
    <col min="9216" max="9216" width="16.85546875" style="6" customWidth="1"/>
    <col min="9217" max="9217" width="9.7109375" style="6" customWidth="1"/>
    <col min="9218" max="9218" width="4.7109375" style="6" customWidth="1"/>
    <col min="9219" max="9219" width="14.42578125" style="6" customWidth="1"/>
    <col min="9220" max="9220" width="11.140625" style="6" customWidth="1"/>
    <col min="9221" max="9221" width="10.28515625" style="6" customWidth="1"/>
    <col min="9222" max="9222" width="13" style="6" customWidth="1"/>
    <col min="9223" max="9223" width="8.28515625" style="6" customWidth="1"/>
    <col min="9224" max="9469" width="10" style="6"/>
    <col min="9470" max="9470" width="2.5703125" style="6" customWidth="1"/>
    <col min="9471" max="9471" width="7.140625" style="6" customWidth="1"/>
    <col min="9472" max="9472" width="16.85546875" style="6" customWidth="1"/>
    <col min="9473" max="9473" width="9.7109375" style="6" customWidth="1"/>
    <col min="9474" max="9474" width="4.7109375" style="6" customWidth="1"/>
    <col min="9475" max="9475" width="14.42578125" style="6" customWidth="1"/>
    <col min="9476" max="9476" width="11.140625" style="6" customWidth="1"/>
    <col min="9477" max="9477" width="10.28515625" style="6" customWidth="1"/>
    <col min="9478" max="9478" width="13" style="6" customWidth="1"/>
    <col min="9479" max="9479" width="8.28515625" style="6" customWidth="1"/>
    <col min="9480" max="9725" width="10" style="6"/>
    <col min="9726" max="9726" width="2.5703125" style="6" customWidth="1"/>
    <col min="9727" max="9727" width="7.140625" style="6" customWidth="1"/>
    <col min="9728" max="9728" width="16.85546875" style="6" customWidth="1"/>
    <col min="9729" max="9729" width="9.7109375" style="6" customWidth="1"/>
    <col min="9730" max="9730" width="4.7109375" style="6" customWidth="1"/>
    <col min="9731" max="9731" width="14.42578125" style="6" customWidth="1"/>
    <col min="9732" max="9732" width="11.140625" style="6" customWidth="1"/>
    <col min="9733" max="9733" width="10.28515625" style="6" customWidth="1"/>
    <col min="9734" max="9734" width="13" style="6" customWidth="1"/>
    <col min="9735" max="9735" width="8.28515625" style="6" customWidth="1"/>
    <col min="9736" max="9981" width="10" style="6"/>
    <col min="9982" max="9982" width="2.5703125" style="6" customWidth="1"/>
    <col min="9983" max="9983" width="7.140625" style="6" customWidth="1"/>
    <col min="9984" max="9984" width="16.85546875" style="6" customWidth="1"/>
    <col min="9985" max="9985" width="9.7109375" style="6" customWidth="1"/>
    <col min="9986" max="9986" width="4.7109375" style="6" customWidth="1"/>
    <col min="9987" max="9987" width="14.42578125" style="6" customWidth="1"/>
    <col min="9988" max="9988" width="11.140625" style="6" customWidth="1"/>
    <col min="9989" max="9989" width="10.28515625" style="6" customWidth="1"/>
    <col min="9990" max="9990" width="13" style="6" customWidth="1"/>
    <col min="9991" max="9991" width="8.28515625" style="6" customWidth="1"/>
    <col min="9992" max="10237" width="9.140625" style="6"/>
    <col min="10238" max="10238" width="2.5703125" style="6" customWidth="1"/>
    <col min="10239" max="10239" width="7.140625" style="6" customWidth="1"/>
    <col min="10240" max="10240" width="16.85546875" style="6" customWidth="1"/>
    <col min="10241" max="10241" width="9.7109375" style="6" customWidth="1"/>
    <col min="10242" max="10242" width="4.7109375" style="6" customWidth="1"/>
    <col min="10243" max="10243" width="14.42578125" style="6" customWidth="1"/>
    <col min="10244" max="10244" width="11.140625" style="6" customWidth="1"/>
    <col min="10245" max="10245" width="10.28515625" style="6" customWidth="1"/>
    <col min="10246" max="10246" width="13" style="6" customWidth="1"/>
    <col min="10247" max="10247" width="8.28515625" style="6" customWidth="1"/>
    <col min="10248" max="10493" width="10" style="6"/>
    <col min="10494" max="10494" width="2.5703125" style="6" customWidth="1"/>
    <col min="10495" max="10495" width="7.140625" style="6" customWidth="1"/>
    <col min="10496" max="10496" width="16.85546875" style="6" customWidth="1"/>
    <col min="10497" max="10497" width="9.7109375" style="6" customWidth="1"/>
    <col min="10498" max="10498" width="4.7109375" style="6" customWidth="1"/>
    <col min="10499" max="10499" width="14.42578125" style="6" customWidth="1"/>
    <col min="10500" max="10500" width="11.140625" style="6" customWidth="1"/>
    <col min="10501" max="10501" width="10.28515625" style="6" customWidth="1"/>
    <col min="10502" max="10502" width="13" style="6" customWidth="1"/>
    <col min="10503" max="10503" width="8.28515625" style="6" customWidth="1"/>
    <col min="10504" max="10749" width="10" style="6"/>
    <col min="10750" max="10750" width="2.5703125" style="6" customWidth="1"/>
    <col min="10751" max="10751" width="7.140625" style="6" customWidth="1"/>
    <col min="10752" max="10752" width="16.85546875" style="6" customWidth="1"/>
    <col min="10753" max="10753" width="9.7109375" style="6" customWidth="1"/>
    <col min="10754" max="10754" width="4.7109375" style="6" customWidth="1"/>
    <col min="10755" max="10755" width="14.42578125" style="6" customWidth="1"/>
    <col min="10756" max="10756" width="11.140625" style="6" customWidth="1"/>
    <col min="10757" max="10757" width="10.28515625" style="6" customWidth="1"/>
    <col min="10758" max="10758" width="13" style="6" customWidth="1"/>
    <col min="10759" max="10759" width="8.28515625" style="6" customWidth="1"/>
    <col min="10760" max="11005" width="10" style="6"/>
    <col min="11006" max="11006" width="2.5703125" style="6" customWidth="1"/>
    <col min="11007" max="11007" width="7.140625" style="6" customWidth="1"/>
    <col min="11008" max="11008" width="16.85546875" style="6" customWidth="1"/>
    <col min="11009" max="11009" width="9.7109375" style="6" customWidth="1"/>
    <col min="11010" max="11010" width="4.7109375" style="6" customWidth="1"/>
    <col min="11011" max="11011" width="14.42578125" style="6" customWidth="1"/>
    <col min="11012" max="11012" width="11.140625" style="6" customWidth="1"/>
    <col min="11013" max="11013" width="10.28515625" style="6" customWidth="1"/>
    <col min="11014" max="11014" width="13" style="6" customWidth="1"/>
    <col min="11015" max="11015" width="8.28515625" style="6" customWidth="1"/>
    <col min="11016" max="11261" width="9.140625" style="6"/>
    <col min="11262" max="11262" width="2.5703125" style="6" customWidth="1"/>
    <col min="11263" max="11263" width="7.140625" style="6" customWidth="1"/>
    <col min="11264" max="11264" width="16.85546875" style="6" customWidth="1"/>
    <col min="11265" max="11265" width="9.7109375" style="6" customWidth="1"/>
    <col min="11266" max="11266" width="4.7109375" style="6" customWidth="1"/>
    <col min="11267" max="11267" width="14.42578125" style="6" customWidth="1"/>
    <col min="11268" max="11268" width="11.140625" style="6" customWidth="1"/>
    <col min="11269" max="11269" width="10.28515625" style="6" customWidth="1"/>
    <col min="11270" max="11270" width="13" style="6" customWidth="1"/>
    <col min="11271" max="11271" width="8.28515625" style="6" customWidth="1"/>
    <col min="11272" max="11517" width="10" style="6"/>
    <col min="11518" max="11518" width="2.5703125" style="6" customWidth="1"/>
    <col min="11519" max="11519" width="7.140625" style="6" customWidth="1"/>
    <col min="11520" max="11520" width="16.85546875" style="6" customWidth="1"/>
    <col min="11521" max="11521" width="9.7109375" style="6" customWidth="1"/>
    <col min="11522" max="11522" width="4.7109375" style="6" customWidth="1"/>
    <col min="11523" max="11523" width="14.42578125" style="6" customWidth="1"/>
    <col min="11524" max="11524" width="11.140625" style="6" customWidth="1"/>
    <col min="11525" max="11525" width="10.28515625" style="6" customWidth="1"/>
    <col min="11526" max="11526" width="13" style="6" customWidth="1"/>
    <col min="11527" max="11527" width="8.28515625" style="6" customWidth="1"/>
    <col min="11528" max="11773" width="10" style="6"/>
    <col min="11774" max="11774" width="2.5703125" style="6" customWidth="1"/>
    <col min="11775" max="11775" width="7.140625" style="6" customWidth="1"/>
    <col min="11776" max="11776" width="16.85546875" style="6" customWidth="1"/>
    <col min="11777" max="11777" width="9.7109375" style="6" customWidth="1"/>
    <col min="11778" max="11778" width="4.7109375" style="6" customWidth="1"/>
    <col min="11779" max="11779" width="14.42578125" style="6" customWidth="1"/>
    <col min="11780" max="11780" width="11.140625" style="6" customWidth="1"/>
    <col min="11781" max="11781" width="10.28515625" style="6" customWidth="1"/>
    <col min="11782" max="11782" width="13" style="6" customWidth="1"/>
    <col min="11783" max="11783" width="8.28515625" style="6" customWidth="1"/>
    <col min="11784" max="12029" width="10" style="6"/>
    <col min="12030" max="12030" width="2.5703125" style="6" customWidth="1"/>
    <col min="12031" max="12031" width="7.140625" style="6" customWidth="1"/>
    <col min="12032" max="12032" width="16.85546875" style="6" customWidth="1"/>
    <col min="12033" max="12033" width="9.7109375" style="6" customWidth="1"/>
    <col min="12034" max="12034" width="4.7109375" style="6" customWidth="1"/>
    <col min="12035" max="12035" width="14.42578125" style="6" customWidth="1"/>
    <col min="12036" max="12036" width="11.140625" style="6" customWidth="1"/>
    <col min="12037" max="12037" width="10.28515625" style="6" customWidth="1"/>
    <col min="12038" max="12038" width="13" style="6" customWidth="1"/>
    <col min="12039" max="12039" width="8.28515625" style="6" customWidth="1"/>
    <col min="12040" max="12285" width="9.140625" style="6"/>
    <col min="12286" max="12286" width="2.5703125" style="6" customWidth="1"/>
    <col min="12287" max="12287" width="7.140625" style="6" customWidth="1"/>
    <col min="12288" max="12288" width="16.85546875" style="6" customWidth="1"/>
    <col min="12289" max="12289" width="9.7109375" style="6" customWidth="1"/>
    <col min="12290" max="12290" width="4.7109375" style="6" customWidth="1"/>
    <col min="12291" max="12291" width="14.42578125" style="6" customWidth="1"/>
    <col min="12292" max="12292" width="11.140625" style="6" customWidth="1"/>
    <col min="12293" max="12293" width="10.28515625" style="6" customWidth="1"/>
    <col min="12294" max="12294" width="13" style="6" customWidth="1"/>
    <col min="12295" max="12295" width="8.28515625" style="6" customWidth="1"/>
    <col min="12296" max="12541" width="10" style="6"/>
    <col min="12542" max="12542" width="2.5703125" style="6" customWidth="1"/>
    <col min="12543" max="12543" width="7.140625" style="6" customWidth="1"/>
    <col min="12544" max="12544" width="16.85546875" style="6" customWidth="1"/>
    <col min="12545" max="12545" width="9.7109375" style="6" customWidth="1"/>
    <col min="12546" max="12546" width="4.7109375" style="6" customWidth="1"/>
    <col min="12547" max="12547" width="14.42578125" style="6" customWidth="1"/>
    <col min="12548" max="12548" width="11.140625" style="6" customWidth="1"/>
    <col min="12549" max="12549" width="10.28515625" style="6" customWidth="1"/>
    <col min="12550" max="12550" width="13" style="6" customWidth="1"/>
    <col min="12551" max="12551" width="8.28515625" style="6" customWidth="1"/>
    <col min="12552" max="12797" width="10" style="6"/>
    <col min="12798" max="12798" width="2.5703125" style="6" customWidth="1"/>
    <col min="12799" max="12799" width="7.140625" style="6" customWidth="1"/>
    <col min="12800" max="12800" width="16.85546875" style="6" customWidth="1"/>
    <col min="12801" max="12801" width="9.7109375" style="6" customWidth="1"/>
    <col min="12802" max="12802" width="4.7109375" style="6" customWidth="1"/>
    <col min="12803" max="12803" width="14.42578125" style="6" customWidth="1"/>
    <col min="12804" max="12804" width="11.140625" style="6" customWidth="1"/>
    <col min="12805" max="12805" width="10.28515625" style="6" customWidth="1"/>
    <col min="12806" max="12806" width="13" style="6" customWidth="1"/>
    <col min="12807" max="12807" width="8.28515625" style="6" customWidth="1"/>
    <col min="12808" max="13053" width="10" style="6"/>
    <col min="13054" max="13054" width="2.5703125" style="6" customWidth="1"/>
    <col min="13055" max="13055" width="7.140625" style="6" customWidth="1"/>
    <col min="13056" max="13056" width="16.85546875" style="6" customWidth="1"/>
    <col min="13057" max="13057" width="9.7109375" style="6" customWidth="1"/>
    <col min="13058" max="13058" width="4.7109375" style="6" customWidth="1"/>
    <col min="13059" max="13059" width="14.42578125" style="6" customWidth="1"/>
    <col min="13060" max="13060" width="11.140625" style="6" customWidth="1"/>
    <col min="13061" max="13061" width="10.28515625" style="6" customWidth="1"/>
    <col min="13062" max="13062" width="13" style="6" customWidth="1"/>
    <col min="13063" max="13063" width="8.28515625" style="6" customWidth="1"/>
    <col min="13064" max="13309" width="9.140625" style="6"/>
    <col min="13310" max="13310" width="2.5703125" style="6" customWidth="1"/>
    <col min="13311" max="13311" width="7.140625" style="6" customWidth="1"/>
    <col min="13312" max="13312" width="16.85546875" style="6" customWidth="1"/>
    <col min="13313" max="13313" width="9.7109375" style="6" customWidth="1"/>
    <col min="13314" max="13314" width="4.7109375" style="6" customWidth="1"/>
    <col min="13315" max="13315" width="14.42578125" style="6" customWidth="1"/>
    <col min="13316" max="13316" width="11.140625" style="6" customWidth="1"/>
    <col min="13317" max="13317" width="10.28515625" style="6" customWidth="1"/>
    <col min="13318" max="13318" width="13" style="6" customWidth="1"/>
    <col min="13319" max="13319" width="8.28515625" style="6" customWidth="1"/>
    <col min="13320" max="13565" width="10" style="6"/>
    <col min="13566" max="13566" width="2.5703125" style="6" customWidth="1"/>
    <col min="13567" max="13567" width="7.140625" style="6" customWidth="1"/>
    <col min="13568" max="13568" width="16.85546875" style="6" customWidth="1"/>
    <col min="13569" max="13569" width="9.7109375" style="6" customWidth="1"/>
    <col min="13570" max="13570" width="4.7109375" style="6" customWidth="1"/>
    <col min="13571" max="13571" width="14.42578125" style="6" customWidth="1"/>
    <col min="13572" max="13572" width="11.140625" style="6" customWidth="1"/>
    <col min="13573" max="13573" width="10.28515625" style="6" customWidth="1"/>
    <col min="13574" max="13574" width="13" style="6" customWidth="1"/>
    <col min="13575" max="13575" width="8.28515625" style="6" customWidth="1"/>
    <col min="13576" max="13821" width="10" style="6"/>
    <col min="13822" max="13822" width="2.5703125" style="6" customWidth="1"/>
    <col min="13823" max="13823" width="7.140625" style="6" customWidth="1"/>
    <col min="13824" max="13824" width="16.85546875" style="6" customWidth="1"/>
    <col min="13825" max="13825" width="9.7109375" style="6" customWidth="1"/>
    <col min="13826" max="13826" width="4.7109375" style="6" customWidth="1"/>
    <col min="13827" max="13827" width="14.42578125" style="6" customWidth="1"/>
    <col min="13828" max="13828" width="11.140625" style="6" customWidth="1"/>
    <col min="13829" max="13829" width="10.28515625" style="6" customWidth="1"/>
    <col min="13830" max="13830" width="13" style="6" customWidth="1"/>
    <col min="13831" max="13831" width="8.28515625" style="6" customWidth="1"/>
    <col min="13832" max="14077" width="10" style="6"/>
    <col min="14078" max="14078" width="2.5703125" style="6" customWidth="1"/>
    <col min="14079" max="14079" width="7.140625" style="6" customWidth="1"/>
    <col min="14080" max="14080" width="16.85546875" style="6" customWidth="1"/>
    <col min="14081" max="14081" width="9.7109375" style="6" customWidth="1"/>
    <col min="14082" max="14082" width="4.7109375" style="6" customWidth="1"/>
    <col min="14083" max="14083" width="14.42578125" style="6" customWidth="1"/>
    <col min="14084" max="14084" width="11.140625" style="6" customWidth="1"/>
    <col min="14085" max="14085" width="10.28515625" style="6" customWidth="1"/>
    <col min="14086" max="14086" width="13" style="6" customWidth="1"/>
    <col min="14087" max="14087" width="8.28515625" style="6" customWidth="1"/>
    <col min="14088" max="14333" width="9.140625" style="6"/>
    <col min="14334" max="14334" width="2.5703125" style="6" customWidth="1"/>
    <col min="14335" max="14335" width="7.140625" style="6" customWidth="1"/>
    <col min="14336" max="14336" width="16.85546875" style="6" customWidth="1"/>
    <col min="14337" max="14337" width="9.7109375" style="6" customWidth="1"/>
    <col min="14338" max="14338" width="4.7109375" style="6" customWidth="1"/>
    <col min="14339" max="14339" width="14.42578125" style="6" customWidth="1"/>
    <col min="14340" max="14340" width="11.140625" style="6" customWidth="1"/>
    <col min="14341" max="14341" width="10.28515625" style="6" customWidth="1"/>
    <col min="14342" max="14342" width="13" style="6" customWidth="1"/>
    <col min="14343" max="14343" width="8.28515625" style="6" customWidth="1"/>
    <col min="14344" max="14589" width="10" style="6"/>
    <col min="14590" max="14590" width="2.5703125" style="6" customWidth="1"/>
    <col min="14591" max="14591" width="7.140625" style="6" customWidth="1"/>
    <col min="14592" max="14592" width="16.85546875" style="6" customWidth="1"/>
    <col min="14593" max="14593" width="9.7109375" style="6" customWidth="1"/>
    <col min="14594" max="14594" width="4.7109375" style="6" customWidth="1"/>
    <col min="14595" max="14595" width="14.42578125" style="6" customWidth="1"/>
    <col min="14596" max="14596" width="11.140625" style="6" customWidth="1"/>
    <col min="14597" max="14597" width="10.28515625" style="6" customWidth="1"/>
    <col min="14598" max="14598" width="13" style="6" customWidth="1"/>
    <col min="14599" max="14599" width="8.28515625" style="6" customWidth="1"/>
    <col min="14600" max="14845" width="10" style="6"/>
    <col min="14846" max="14846" width="2.5703125" style="6" customWidth="1"/>
    <col min="14847" max="14847" width="7.140625" style="6" customWidth="1"/>
    <col min="14848" max="14848" width="16.85546875" style="6" customWidth="1"/>
    <col min="14849" max="14849" width="9.7109375" style="6" customWidth="1"/>
    <col min="14850" max="14850" width="4.7109375" style="6" customWidth="1"/>
    <col min="14851" max="14851" width="14.42578125" style="6" customWidth="1"/>
    <col min="14852" max="14852" width="11.140625" style="6" customWidth="1"/>
    <col min="14853" max="14853" width="10.28515625" style="6" customWidth="1"/>
    <col min="14854" max="14854" width="13" style="6" customWidth="1"/>
    <col min="14855" max="14855" width="8.28515625" style="6" customWidth="1"/>
    <col min="14856" max="15101" width="10" style="6"/>
    <col min="15102" max="15102" width="2.5703125" style="6" customWidth="1"/>
    <col min="15103" max="15103" width="7.140625" style="6" customWidth="1"/>
    <col min="15104" max="15104" width="16.85546875" style="6" customWidth="1"/>
    <col min="15105" max="15105" width="9.7109375" style="6" customWidth="1"/>
    <col min="15106" max="15106" width="4.7109375" style="6" customWidth="1"/>
    <col min="15107" max="15107" width="14.42578125" style="6" customWidth="1"/>
    <col min="15108" max="15108" width="11.140625" style="6" customWidth="1"/>
    <col min="15109" max="15109" width="10.28515625" style="6" customWidth="1"/>
    <col min="15110" max="15110" width="13" style="6" customWidth="1"/>
    <col min="15111" max="15111" width="8.28515625" style="6" customWidth="1"/>
    <col min="15112" max="15357" width="9.140625" style="6"/>
    <col min="15358" max="15358" width="2.5703125" style="6" customWidth="1"/>
    <col min="15359" max="15359" width="7.140625" style="6" customWidth="1"/>
    <col min="15360" max="15360" width="16.85546875" style="6" customWidth="1"/>
    <col min="15361" max="15361" width="9.7109375" style="6" customWidth="1"/>
    <col min="15362" max="15362" width="4.7109375" style="6" customWidth="1"/>
    <col min="15363" max="15363" width="14.42578125" style="6" customWidth="1"/>
    <col min="15364" max="15364" width="11.140625" style="6" customWidth="1"/>
    <col min="15365" max="15365" width="10.28515625" style="6" customWidth="1"/>
    <col min="15366" max="15366" width="13" style="6" customWidth="1"/>
    <col min="15367" max="15367" width="8.28515625" style="6" customWidth="1"/>
    <col min="15368" max="15613" width="10" style="6"/>
    <col min="15614" max="15614" width="2.5703125" style="6" customWidth="1"/>
    <col min="15615" max="15615" width="7.140625" style="6" customWidth="1"/>
    <col min="15616" max="15616" width="16.85546875" style="6" customWidth="1"/>
    <col min="15617" max="15617" width="9.7109375" style="6" customWidth="1"/>
    <col min="15618" max="15618" width="4.7109375" style="6" customWidth="1"/>
    <col min="15619" max="15619" width="14.42578125" style="6" customWidth="1"/>
    <col min="15620" max="15620" width="11.140625" style="6" customWidth="1"/>
    <col min="15621" max="15621" width="10.28515625" style="6" customWidth="1"/>
    <col min="15622" max="15622" width="13" style="6" customWidth="1"/>
    <col min="15623" max="15623" width="8.28515625" style="6" customWidth="1"/>
    <col min="15624" max="15869" width="10" style="6"/>
    <col min="15870" max="15870" width="2.5703125" style="6" customWidth="1"/>
    <col min="15871" max="15871" width="7.140625" style="6" customWidth="1"/>
    <col min="15872" max="15872" width="16.85546875" style="6" customWidth="1"/>
    <col min="15873" max="15873" width="9.7109375" style="6" customWidth="1"/>
    <col min="15874" max="15874" width="4.7109375" style="6" customWidth="1"/>
    <col min="15875" max="15875" width="14.42578125" style="6" customWidth="1"/>
    <col min="15876" max="15876" width="11.140625" style="6" customWidth="1"/>
    <col min="15877" max="15877" width="10.28515625" style="6" customWidth="1"/>
    <col min="15878" max="15878" width="13" style="6" customWidth="1"/>
    <col min="15879" max="15879" width="8.28515625" style="6" customWidth="1"/>
    <col min="15880" max="16125" width="10" style="6"/>
    <col min="16126" max="16126" width="2.5703125" style="6" customWidth="1"/>
    <col min="16127" max="16127" width="7.140625" style="6" customWidth="1"/>
    <col min="16128" max="16128" width="16.85546875" style="6" customWidth="1"/>
    <col min="16129" max="16129" width="9.7109375" style="6" customWidth="1"/>
    <col min="16130" max="16130" width="4.7109375" style="6" customWidth="1"/>
    <col min="16131" max="16131" width="14.42578125" style="6" customWidth="1"/>
    <col min="16132" max="16132" width="11.140625" style="6" customWidth="1"/>
    <col min="16133" max="16133" width="10.28515625" style="6" customWidth="1"/>
    <col min="16134" max="16134" width="13" style="6" customWidth="1"/>
    <col min="16135" max="16135" width="8.28515625" style="6" customWidth="1"/>
    <col min="16136" max="16381" width="9.140625" style="6"/>
    <col min="16382" max="16384" width="9.140625" style="6" customWidth="1"/>
  </cols>
  <sheetData>
    <row r="1" spans="1:7">
      <c r="A1" s="17" t="str">
        <f>RevReqSummary!A1</f>
        <v>PacifiCorp General Rate Case UE-140617</v>
      </c>
      <c r="B1" s="61"/>
      <c r="C1" s="61"/>
      <c r="D1" s="61"/>
      <c r="E1" s="61"/>
      <c r="F1" s="61"/>
      <c r="G1" s="61"/>
    </row>
    <row r="2" spans="1:7">
      <c r="A2" s="17" t="str">
        <f>RevReqSummary!A2</f>
        <v>For The Twelve Months Ended December 2013 - Staff Revenue Requirement</v>
      </c>
      <c r="B2" s="61"/>
      <c r="C2" s="61"/>
      <c r="D2" s="61"/>
      <c r="E2" s="61"/>
      <c r="F2" s="61"/>
      <c r="G2" s="61"/>
    </row>
    <row r="3" spans="1:7">
      <c r="A3" s="689" t="s">
        <v>1090</v>
      </c>
      <c r="B3" s="61"/>
      <c r="C3" s="61"/>
      <c r="D3" s="61"/>
      <c r="E3" s="61"/>
      <c r="F3" s="61"/>
      <c r="G3" s="61"/>
    </row>
    <row r="4" spans="1:7">
      <c r="A4" s="689" t="s">
        <v>508</v>
      </c>
      <c r="B4" s="61"/>
      <c r="C4" s="61"/>
      <c r="D4" s="61"/>
      <c r="E4" s="61"/>
      <c r="F4" s="61"/>
      <c r="G4" s="61"/>
    </row>
    <row r="5" spans="1:7">
      <c r="B5" s="61"/>
      <c r="C5" s="61"/>
      <c r="D5" s="61"/>
      <c r="E5" s="61"/>
      <c r="F5" s="61"/>
      <c r="G5" s="61"/>
    </row>
    <row r="6" spans="1:7">
      <c r="B6" s="23"/>
      <c r="C6" s="23"/>
      <c r="D6" s="23" t="s">
        <v>131</v>
      </c>
      <c r="E6" s="23"/>
      <c r="F6" s="23"/>
      <c r="G6" s="23" t="s">
        <v>236</v>
      </c>
    </row>
    <row r="7" spans="1:7">
      <c r="B7" s="26" t="s">
        <v>132</v>
      </c>
      <c r="C7" s="26" t="s">
        <v>660</v>
      </c>
      <c r="D7" s="26" t="s">
        <v>134</v>
      </c>
      <c r="E7" s="26" t="s">
        <v>135</v>
      </c>
      <c r="F7" s="26" t="s">
        <v>136</v>
      </c>
      <c r="G7" s="26" t="s">
        <v>137</v>
      </c>
    </row>
    <row r="8" spans="1:7">
      <c r="A8" s="396" t="s">
        <v>215</v>
      </c>
      <c r="B8" s="61"/>
      <c r="C8" s="61"/>
      <c r="D8" s="61"/>
      <c r="E8" s="61"/>
      <c r="F8" s="61"/>
      <c r="G8" s="261"/>
    </row>
    <row r="9" spans="1:7">
      <c r="B9" s="61"/>
      <c r="C9" s="77"/>
      <c r="D9" s="262"/>
      <c r="E9" s="61"/>
      <c r="F9" s="460"/>
      <c r="G9" s="242"/>
    </row>
    <row r="10" spans="1:7">
      <c r="A10" s="650" t="s">
        <v>582</v>
      </c>
      <c r="B10" s="61">
        <v>408</v>
      </c>
      <c r="C10" s="61">
        <v>3</v>
      </c>
      <c r="D10" s="243">
        <v>-807244.49001859501</v>
      </c>
      <c r="E10" s="61" t="s">
        <v>141</v>
      </c>
      <c r="F10" s="691">
        <f>INDEX(WCAAllocations,IFERROR(MATCH(E10,WCAFactors,0),2),IFERROR(MATCH(E10,WCAStates,0),4))</f>
        <v>1</v>
      </c>
      <c r="G10" s="242">
        <f>+D10</f>
        <v>-807244.49001859501</v>
      </c>
    </row>
    <row r="11" spans="1:7">
      <c r="A11" s="650"/>
      <c r="B11" s="61"/>
      <c r="C11" s="61"/>
      <c r="D11" s="242"/>
      <c r="E11" s="61"/>
      <c r="F11" s="460"/>
      <c r="G11" s="242"/>
    </row>
    <row r="12" spans="1:7">
      <c r="A12" s="650"/>
      <c r="B12" s="61"/>
      <c r="C12" s="61"/>
      <c r="D12" s="261"/>
      <c r="E12" s="692"/>
      <c r="F12" s="693"/>
      <c r="G12" s="261"/>
    </row>
    <row r="13" spans="1:7">
      <c r="A13" s="396" t="s">
        <v>217</v>
      </c>
      <c r="B13" s="61"/>
      <c r="C13" s="61"/>
      <c r="D13" s="262"/>
      <c r="E13" s="61"/>
      <c r="F13" s="694"/>
      <c r="G13" s="262"/>
    </row>
    <row r="14" spans="1:7">
      <c r="A14" s="650" t="s">
        <v>409</v>
      </c>
      <c r="B14" s="61"/>
      <c r="C14" s="61"/>
      <c r="E14" s="61"/>
      <c r="F14" s="694"/>
      <c r="G14" s="265">
        <v>13264318.040000001</v>
      </c>
    </row>
    <row r="15" spans="1:7">
      <c r="A15" s="6" t="s">
        <v>410</v>
      </c>
      <c r="D15" s="695">
        <v>321605657.8195231</v>
      </c>
    </row>
    <row r="16" spans="1:7">
      <c r="A16" s="6" t="s">
        <v>364</v>
      </c>
      <c r="D16" s="696">
        <v>3.8733999999999998E-2</v>
      </c>
    </row>
    <row r="17" spans="1:8" ht="13.5" thickBot="1">
      <c r="A17" s="6" t="s">
        <v>365</v>
      </c>
      <c r="D17" s="697">
        <f>ROUND(D15*D16,0)</f>
        <v>12457074</v>
      </c>
      <c r="G17" s="644">
        <f>D17</f>
        <v>12457074</v>
      </c>
    </row>
    <row r="18" spans="1:8" ht="13.5" thickTop="1"/>
    <row r="19" spans="1:8" ht="13.5" thickBot="1">
      <c r="A19" s="6" t="s">
        <v>411</v>
      </c>
      <c r="G19" s="697">
        <f>G17-G14</f>
        <v>-807244.04000000097</v>
      </c>
    </row>
    <row r="20" spans="1:8" ht="13.5" thickTop="1"/>
    <row r="21" spans="1:8">
      <c r="A21" s="698"/>
      <c r="B21" s="699"/>
      <c r="C21" s="699"/>
      <c r="D21" s="700"/>
      <c r="E21" s="699"/>
      <c r="F21" s="701"/>
      <c r="G21" s="702"/>
    </row>
    <row r="22" spans="1:8">
      <c r="B22" s="703"/>
    </row>
    <row r="23" spans="1:8">
      <c r="A23" s="704" t="s">
        <v>654</v>
      </c>
      <c r="B23" s="61"/>
      <c r="C23" s="61"/>
      <c r="D23" s="261"/>
      <c r="E23" s="61"/>
      <c r="F23" s="694"/>
      <c r="G23" s="261"/>
    </row>
    <row r="24" spans="1:8">
      <c r="A24" s="1412" t="s">
        <v>748</v>
      </c>
      <c r="B24" s="1412"/>
      <c r="C24" s="1412"/>
      <c r="D24" s="1412"/>
      <c r="E24" s="1412"/>
      <c r="F24" s="1412"/>
      <c r="G24" s="1412"/>
    </row>
    <row r="25" spans="1:8" ht="13.15" customHeight="1">
      <c r="A25" s="1412"/>
      <c r="B25" s="1412"/>
      <c r="C25" s="1412"/>
      <c r="D25" s="1412"/>
      <c r="E25" s="1412"/>
      <c r="F25" s="1412"/>
      <c r="G25" s="1412"/>
      <c r="H25" s="1316"/>
    </row>
    <row r="26" spans="1:8">
      <c r="A26" s="1412"/>
      <c r="B26" s="1412"/>
      <c r="C26" s="1412"/>
      <c r="D26" s="1412"/>
      <c r="E26" s="1412"/>
      <c r="F26" s="1412"/>
      <c r="G26" s="1412"/>
      <c r="H26" s="1316"/>
    </row>
    <row r="27" spans="1:8">
      <c r="A27" s="1316"/>
      <c r="B27" s="1316"/>
      <c r="C27" s="1316"/>
      <c r="D27" s="1316"/>
      <c r="E27" s="1316"/>
      <c r="F27" s="1316"/>
      <c r="G27" s="1316"/>
      <c r="H27" s="1316"/>
    </row>
    <row r="28" spans="1:8">
      <c r="A28" s="1316"/>
      <c r="B28" s="1316"/>
      <c r="C28" s="1316"/>
      <c r="D28" s="1316"/>
      <c r="E28" s="1316"/>
      <c r="F28" s="1316"/>
      <c r="G28" s="1316"/>
      <c r="H28" s="1316"/>
    </row>
    <row r="29" spans="1:8">
      <c r="A29" s="1316"/>
      <c r="B29" s="1316"/>
      <c r="C29" s="1316"/>
      <c r="D29" s="1316"/>
      <c r="E29" s="1330"/>
      <c r="F29" s="1316"/>
      <c r="G29" s="1316"/>
      <c r="H29" s="1316"/>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row r="347" spans="2:2">
      <c r="B347" s="703"/>
    </row>
    <row r="348" spans="2:2">
      <c r="B348" s="703"/>
    </row>
    <row r="349" spans="2:2">
      <c r="B349" s="703"/>
    </row>
    <row r="350" spans="2:2">
      <c r="B350" s="703"/>
    </row>
    <row r="351" spans="2:2">
      <c r="B351" s="703"/>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40"/>
  <sheetViews>
    <sheetView workbookViewId="0">
      <selection activeCell="F16" sqref="F16"/>
    </sheetView>
  </sheetViews>
  <sheetFormatPr defaultColWidth="10" defaultRowHeight="15.6" customHeight="1"/>
  <cols>
    <col min="1" max="1" width="33.28515625" style="1" customWidth="1"/>
    <col min="2" max="2" width="9.7109375" style="1" bestFit="1" customWidth="1"/>
    <col min="3" max="3" width="5.42578125" style="1" bestFit="1" customWidth="1"/>
    <col min="4" max="4" width="12.85546875" style="1" bestFit="1" customWidth="1"/>
    <col min="5" max="5" width="8" style="23" bestFit="1" customWidth="1"/>
    <col min="6" max="6" width="10" style="629" bestFit="1" customWidth="1"/>
    <col min="7" max="7" width="13.28515625" style="1" bestFit="1" customWidth="1"/>
    <col min="8" max="8" width="8" style="1" customWidth="1"/>
    <col min="9" max="9" width="8.28515625" style="1" customWidth="1"/>
    <col min="10" max="255" width="10" style="1"/>
    <col min="256" max="256" width="2.5703125" style="1" customWidth="1"/>
    <col min="257" max="257" width="7.140625" style="1" customWidth="1"/>
    <col min="258" max="258" width="23.5703125" style="1" customWidth="1"/>
    <col min="259" max="259" width="9.7109375" style="1" customWidth="1"/>
    <col min="260" max="260" width="8.5703125" style="1" bestFit="1" customWidth="1"/>
    <col min="261" max="261" width="14.42578125" style="1" customWidth="1"/>
    <col min="262" max="262" width="11.140625" style="1" customWidth="1"/>
    <col min="263" max="263" width="11.7109375" style="1" customWidth="1"/>
    <col min="264" max="264" width="13" style="1" customWidth="1"/>
    <col min="265" max="265" width="8.28515625" style="1" customWidth="1"/>
    <col min="266" max="511" width="10" style="1"/>
    <col min="512" max="512" width="2.5703125" style="1" customWidth="1"/>
    <col min="513" max="513" width="7.140625" style="1" customWidth="1"/>
    <col min="514" max="514" width="23.5703125" style="1" customWidth="1"/>
    <col min="515" max="515" width="9.7109375" style="1" customWidth="1"/>
    <col min="516" max="516" width="8.5703125" style="1" bestFit="1" customWidth="1"/>
    <col min="517" max="517" width="14.42578125" style="1" customWidth="1"/>
    <col min="518" max="518" width="11.140625" style="1" customWidth="1"/>
    <col min="519" max="519" width="11.7109375" style="1" customWidth="1"/>
    <col min="520" max="520" width="13" style="1" customWidth="1"/>
    <col min="521" max="521" width="8.28515625" style="1" customWidth="1"/>
    <col min="522" max="767" width="10" style="1"/>
    <col min="768" max="768" width="2.5703125" style="1" customWidth="1"/>
    <col min="769" max="769" width="7.140625" style="1" customWidth="1"/>
    <col min="770" max="770" width="23.5703125" style="1" customWidth="1"/>
    <col min="771" max="771" width="9.7109375" style="1" customWidth="1"/>
    <col min="772" max="772" width="8.5703125" style="1" bestFit="1" customWidth="1"/>
    <col min="773" max="773" width="14.42578125" style="1" customWidth="1"/>
    <col min="774" max="774" width="11.140625" style="1" customWidth="1"/>
    <col min="775" max="775" width="11.7109375" style="1" customWidth="1"/>
    <col min="776" max="776" width="13" style="1" customWidth="1"/>
    <col min="777" max="777" width="8.28515625" style="1" customWidth="1"/>
    <col min="778" max="1023" width="10" style="1"/>
    <col min="1024" max="1024" width="2.5703125" style="1" customWidth="1"/>
    <col min="1025" max="1025" width="7.140625" style="1" customWidth="1"/>
    <col min="1026" max="1026" width="23.5703125" style="1" customWidth="1"/>
    <col min="1027" max="1027" width="9.7109375" style="1" customWidth="1"/>
    <col min="1028" max="1028" width="8.5703125" style="1" bestFit="1" customWidth="1"/>
    <col min="1029" max="1029" width="14.42578125" style="1" customWidth="1"/>
    <col min="1030" max="1030" width="11.140625" style="1" customWidth="1"/>
    <col min="1031" max="1031" width="11.7109375" style="1" customWidth="1"/>
    <col min="1032" max="1032" width="13" style="1" customWidth="1"/>
    <col min="1033" max="1033" width="8.28515625" style="1" customWidth="1"/>
    <col min="1034" max="1279" width="10" style="1"/>
    <col min="1280" max="1280" width="2.5703125" style="1" customWidth="1"/>
    <col min="1281" max="1281" width="7.140625" style="1" customWidth="1"/>
    <col min="1282" max="1282" width="23.5703125" style="1" customWidth="1"/>
    <col min="1283" max="1283" width="9.7109375" style="1" customWidth="1"/>
    <col min="1284" max="1284" width="8.5703125" style="1" bestFit="1" customWidth="1"/>
    <col min="1285" max="1285" width="14.42578125" style="1" customWidth="1"/>
    <col min="1286" max="1286" width="11.140625" style="1" customWidth="1"/>
    <col min="1287" max="1287" width="11.7109375" style="1" customWidth="1"/>
    <col min="1288" max="1288" width="13" style="1" customWidth="1"/>
    <col min="1289" max="1289" width="8.28515625" style="1" customWidth="1"/>
    <col min="1290" max="1535" width="10" style="1"/>
    <col min="1536" max="1536" width="2.5703125" style="1" customWidth="1"/>
    <col min="1537" max="1537" width="7.140625" style="1" customWidth="1"/>
    <col min="1538" max="1538" width="23.5703125" style="1" customWidth="1"/>
    <col min="1539" max="1539" width="9.7109375" style="1" customWidth="1"/>
    <col min="1540" max="1540" width="8.5703125" style="1" bestFit="1" customWidth="1"/>
    <col min="1541" max="1541" width="14.42578125" style="1" customWidth="1"/>
    <col min="1542" max="1542" width="11.140625" style="1" customWidth="1"/>
    <col min="1543" max="1543" width="11.7109375" style="1" customWidth="1"/>
    <col min="1544" max="1544" width="13" style="1" customWidth="1"/>
    <col min="1545" max="1545" width="8.28515625" style="1" customWidth="1"/>
    <col min="1546" max="1791" width="10" style="1"/>
    <col min="1792" max="1792" width="2.5703125" style="1" customWidth="1"/>
    <col min="1793" max="1793" width="7.140625" style="1" customWidth="1"/>
    <col min="1794" max="1794" width="23.5703125" style="1" customWidth="1"/>
    <col min="1795" max="1795" width="9.7109375" style="1" customWidth="1"/>
    <col min="1796" max="1796" width="8.5703125" style="1" bestFit="1" customWidth="1"/>
    <col min="1797" max="1797" width="14.42578125" style="1" customWidth="1"/>
    <col min="1798" max="1798" width="11.140625" style="1" customWidth="1"/>
    <col min="1799" max="1799" width="11.7109375" style="1" customWidth="1"/>
    <col min="1800" max="1800" width="13" style="1" customWidth="1"/>
    <col min="1801" max="1801" width="8.28515625" style="1" customWidth="1"/>
    <col min="1802" max="2047" width="10" style="1"/>
    <col min="2048" max="2048" width="2.5703125" style="1" customWidth="1"/>
    <col min="2049" max="2049" width="7.140625" style="1" customWidth="1"/>
    <col min="2050" max="2050" width="23.5703125" style="1" customWidth="1"/>
    <col min="2051" max="2051" width="9.7109375" style="1" customWidth="1"/>
    <col min="2052" max="2052" width="8.5703125" style="1" bestFit="1" customWidth="1"/>
    <col min="2053" max="2053" width="14.42578125" style="1" customWidth="1"/>
    <col min="2054" max="2054" width="11.140625" style="1" customWidth="1"/>
    <col min="2055" max="2055" width="11.7109375" style="1" customWidth="1"/>
    <col min="2056" max="2056" width="13" style="1" customWidth="1"/>
    <col min="2057" max="2057" width="8.28515625" style="1" customWidth="1"/>
    <col min="2058" max="2303" width="10" style="1"/>
    <col min="2304" max="2304" width="2.5703125" style="1" customWidth="1"/>
    <col min="2305" max="2305" width="7.140625" style="1" customWidth="1"/>
    <col min="2306" max="2306" width="23.5703125" style="1" customWidth="1"/>
    <col min="2307" max="2307" width="9.7109375" style="1" customWidth="1"/>
    <col min="2308" max="2308" width="8.5703125" style="1" bestFit="1" customWidth="1"/>
    <col min="2309" max="2309" width="14.42578125" style="1" customWidth="1"/>
    <col min="2310" max="2310" width="11.140625" style="1" customWidth="1"/>
    <col min="2311" max="2311" width="11.7109375" style="1" customWidth="1"/>
    <col min="2312" max="2312" width="13" style="1" customWidth="1"/>
    <col min="2313" max="2313" width="8.28515625" style="1" customWidth="1"/>
    <col min="2314" max="2559" width="10" style="1"/>
    <col min="2560" max="2560" width="2.5703125" style="1" customWidth="1"/>
    <col min="2561" max="2561" width="7.140625" style="1" customWidth="1"/>
    <col min="2562" max="2562" width="23.5703125" style="1" customWidth="1"/>
    <col min="2563" max="2563" width="9.7109375" style="1" customWidth="1"/>
    <col min="2564" max="2564" width="8.5703125" style="1" bestFit="1" customWidth="1"/>
    <col min="2565" max="2565" width="14.42578125" style="1" customWidth="1"/>
    <col min="2566" max="2566" width="11.140625" style="1" customWidth="1"/>
    <col min="2567" max="2567" width="11.7109375" style="1" customWidth="1"/>
    <col min="2568" max="2568" width="13" style="1" customWidth="1"/>
    <col min="2569" max="2569" width="8.28515625" style="1" customWidth="1"/>
    <col min="2570" max="2815" width="10" style="1"/>
    <col min="2816" max="2816" width="2.5703125" style="1" customWidth="1"/>
    <col min="2817" max="2817" width="7.140625" style="1" customWidth="1"/>
    <col min="2818" max="2818" width="23.5703125" style="1" customWidth="1"/>
    <col min="2819" max="2819" width="9.7109375" style="1" customWidth="1"/>
    <col min="2820" max="2820" width="8.5703125" style="1" bestFit="1" customWidth="1"/>
    <col min="2821" max="2821" width="14.42578125" style="1" customWidth="1"/>
    <col min="2822" max="2822" width="11.140625" style="1" customWidth="1"/>
    <col min="2823" max="2823" width="11.7109375" style="1" customWidth="1"/>
    <col min="2824" max="2824" width="13" style="1" customWidth="1"/>
    <col min="2825" max="2825" width="8.28515625" style="1" customWidth="1"/>
    <col min="2826" max="3071" width="10" style="1"/>
    <col min="3072" max="3072" width="2.5703125" style="1" customWidth="1"/>
    <col min="3073" max="3073" width="7.140625" style="1" customWidth="1"/>
    <col min="3074" max="3074" width="23.5703125" style="1" customWidth="1"/>
    <col min="3075" max="3075" width="9.7109375" style="1" customWidth="1"/>
    <col min="3076" max="3076" width="8.5703125" style="1" bestFit="1" customWidth="1"/>
    <col min="3077" max="3077" width="14.42578125" style="1" customWidth="1"/>
    <col min="3078" max="3078" width="11.140625" style="1" customWidth="1"/>
    <col min="3079" max="3079" width="11.7109375" style="1" customWidth="1"/>
    <col min="3080" max="3080" width="13" style="1" customWidth="1"/>
    <col min="3081" max="3081" width="8.28515625" style="1" customWidth="1"/>
    <col min="3082" max="3327" width="10" style="1"/>
    <col min="3328" max="3328" width="2.5703125" style="1" customWidth="1"/>
    <col min="3329" max="3329" width="7.140625" style="1" customWidth="1"/>
    <col min="3330" max="3330" width="23.5703125" style="1" customWidth="1"/>
    <col min="3331" max="3331" width="9.7109375" style="1" customWidth="1"/>
    <col min="3332" max="3332" width="8.5703125" style="1" bestFit="1" customWidth="1"/>
    <col min="3333" max="3333" width="14.42578125" style="1" customWidth="1"/>
    <col min="3334" max="3334" width="11.140625" style="1" customWidth="1"/>
    <col min="3335" max="3335" width="11.7109375" style="1" customWidth="1"/>
    <col min="3336" max="3336" width="13" style="1" customWidth="1"/>
    <col min="3337" max="3337" width="8.28515625" style="1" customWidth="1"/>
    <col min="3338" max="3583" width="10" style="1"/>
    <col min="3584" max="3584" width="2.5703125" style="1" customWidth="1"/>
    <col min="3585" max="3585" width="7.140625" style="1" customWidth="1"/>
    <col min="3586" max="3586" width="23.5703125" style="1" customWidth="1"/>
    <col min="3587" max="3587" width="9.7109375" style="1" customWidth="1"/>
    <col min="3588" max="3588" width="8.5703125" style="1" bestFit="1" customWidth="1"/>
    <col min="3589" max="3589" width="14.42578125" style="1" customWidth="1"/>
    <col min="3590" max="3590" width="11.140625" style="1" customWidth="1"/>
    <col min="3591" max="3591" width="11.7109375" style="1" customWidth="1"/>
    <col min="3592" max="3592" width="13" style="1" customWidth="1"/>
    <col min="3593" max="3593" width="8.28515625" style="1" customWidth="1"/>
    <col min="3594" max="3839" width="10" style="1"/>
    <col min="3840" max="3840" width="2.5703125" style="1" customWidth="1"/>
    <col min="3841" max="3841" width="7.140625" style="1" customWidth="1"/>
    <col min="3842" max="3842" width="23.5703125" style="1" customWidth="1"/>
    <col min="3843" max="3843" width="9.7109375" style="1" customWidth="1"/>
    <col min="3844" max="3844" width="8.5703125" style="1" bestFit="1" customWidth="1"/>
    <col min="3845" max="3845" width="14.42578125" style="1" customWidth="1"/>
    <col min="3846" max="3846" width="11.140625" style="1" customWidth="1"/>
    <col min="3847" max="3847" width="11.7109375" style="1" customWidth="1"/>
    <col min="3848" max="3848" width="13" style="1" customWidth="1"/>
    <col min="3849" max="3849" width="8.28515625" style="1" customWidth="1"/>
    <col min="3850" max="4095" width="10" style="1"/>
    <col min="4096" max="4096" width="2.5703125" style="1" customWidth="1"/>
    <col min="4097" max="4097" width="7.140625" style="1" customWidth="1"/>
    <col min="4098" max="4098" width="23.5703125" style="1" customWidth="1"/>
    <col min="4099" max="4099" width="9.7109375" style="1" customWidth="1"/>
    <col min="4100" max="4100" width="8.5703125" style="1" bestFit="1" customWidth="1"/>
    <col min="4101" max="4101" width="14.42578125" style="1" customWidth="1"/>
    <col min="4102" max="4102" width="11.140625" style="1" customWidth="1"/>
    <col min="4103" max="4103" width="11.7109375" style="1" customWidth="1"/>
    <col min="4104" max="4104" width="13" style="1" customWidth="1"/>
    <col min="4105" max="4105" width="8.28515625" style="1" customWidth="1"/>
    <col min="4106" max="4351" width="10" style="1"/>
    <col min="4352" max="4352" width="2.5703125" style="1" customWidth="1"/>
    <col min="4353" max="4353" width="7.140625" style="1" customWidth="1"/>
    <col min="4354" max="4354" width="23.5703125" style="1" customWidth="1"/>
    <col min="4355" max="4355" width="9.7109375" style="1" customWidth="1"/>
    <col min="4356" max="4356" width="8.5703125" style="1" bestFit="1" customWidth="1"/>
    <col min="4357" max="4357" width="14.42578125" style="1" customWidth="1"/>
    <col min="4358" max="4358" width="11.140625" style="1" customWidth="1"/>
    <col min="4359" max="4359" width="11.7109375" style="1" customWidth="1"/>
    <col min="4360" max="4360" width="13" style="1" customWidth="1"/>
    <col min="4361" max="4361" width="8.28515625" style="1" customWidth="1"/>
    <col min="4362" max="4607" width="10" style="1"/>
    <col min="4608" max="4608" width="2.5703125" style="1" customWidth="1"/>
    <col min="4609" max="4609" width="7.140625" style="1" customWidth="1"/>
    <col min="4610" max="4610" width="23.5703125" style="1" customWidth="1"/>
    <col min="4611" max="4611" width="9.7109375" style="1" customWidth="1"/>
    <col min="4612" max="4612" width="8.5703125" style="1" bestFit="1" customWidth="1"/>
    <col min="4613" max="4613" width="14.42578125" style="1" customWidth="1"/>
    <col min="4614" max="4614" width="11.140625" style="1" customWidth="1"/>
    <col min="4615" max="4615" width="11.7109375" style="1" customWidth="1"/>
    <col min="4616" max="4616" width="13" style="1" customWidth="1"/>
    <col min="4617" max="4617" width="8.28515625" style="1" customWidth="1"/>
    <col min="4618" max="4863" width="10" style="1"/>
    <col min="4864" max="4864" width="2.5703125" style="1" customWidth="1"/>
    <col min="4865" max="4865" width="7.140625" style="1" customWidth="1"/>
    <col min="4866" max="4866" width="23.5703125" style="1" customWidth="1"/>
    <col min="4867" max="4867" width="9.7109375" style="1" customWidth="1"/>
    <col min="4868" max="4868" width="8.5703125" style="1" bestFit="1" customWidth="1"/>
    <col min="4869" max="4869" width="14.42578125" style="1" customWidth="1"/>
    <col min="4870" max="4870" width="11.140625" style="1" customWidth="1"/>
    <col min="4871" max="4871" width="11.7109375" style="1" customWidth="1"/>
    <col min="4872" max="4872" width="13" style="1" customWidth="1"/>
    <col min="4873" max="4873" width="8.28515625" style="1" customWidth="1"/>
    <col min="4874" max="5119" width="10" style="1"/>
    <col min="5120" max="5120" width="2.5703125" style="1" customWidth="1"/>
    <col min="5121" max="5121" width="7.140625" style="1" customWidth="1"/>
    <col min="5122" max="5122" width="23.5703125" style="1" customWidth="1"/>
    <col min="5123" max="5123" width="9.7109375" style="1" customWidth="1"/>
    <col min="5124" max="5124" width="8.5703125" style="1" bestFit="1" customWidth="1"/>
    <col min="5125" max="5125" width="14.42578125" style="1" customWidth="1"/>
    <col min="5126" max="5126" width="11.140625" style="1" customWidth="1"/>
    <col min="5127" max="5127" width="11.7109375" style="1" customWidth="1"/>
    <col min="5128" max="5128" width="13" style="1" customWidth="1"/>
    <col min="5129" max="5129" width="8.28515625" style="1" customWidth="1"/>
    <col min="5130" max="5375" width="10" style="1"/>
    <col min="5376" max="5376" width="2.5703125" style="1" customWidth="1"/>
    <col min="5377" max="5377" width="7.140625" style="1" customWidth="1"/>
    <col min="5378" max="5378" width="23.5703125" style="1" customWidth="1"/>
    <col min="5379" max="5379" width="9.7109375" style="1" customWidth="1"/>
    <col min="5380" max="5380" width="8.5703125" style="1" bestFit="1" customWidth="1"/>
    <col min="5381" max="5381" width="14.42578125" style="1" customWidth="1"/>
    <col min="5382" max="5382" width="11.140625" style="1" customWidth="1"/>
    <col min="5383" max="5383" width="11.7109375" style="1" customWidth="1"/>
    <col min="5384" max="5384" width="13" style="1" customWidth="1"/>
    <col min="5385" max="5385" width="8.28515625" style="1" customWidth="1"/>
    <col min="5386" max="5631" width="10" style="1"/>
    <col min="5632" max="5632" width="2.5703125" style="1" customWidth="1"/>
    <col min="5633" max="5633" width="7.140625" style="1" customWidth="1"/>
    <col min="5634" max="5634" width="23.5703125" style="1" customWidth="1"/>
    <col min="5635" max="5635" width="9.7109375" style="1" customWidth="1"/>
    <col min="5636" max="5636" width="8.5703125" style="1" bestFit="1" customWidth="1"/>
    <col min="5637" max="5637" width="14.42578125" style="1" customWidth="1"/>
    <col min="5638" max="5638" width="11.140625" style="1" customWidth="1"/>
    <col min="5639" max="5639" width="11.7109375" style="1" customWidth="1"/>
    <col min="5640" max="5640" width="13" style="1" customWidth="1"/>
    <col min="5641" max="5641" width="8.28515625" style="1" customWidth="1"/>
    <col min="5642" max="5887" width="10" style="1"/>
    <col min="5888" max="5888" width="2.5703125" style="1" customWidth="1"/>
    <col min="5889" max="5889" width="7.140625" style="1" customWidth="1"/>
    <col min="5890" max="5890" width="23.5703125" style="1" customWidth="1"/>
    <col min="5891" max="5891" width="9.7109375" style="1" customWidth="1"/>
    <col min="5892" max="5892" width="8.5703125" style="1" bestFit="1" customWidth="1"/>
    <col min="5893" max="5893" width="14.42578125" style="1" customWidth="1"/>
    <col min="5894" max="5894" width="11.140625" style="1" customWidth="1"/>
    <col min="5895" max="5895" width="11.7109375" style="1" customWidth="1"/>
    <col min="5896" max="5896" width="13" style="1" customWidth="1"/>
    <col min="5897" max="5897" width="8.28515625" style="1" customWidth="1"/>
    <col min="5898" max="6143" width="10" style="1"/>
    <col min="6144" max="6144" width="2.5703125" style="1" customWidth="1"/>
    <col min="6145" max="6145" width="7.140625" style="1" customWidth="1"/>
    <col min="6146" max="6146" width="23.5703125" style="1" customWidth="1"/>
    <col min="6147" max="6147" width="9.7109375" style="1" customWidth="1"/>
    <col min="6148" max="6148" width="8.5703125" style="1" bestFit="1" customWidth="1"/>
    <col min="6149" max="6149" width="14.42578125" style="1" customWidth="1"/>
    <col min="6150" max="6150" width="11.140625" style="1" customWidth="1"/>
    <col min="6151" max="6151" width="11.7109375" style="1" customWidth="1"/>
    <col min="6152" max="6152" width="13" style="1" customWidth="1"/>
    <col min="6153" max="6153" width="8.28515625" style="1" customWidth="1"/>
    <col min="6154" max="6399" width="10" style="1"/>
    <col min="6400" max="6400" width="2.5703125" style="1" customWidth="1"/>
    <col min="6401" max="6401" width="7.140625" style="1" customWidth="1"/>
    <col min="6402" max="6402" width="23.5703125" style="1" customWidth="1"/>
    <col min="6403" max="6403" width="9.7109375" style="1" customWidth="1"/>
    <col min="6404" max="6404" width="8.5703125" style="1" bestFit="1" customWidth="1"/>
    <col min="6405" max="6405" width="14.42578125" style="1" customWidth="1"/>
    <col min="6406" max="6406" width="11.140625" style="1" customWidth="1"/>
    <col min="6407" max="6407" width="11.7109375" style="1" customWidth="1"/>
    <col min="6408" max="6408" width="13" style="1" customWidth="1"/>
    <col min="6409" max="6409" width="8.28515625" style="1" customWidth="1"/>
    <col min="6410" max="6655" width="10" style="1"/>
    <col min="6656" max="6656" width="2.5703125" style="1" customWidth="1"/>
    <col min="6657" max="6657" width="7.140625" style="1" customWidth="1"/>
    <col min="6658" max="6658" width="23.5703125" style="1" customWidth="1"/>
    <col min="6659" max="6659" width="9.7109375" style="1" customWidth="1"/>
    <col min="6660" max="6660" width="8.5703125" style="1" bestFit="1" customWidth="1"/>
    <col min="6661" max="6661" width="14.42578125" style="1" customWidth="1"/>
    <col min="6662" max="6662" width="11.140625" style="1" customWidth="1"/>
    <col min="6663" max="6663" width="11.7109375" style="1" customWidth="1"/>
    <col min="6664" max="6664" width="13" style="1" customWidth="1"/>
    <col min="6665" max="6665" width="8.28515625" style="1" customWidth="1"/>
    <col min="6666" max="6911" width="10" style="1"/>
    <col min="6912" max="6912" width="2.5703125" style="1" customWidth="1"/>
    <col min="6913" max="6913" width="7.140625" style="1" customWidth="1"/>
    <col min="6914" max="6914" width="23.5703125" style="1" customWidth="1"/>
    <col min="6915" max="6915" width="9.7109375" style="1" customWidth="1"/>
    <col min="6916" max="6916" width="8.5703125" style="1" bestFit="1" customWidth="1"/>
    <col min="6917" max="6917" width="14.42578125" style="1" customWidth="1"/>
    <col min="6918" max="6918" width="11.140625" style="1" customWidth="1"/>
    <col min="6919" max="6919" width="11.7109375" style="1" customWidth="1"/>
    <col min="6920" max="6920" width="13" style="1" customWidth="1"/>
    <col min="6921" max="6921" width="8.28515625" style="1" customWidth="1"/>
    <col min="6922" max="7167" width="10" style="1"/>
    <col min="7168" max="7168" width="2.5703125" style="1" customWidth="1"/>
    <col min="7169" max="7169" width="7.140625" style="1" customWidth="1"/>
    <col min="7170" max="7170" width="23.5703125" style="1" customWidth="1"/>
    <col min="7171" max="7171" width="9.7109375" style="1" customWidth="1"/>
    <col min="7172" max="7172" width="8.5703125" style="1" bestFit="1" customWidth="1"/>
    <col min="7173" max="7173" width="14.42578125" style="1" customWidth="1"/>
    <col min="7174" max="7174" width="11.140625" style="1" customWidth="1"/>
    <col min="7175" max="7175" width="11.7109375" style="1" customWidth="1"/>
    <col min="7176" max="7176" width="13" style="1" customWidth="1"/>
    <col min="7177" max="7177" width="8.28515625" style="1" customWidth="1"/>
    <col min="7178" max="7423" width="10" style="1"/>
    <col min="7424" max="7424" width="2.5703125" style="1" customWidth="1"/>
    <col min="7425" max="7425" width="7.140625" style="1" customWidth="1"/>
    <col min="7426" max="7426" width="23.5703125" style="1" customWidth="1"/>
    <col min="7427" max="7427" width="9.7109375" style="1" customWidth="1"/>
    <col min="7428" max="7428" width="8.5703125" style="1" bestFit="1" customWidth="1"/>
    <col min="7429" max="7429" width="14.42578125" style="1" customWidth="1"/>
    <col min="7430" max="7430" width="11.140625" style="1" customWidth="1"/>
    <col min="7431" max="7431" width="11.7109375" style="1" customWidth="1"/>
    <col min="7432" max="7432" width="13" style="1" customWidth="1"/>
    <col min="7433" max="7433" width="8.28515625" style="1" customWidth="1"/>
    <col min="7434" max="7679" width="10" style="1"/>
    <col min="7680" max="7680" width="2.5703125" style="1" customWidth="1"/>
    <col min="7681" max="7681" width="7.140625" style="1" customWidth="1"/>
    <col min="7682" max="7682" width="23.5703125" style="1" customWidth="1"/>
    <col min="7683" max="7683" width="9.7109375" style="1" customWidth="1"/>
    <col min="7684" max="7684" width="8.5703125" style="1" bestFit="1" customWidth="1"/>
    <col min="7685" max="7685" width="14.42578125" style="1" customWidth="1"/>
    <col min="7686" max="7686" width="11.140625" style="1" customWidth="1"/>
    <col min="7687" max="7687" width="11.7109375" style="1" customWidth="1"/>
    <col min="7688" max="7688" width="13" style="1" customWidth="1"/>
    <col min="7689" max="7689" width="8.28515625" style="1" customWidth="1"/>
    <col min="7690" max="7935" width="10" style="1"/>
    <col min="7936" max="7936" width="2.5703125" style="1" customWidth="1"/>
    <col min="7937" max="7937" width="7.140625" style="1" customWidth="1"/>
    <col min="7938" max="7938" width="23.5703125" style="1" customWidth="1"/>
    <col min="7939" max="7939" width="9.7109375" style="1" customWidth="1"/>
    <col min="7940" max="7940" width="8.5703125" style="1" bestFit="1" customWidth="1"/>
    <col min="7941" max="7941" width="14.42578125" style="1" customWidth="1"/>
    <col min="7942" max="7942" width="11.140625" style="1" customWidth="1"/>
    <col min="7943" max="7943" width="11.7109375" style="1" customWidth="1"/>
    <col min="7944" max="7944" width="13" style="1" customWidth="1"/>
    <col min="7945" max="7945" width="8.28515625" style="1" customWidth="1"/>
    <col min="7946" max="8191" width="10" style="1"/>
    <col min="8192" max="8192" width="2.5703125" style="1" customWidth="1"/>
    <col min="8193" max="8193" width="7.140625" style="1" customWidth="1"/>
    <col min="8194" max="8194" width="23.5703125" style="1" customWidth="1"/>
    <col min="8195" max="8195" width="9.7109375" style="1" customWidth="1"/>
    <col min="8196" max="8196" width="8.5703125" style="1" bestFit="1" customWidth="1"/>
    <col min="8197" max="8197" width="14.42578125" style="1" customWidth="1"/>
    <col min="8198" max="8198" width="11.140625" style="1" customWidth="1"/>
    <col min="8199" max="8199" width="11.7109375" style="1" customWidth="1"/>
    <col min="8200" max="8200" width="13" style="1" customWidth="1"/>
    <col min="8201" max="8201" width="8.28515625" style="1" customWidth="1"/>
    <col min="8202" max="8447" width="10" style="1"/>
    <col min="8448" max="8448" width="2.5703125" style="1" customWidth="1"/>
    <col min="8449" max="8449" width="7.140625" style="1" customWidth="1"/>
    <col min="8450" max="8450" width="23.5703125" style="1" customWidth="1"/>
    <col min="8451" max="8451" width="9.7109375" style="1" customWidth="1"/>
    <col min="8452" max="8452" width="8.5703125" style="1" bestFit="1" customWidth="1"/>
    <col min="8453" max="8453" width="14.42578125" style="1" customWidth="1"/>
    <col min="8454" max="8454" width="11.140625" style="1" customWidth="1"/>
    <col min="8455" max="8455" width="11.7109375" style="1" customWidth="1"/>
    <col min="8456" max="8456" width="13" style="1" customWidth="1"/>
    <col min="8457" max="8457" width="8.28515625" style="1" customWidth="1"/>
    <col min="8458" max="8703" width="10" style="1"/>
    <col min="8704" max="8704" width="2.5703125" style="1" customWidth="1"/>
    <col min="8705" max="8705" width="7.140625" style="1" customWidth="1"/>
    <col min="8706" max="8706" width="23.5703125" style="1" customWidth="1"/>
    <col min="8707" max="8707" width="9.7109375" style="1" customWidth="1"/>
    <col min="8708" max="8708" width="8.5703125" style="1" bestFit="1" customWidth="1"/>
    <col min="8709" max="8709" width="14.42578125" style="1" customWidth="1"/>
    <col min="8710" max="8710" width="11.140625" style="1" customWidth="1"/>
    <col min="8711" max="8711" width="11.7109375" style="1" customWidth="1"/>
    <col min="8712" max="8712" width="13" style="1" customWidth="1"/>
    <col min="8713" max="8713" width="8.28515625" style="1" customWidth="1"/>
    <col min="8714" max="8959" width="10" style="1"/>
    <col min="8960" max="8960" width="2.5703125" style="1" customWidth="1"/>
    <col min="8961" max="8961" width="7.140625" style="1" customWidth="1"/>
    <col min="8962" max="8962" width="23.5703125" style="1" customWidth="1"/>
    <col min="8963" max="8963" width="9.7109375" style="1" customWidth="1"/>
    <col min="8964" max="8964" width="8.5703125" style="1" bestFit="1" customWidth="1"/>
    <col min="8965" max="8965" width="14.42578125" style="1" customWidth="1"/>
    <col min="8966" max="8966" width="11.140625" style="1" customWidth="1"/>
    <col min="8967" max="8967" width="11.7109375" style="1" customWidth="1"/>
    <col min="8968" max="8968" width="13" style="1" customWidth="1"/>
    <col min="8969" max="8969" width="8.28515625" style="1" customWidth="1"/>
    <col min="8970" max="9215" width="10" style="1"/>
    <col min="9216" max="9216" width="2.5703125" style="1" customWidth="1"/>
    <col min="9217" max="9217" width="7.140625" style="1" customWidth="1"/>
    <col min="9218" max="9218" width="23.5703125" style="1" customWidth="1"/>
    <col min="9219" max="9219" width="9.7109375" style="1" customWidth="1"/>
    <col min="9220" max="9220" width="8.5703125" style="1" bestFit="1" customWidth="1"/>
    <col min="9221" max="9221" width="14.42578125" style="1" customWidth="1"/>
    <col min="9222" max="9222" width="11.140625" style="1" customWidth="1"/>
    <col min="9223" max="9223" width="11.7109375" style="1" customWidth="1"/>
    <col min="9224" max="9224" width="13" style="1" customWidth="1"/>
    <col min="9225" max="9225" width="8.28515625" style="1" customWidth="1"/>
    <col min="9226" max="9471" width="10" style="1"/>
    <col min="9472" max="9472" width="2.5703125" style="1" customWidth="1"/>
    <col min="9473" max="9473" width="7.140625" style="1" customWidth="1"/>
    <col min="9474" max="9474" width="23.5703125" style="1" customWidth="1"/>
    <col min="9475" max="9475" width="9.7109375" style="1" customWidth="1"/>
    <col min="9476" max="9476" width="8.5703125" style="1" bestFit="1" customWidth="1"/>
    <col min="9477" max="9477" width="14.42578125" style="1" customWidth="1"/>
    <col min="9478" max="9478" width="11.140625" style="1" customWidth="1"/>
    <col min="9479" max="9479" width="11.7109375" style="1" customWidth="1"/>
    <col min="9480" max="9480" width="13" style="1" customWidth="1"/>
    <col min="9481" max="9481" width="8.28515625" style="1" customWidth="1"/>
    <col min="9482" max="9727" width="10" style="1"/>
    <col min="9728" max="9728" width="2.5703125" style="1" customWidth="1"/>
    <col min="9729" max="9729" width="7.140625" style="1" customWidth="1"/>
    <col min="9730" max="9730" width="23.5703125" style="1" customWidth="1"/>
    <col min="9731" max="9731" width="9.7109375" style="1" customWidth="1"/>
    <col min="9732" max="9732" width="8.5703125" style="1" bestFit="1" customWidth="1"/>
    <col min="9733" max="9733" width="14.42578125" style="1" customWidth="1"/>
    <col min="9734" max="9734" width="11.140625" style="1" customWidth="1"/>
    <col min="9735" max="9735" width="11.7109375" style="1" customWidth="1"/>
    <col min="9736" max="9736" width="13" style="1" customWidth="1"/>
    <col min="9737" max="9737" width="8.28515625" style="1" customWidth="1"/>
    <col min="9738" max="9983" width="10" style="1"/>
    <col min="9984" max="9984" width="2.5703125" style="1" customWidth="1"/>
    <col min="9985" max="9985" width="7.140625" style="1" customWidth="1"/>
    <col min="9986" max="9986" width="23.5703125" style="1" customWidth="1"/>
    <col min="9987" max="9987" width="9.7109375" style="1" customWidth="1"/>
    <col min="9988" max="9988" width="8.5703125" style="1" bestFit="1" customWidth="1"/>
    <col min="9989" max="9989" width="14.42578125" style="1" customWidth="1"/>
    <col min="9990" max="9990" width="11.140625" style="1" customWidth="1"/>
    <col min="9991" max="9991" width="11.7109375" style="1" customWidth="1"/>
    <col min="9992" max="9992" width="13" style="1" customWidth="1"/>
    <col min="9993" max="9993" width="8.28515625" style="1" customWidth="1"/>
    <col min="9994" max="10239" width="10" style="1"/>
    <col min="10240" max="10240" width="2.5703125" style="1" customWidth="1"/>
    <col min="10241" max="10241" width="7.140625" style="1" customWidth="1"/>
    <col min="10242" max="10242" width="23.5703125" style="1" customWidth="1"/>
    <col min="10243" max="10243" width="9.7109375" style="1" customWidth="1"/>
    <col min="10244" max="10244" width="8.5703125" style="1" bestFit="1" customWidth="1"/>
    <col min="10245" max="10245" width="14.42578125" style="1" customWidth="1"/>
    <col min="10246" max="10246" width="11.140625" style="1" customWidth="1"/>
    <col min="10247" max="10247" width="11.7109375" style="1" customWidth="1"/>
    <col min="10248" max="10248" width="13" style="1" customWidth="1"/>
    <col min="10249" max="10249" width="8.28515625" style="1" customWidth="1"/>
    <col min="10250" max="10495" width="10" style="1"/>
    <col min="10496" max="10496" width="2.5703125" style="1" customWidth="1"/>
    <col min="10497" max="10497" width="7.140625" style="1" customWidth="1"/>
    <col min="10498" max="10498" width="23.5703125" style="1" customWidth="1"/>
    <col min="10499" max="10499" width="9.7109375" style="1" customWidth="1"/>
    <col min="10500" max="10500" width="8.5703125" style="1" bestFit="1" customWidth="1"/>
    <col min="10501" max="10501" width="14.42578125" style="1" customWidth="1"/>
    <col min="10502" max="10502" width="11.140625" style="1" customWidth="1"/>
    <col min="10503" max="10503" width="11.7109375" style="1" customWidth="1"/>
    <col min="10504" max="10504" width="13" style="1" customWidth="1"/>
    <col min="10505" max="10505" width="8.28515625" style="1" customWidth="1"/>
    <col min="10506" max="10751" width="10" style="1"/>
    <col min="10752" max="10752" width="2.5703125" style="1" customWidth="1"/>
    <col min="10753" max="10753" width="7.140625" style="1" customWidth="1"/>
    <col min="10754" max="10754" width="23.5703125" style="1" customWidth="1"/>
    <col min="10755" max="10755" width="9.7109375" style="1" customWidth="1"/>
    <col min="10756" max="10756" width="8.5703125" style="1" bestFit="1" customWidth="1"/>
    <col min="10757" max="10757" width="14.42578125" style="1" customWidth="1"/>
    <col min="10758" max="10758" width="11.140625" style="1" customWidth="1"/>
    <col min="10759" max="10759" width="11.7109375" style="1" customWidth="1"/>
    <col min="10760" max="10760" width="13" style="1" customWidth="1"/>
    <col min="10761" max="10761" width="8.28515625" style="1" customWidth="1"/>
    <col min="10762" max="11007" width="10" style="1"/>
    <col min="11008" max="11008" width="2.5703125" style="1" customWidth="1"/>
    <col min="11009" max="11009" width="7.140625" style="1" customWidth="1"/>
    <col min="11010" max="11010" width="23.5703125" style="1" customWidth="1"/>
    <col min="11011" max="11011" width="9.7109375" style="1" customWidth="1"/>
    <col min="11012" max="11012" width="8.5703125" style="1" bestFit="1" customWidth="1"/>
    <col min="11013" max="11013" width="14.42578125" style="1" customWidth="1"/>
    <col min="11014" max="11014" width="11.140625" style="1" customWidth="1"/>
    <col min="11015" max="11015" width="11.7109375" style="1" customWidth="1"/>
    <col min="11016" max="11016" width="13" style="1" customWidth="1"/>
    <col min="11017" max="11017" width="8.28515625" style="1" customWidth="1"/>
    <col min="11018" max="11263" width="10" style="1"/>
    <col min="11264" max="11264" width="2.5703125" style="1" customWidth="1"/>
    <col min="11265" max="11265" width="7.140625" style="1" customWidth="1"/>
    <col min="11266" max="11266" width="23.5703125" style="1" customWidth="1"/>
    <col min="11267" max="11267" width="9.7109375" style="1" customWidth="1"/>
    <col min="11268" max="11268" width="8.5703125" style="1" bestFit="1" customWidth="1"/>
    <col min="11269" max="11269" width="14.42578125" style="1" customWidth="1"/>
    <col min="11270" max="11270" width="11.140625" style="1" customWidth="1"/>
    <col min="11271" max="11271" width="11.7109375" style="1" customWidth="1"/>
    <col min="11272" max="11272" width="13" style="1" customWidth="1"/>
    <col min="11273" max="11273" width="8.28515625" style="1" customWidth="1"/>
    <col min="11274" max="11519" width="10" style="1"/>
    <col min="11520" max="11520" width="2.5703125" style="1" customWidth="1"/>
    <col min="11521" max="11521" width="7.140625" style="1" customWidth="1"/>
    <col min="11522" max="11522" width="23.5703125" style="1" customWidth="1"/>
    <col min="11523" max="11523" width="9.7109375" style="1" customWidth="1"/>
    <col min="11524" max="11524" width="8.5703125" style="1" bestFit="1" customWidth="1"/>
    <col min="11525" max="11525" width="14.42578125" style="1" customWidth="1"/>
    <col min="11526" max="11526" width="11.140625" style="1" customWidth="1"/>
    <col min="11527" max="11527" width="11.7109375" style="1" customWidth="1"/>
    <col min="11528" max="11528" width="13" style="1" customWidth="1"/>
    <col min="11529" max="11529" width="8.28515625" style="1" customWidth="1"/>
    <col min="11530" max="11775" width="10" style="1"/>
    <col min="11776" max="11776" width="2.5703125" style="1" customWidth="1"/>
    <col min="11777" max="11777" width="7.140625" style="1" customWidth="1"/>
    <col min="11778" max="11778" width="23.5703125" style="1" customWidth="1"/>
    <col min="11779" max="11779" width="9.7109375" style="1" customWidth="1"/>
    <col min="11780" max="11780" width="8.5703125" style="1" bestFit="1" customWidth="1"/>
    <col min="11781" max="11781" width="14.42578125" style="1" customWidth="1"/>
    <col min="11782" max="11782" width="11.140625" style="1" customWidth="1"/>
    <col min="11783" max="11783" width="11.7109375" style="1" customWidth="1"/>
    <col min="11784" max="11784" width="13" style="1" customWidth="1"/>
    <col min="11785" max="11785" width="8.28515625" style="1" customWidth="1"/>
    <col min="11786" max="12031" width="10" style="1"/>
    <col min="12032" max="12032" width="2.5703125" style="1" customWidth="1"/>
    <col min="12033" max="12033" width="7.140625" style="1" customWidth="1"/>
    <col min="12034" max="12034" width="23.5703125" style="1" customWidth="1"/>
    <col min="12035" max="12035" width="9.7109375" style="1" customWidth="1"/>
    <col min="12036" max="12036" width="8.5703125" style="1" bestFit="1" customWidth="1"/>
    <col min="12037" max="12037" width="14.42578125" style="1" customWidth="1"/>
    <col min="12038" max="12038" width="11.140625" style="1" customWidth="1"/>
    <col min="12039" max="12039" width="11.7109375" style="1" customWidth="1"/>
    <col min="12040" max="12040" width="13" style="1" customWidth="1"/>
    <col min="12041" max="12041" width="8.28515625" style="1" customWidth="1"/>
    <col min="12042" max="12287" width="10" style="1"/>
    <col min="12288" max="12288" width="2.5703125" style="1" customWidth="1"/>
    <col min="12289" max="12289" width="7.140625" style="1" customWidth="1"/>
    <col min="12290" max="12290" width="23.5703125" style="1" customWidth="1"/>
    <col min="12291" max="12291" width="9.7109375" style="1" customWidth="1"/>
    <col min="12292" max="12292" width="8.5703125" style="1" bestFit="1" customWidth="1"/>
    <col min="12293" max="12293" width="14.42578125" style="1" customWidth="1"/>
    <col min="12294" max="12294" width="11.140625" style="1" customWidth="1"/>
    <col min="12295" max="12295" width="11.7109375" style="1" customWidth="1"/>
    <col min="12296" max="12296" width="13" style="1" customWidth="1"/>
    <col min="12297" max="12297" width="8.28515625" style="1" customWidth="1"/>
    <col min="12298" max="12543" width="10" style="1"/>
    <col min="12544" max="12544" width="2.5703125" style="1" customWidth="1"/>
    <col min="12545" max="12545" width="7.140625" style="1" customWidth="1"/>
    <col min="12546" max="12546" width="23.5703125" style="1" customWidth="1"/>
    <col min="12547" max="12547" width="9.7109375" style="1" customWidth="1"/>
    <col min="12548" max="12548" width="8.5703125" style="1" bestFit="1" customWidth="1"/>
    <col min="12549" max="12549" width="14.42578125" style="1" customWidth="1"/>
    <col min="12550" max="12550" width="11.140625" style="1" customWidth="1"/>
    <col min="12551" max="12551" width="11.7109375" style="1" customWidth="1"/>
    <col min="12552" max="12552" width="13" style="1" customWidth="1"/>
    <col min="12553" max="12553" width="8.28515625" style="1" customWidth="1"/>
    <col min="12554" max="12799" width="10" style="1"/>
    <col min="12800" max="12800" width="2.5703125" style="1" customWidth="1"/>
    <col min="12801" max="12801" width="7.140625" style="1" customWidth="1"/>
    <col min="12802" max="12802" width="23.5703125" style="1" customWidth="1"/>
    <col min="12803" max="12803" width="9.7109375" style="1" customWidth="1"/>
    <col min="12804" max="12804" width="8.5703125" style="1" bestFit="1" customWidth="1"/>
    <col min="12805" max="12805" width="14.42578125" style="1" customWidth="1"/>
    <col min="12806" max="12806" width="11.140625" style="1" customWidth="1"/>
    <col min="12807" max="12807" width="11.7109375" style="1" customWidth="1"/>
    <col min="12808" max="12808" width="13" style="1" customWidth="1"/>
    <col min="12809" max="12809" width="8.28515625" style="1" customWidth="1"/>
    <col min="12810" max="13055" width="10" style="1"/>
    <col min="13056" max="13056" width="2.5703125" style="1" customWidth="1"/>
    <col min="13057" max="13057" width="7.140625" style="1" customWidth="1"/>
    <col min="13058" max="13058" width="23.5703125" style="1" customWidth="1"/>
    <col min="13059" max="13059" width="9.7109375" style="1" customWidth="1"/>
    <col min="13060" max="13060" width="8.5703125" style="1" bestFit="1" customWidth="1"/>
    <col min="13061" max="13061" width="14.42578125" style="1" customWidth="1"/>
    <col min="13062" max="13062" width="11.140625" style="1" customWidth="1"/>
    <col min="13063" max="13063" width="11.7109375" style="1" customWidth="1"/>
    <col min="13064" max="13064" width="13" style="1" customWidth="1"/>
    <col min="13065" max="13065" width="8.28515625" style="1" customWidth="1"/>
    <col min="13066" max="13311" width="10" style="1"/>
    <col min="13312" max="13312" width="2.5703125" style="1" customWidth="1"/>
    <col min="13313" max="13313" width="7.140625" style="1" customWidth="1"/>
    <col min="13314" max="13314" width="23.5703125" style="1" customWidth="1"/>
    <col min="13315" max="13315" width="9.7109375" style="1" customWidth="1"/>
    <col min="13316" max="13316" width="8.5703125" style="1" bestFit="1" customWidth="1"/>
    <col min="13317" max="13317" width="14.42578125" style="1" customWidth="1"/>
    <col min="13318" max="13318" width="11.140625" style="1" customWidth="1"/>
    <col min="13319" max="13319" width="11.7109375" style="1" customWidth="1"/>
    <col min="13320" max="13320" width="13" style="1" customWidth="1"/>
    <col min="13321" max="13321" width="8.28515625" style="1" customWidth="1"/>
    <col min="13322" max="13567" width="10" style="1"/>
    <col min="13568" max="13568" width="2.5703125" style="1" customWidth="1"/>
    <col min="13569" max="13569" width="7.140625" style="1" customWidth="1"/>
    <col min="13570" max="13570" width="23.5703125" style="1" customWidth="1"/>
    <col min="13571" max="13571" width="9.7109375" style="1" customWidth="1"/>
    <col min="13572" max="13572" width="8.5703125" style="1" bestFit="1" customWidth="1"/>
    <col min="13573" max="13573" width="14.42578125" style="1" customWidth="1"/>
    <col min="13574" max="13574" width="11.140625" style="1" customWidth="1"/>
    <col min="13575" max="13575" width="11.7109375" style="1" customWidth="1"/>
    <col min="13576" max="13576" width="13" style="1" customWidth="1"/>
    <col min="13577" max="13577" width="8.28515625" style="1" customWidth="1"/>
    <col min="13578" max="13823" width="10" style="1"/>
    <col min="13824" max="13824" width="2.5703125" style="1" customWidth="1"/>
    <col min="13825" max="13825" width="7.140625" style="1" customWidth="1"/>
    <col min="13826" max="13826" width="23.5703125" style="1" customWidth="1"/>
    <col min="13827" max="13827" width="9.7109375" style="1" customWidth="1"/>
    <col min="13828" max="13828" width="8.5703125" style="1" bestFit="1" customWidth="1"/>
    <col min="13829" max="13829" width="14.42578125" style="1" customWidth="1"/>
    <col min="13830" max="13830" width="11.140625" style="1" customWidth="1"/>
    <col min="13831" max="13831" width="11.7109375" style="1" customWidth="1"/>
    <col min="13832" max="13832" width="13" style="1" customWidth="1"/>
    <col min="13833" max="13833" width="8.28515625" style="1" customWidth="1"/>
    <col min="13834" max="14079" width="10" style="1"/>
    <col min="14080" max="14080" width="2.5703125" style="1" customWidth="1"/>
    <col min="14081" max="14081" width="7.140625" style="1" customWidth="1"/>
    <col min="14082" max="14082" width="23.5703125" style="1" customWidth="1"/>
    <col min="14083" max="14083" width="9.7109375" style="1" customWidth="1"/>
    <col min="14084" max="14084" width="8.5703125" style="1" bestFit="1" customWidth="1"/>
    <col min="14085" max="14085" width="14.42578125" style="1" customWidth="1"/>
    <col min="14086" max="14086" width="11.140625" style="1" customWidth="1"/>
    <col min="14087" max="14087" width="11.7109375" style="1" customWidth="1"/>
    <col min="14088" max="14088" width="13" style="1" customWidth="1"/>
    <col min="14089" max="14089" width="8.28515625" style="1" customWidth="1"/>
    <col min="14090" max="14335" width="10" style="1"/>
    <col min="14336" max="14336" width="2.5703125" style="1" customWidth="1"/>
    <col min="14337" max="14337" width="7.140625" style="1" customWidth="1"/>
    <col min="14338" max="14338" width="23.5703125" style="1" customWidth="1"/>
    <col min="14339" max="14339" width="9.7109375" style="1" customWidth="1"/>
    <col min="14340" max="14340" width="8.5703125" style="1" bestFit="1" customWidth="1"/>
    <col min="14341" max="14341" width="14.42578125" style="1" customWidth="1"/>
    <col min="14342" max="14342" width="11.140625" style="1" customWidth="1"/>
    <col min="14343" max="14343" width="11.7109375" style="1" customWidth="1"/>
    <col min="14344" max="14344" width="13" style="1" customWidth="1"/>
    <col min="14345" max="14345" width="8.28515625" style="1" customWidth="1"/>
    <col min="14346" max="14591" width="10" style="1"/>
    <col min="14592" max="14592" width="2.5703125" style="1" customWidth="1"/>
    <col min="14593" max="14593" width="7.140625" style="1" customWidth="1"/>
    <col min="14594" max="14594" width="23.5703125" style="1" customWidth="1"/>
    <col min="14595" max="14595" width="9.7109375" style="1" customWidth="1"/>
    <col min="14596" max="14596" width="8.5703125" style="1" bestFit="1" customWidth="1"/>
    <col min="14597" max="14597" width="14.42578125" style="1" customWidth="1"/>
    <col min="14598" max="14598" width="11.140625" style="1" customWidth="1"/>
    <col min="14599" max="14599" width="11.7109375" style="1" customWidth="1"/>
    <col min="14600" max="14600" width="13" style="1" customWidth="1"/>
    <col min="14601" max="14601" width="8.28515625" style="1" customWidth="1"/>
    <col min="14602" max="14847" width="10" style="1"/>
    <col min="14848" max="14848" width="2.5703125" style="1" customWidth="1"/>
    <col min="14849" max="14849" width="7.140625" style="1" customWidth="1"/>
    <col min="14850" max="14850" width="23.5703125" style="1" customWidth="1"/>
    <col min="14851" max="14851" width="9.7109375" style="1" customWidth="1"/>
    <col min="14852" max="14852" width="8.5703125" style="1" bestFit="1" customWidth="1"/>
    <col min="14853" max="14853" width="14.42578125" style="1" customWidth="1"/>
    <col min="14854" max="14854" width="11.140625" style="1" customWidth="1"/>
    <col min="14855" max="14855" width="11.7109375" style="1" customWidth="1"/>
    <col min="14856" max="14856" width="13" style="1" customWidth="1"/>
    <col min="14857" max="14857" width="8.28515625" style="1" customWidth="1"/>
    <col min="14858" max="15103" width="10" style="1"/>
    <col min="15104" max="15104" width="2.5703125" style="1" customWidth="1"/>
    <col min="15105" max="15105" width="7.140625" style="1" customWidth="1"/>
    <col min="15106" max="15106" width="23.5703125" style="1" customWidth="1"/>
    <col min="15107" max="15107" width="9.7109375" style="1" customWidth="1"/>
    <col min="15108" max="15108" width="8.5703125" style="1" bestFit="1" customWidth="1"/>
    <col min="15109" max="15109" width="14.42578125" style="1" customWidth="1"/>
    <col min="15110" max="15110" width="11.140625" style="1" customWidth="1"/>
    <col min="15111" max="15111" width="11.7109375" style="1" customWidth="1"/>
    <col min="15112" max="15112" width="13" style="1" customWidth="1"/>
    <col min="15113" max="15113" width="8.28515625" style="1" customWidth="1"/>
    <col min="15114" max="15359" width="10" style="1"/>
    <col min="15360" max="15360" width="2.5703125" style="1" customWidth="1"/>
    <col min="15361" max="15361" width="7.140625" style="1" customWidth="1"/>
    <col min="15362" max="15362" width="23.5703125" style="1" customWidth="1"/>
    <col min="15363" max="15363" width="9.7109375" style="1" customWidth="1"/>
    <col min="15364" max="15364" width="8.5703125" style="1" bestFit="1" customWidth="1"/>
    <col min="15365" max="15365" width="14.42578125" style="1" customWidth="1"/>
    <col min="15366" max="15366" width="11.140625" style="1" customWidth="1"/>
    <col min="15367" max="15367" width="11.7109375" style="1" customWidth="1"/>
    <col min="15368" max="15368" width="13" style="1" customWidth="1"/>
    <col min="15369" max="15369" width="8.28515625" style="1" customWidth="1"/>
    <col min="15370" max="15615" width="10" style="1"/>
    <col min="15616" max="15616" width="2.5703125" style="1" customWidth="1"/>
    <col min="15617" max="15617" width="7.140625" style="1" customWidth="1"/>
    <col min="15618" max="15618" width="23.5703125" style="1" customWidth="1"/>
    <col min="15619" max="15619" width="9.7109375" style="1" customWidth="1"/>
    <col min="15620" max="15620" width="8.5703125" style="1" bestFit="1" customWidth="1"/>
    <col min="15621" max="15621" width="14.42578125" style="1" customWidth="1"/>
    <col min="15622" max="15622" width="11.140625" style="1" customWidth="1"/>
    <col min="15623" max="15623" width="11.7109375" style="1" customWidth="1"/>
    <col min="15624" max="15624" width="13" style="1" customWidth="1"/>
    <col min="15625" max="15625" width="8.28515625" style="1" customWidth="1"/>
    <col min="15626" max="15871" width="10" style="1"/>
    <col min="15872" max="15872" width="2.5703125" style="1" customWidth="1"/>
    <col min="15873" max="15873" width="7.140625" style="1" customWidth="1"/>
    <col min="15874" max="15874" width="23.5703125" style="1" customWidth="1"/>
    <col min="15875" max="15875" width="9.7109375" style="1" customWidth="1"/>
    <col min="15876" max="15876" width="8.5703125" style="1" bestFit="1" customWidth="1"/>
    <col min="15877" max="15877" width="14.42578125" style="1" customWidth="1"/>
    <col min="15878" max="15878" width="11.140625" style="1" customWidth="1"/>
    <col min="15879" max="15879" width="11.7109375" style="1" customWidth="1"/>
    <col min="15880" max="15880" width="13" style="1" customWidth="1"/>
    <col min="15881" max="15881" width="8.28515625" style="1" customWidth="1"/>
    <col min="15882" max="16127" width="10" style="1"/>
    <col min="16128" max="16128" width="2.5703125" style="1" customWidth="1"/>
    <col min="16129" max="16129" width="7.140625" style="1" customWidth="1"/>
    <col min="16130" max="16130" width="23.5703125" style="1" customWidth="1"/>
    <col min="16131" max="16131" width="9.7109375" style="1" customWidth="1"/>
    <col min="16132" max="16132" width="8.5703125" style="1" bestFit="1" customWidth="1"/>
    <col min="16133" max="16133" width="14.42578125" style="1" customWidth="1"/>
    <col min="16134" max="16134" width="11.140625" style="1" customWidth="1"/>
    <col min="16135" max="16135" width="11.7109375" style="1" customWidth="1"/>
    <col min="16136" max="16136" width="13" style="1" customWidth="1"/>
    <col min="16137" max="16137" width="8.28515625" style="1" customWidth="1"/>
    <col min="16138" max="16384" width="10" style="1"/>
  </cols>
  <sheetData>
    <row r="1" spans="1:15" ht="15.6" customHeight="1">
      <c r="A1" s="17" t="str">
        <f>RevReqSummary!A1</f>
        <v>PacifiCorp General Rate Case UE-140617</v>
      </c>
      <c r="B1" s="23"/>
      <c r="C1" s="23"/>
      <c r="F1" s="402"/>
      <c r="G1" s="42"/>
      <c r="H1" s="3"/>
      <c r="I1" s="24"/>
    </row>
    <row r="2" spans="1:15" ht="15.6" customHeight="1">
      <c r="A2" s="17" t="str">
        <f>RevReqSummary!A2</f>
        <v>For The Twelve Months Ended December 2013 - Staff Revenue Requirement</v>
      </c>
      <c r="B2" s="23"/>
      <c r="C2" s="23"/>
      <c r="D2" s="634"/>
      <c r="F2" s="402"/>
      <c r="H2" s="23"/>
      <c r="I2" s="24"/>
    </row>
    <row r="3" spans="1:15" ht="15.6" customHeight="1">
      <c r="A3" s="638" t="s">
        <v>1089</v>
      </c>
      <c r="B3" s="23"/>
      <c r="C3" s="23"/>
      <c r="D3" s="634"/>
      <c r="F3" s="402"/>
      <c r="H3" s="23"/>
      <c r="I3" s="24"/>
    </row>
    <row r="4" spans="1:15" ht="15.6" customHeight="1">
      <c r="A4" s="25" t="s">
        <v>509</v>
      </c>
      <c r="B4" s="23"/>
      <c r="C4" s="23"/>
      <c r="F4" s="402"/>
      <c r="H4" s="23"/>
      <c r="I4" s="24"/>
    </row>
    <row r="5" spans="1:15" ht="15.6" customHeight="1">
      <c r="A5" s="25" t="s">
        <v>201</v>
      </c>
      <c r="B5" s="23"/>
      <c r="C5" s="23"/>
      <c r="F5" s="402"/>
      <c r="H5" s="23"/>
      <c r="I5" s="24"/>
    </row>
    <row r="6" spans="1:15" ht="15.6" customHeight="1">
      <c r="B6" s="23"/>
      <c r="C6" s="23"/>
      <c r="D6" s="23" t="s">
        <v>131</v>
      </c>
      <c r="F6" s="23"/>
      <c r="G6" s="23" t="s">
        <v>236</v>
      </c>
      <c r="H6" s="23"/>
      <c r="I6" s="24"/>
    </row>
    <row r="7" spans="1:15" ht="15.6" customHeight="1">
      <c r="A7" s="53"/>
      <c r="B7" s="26" t="s">
        <v>132</v>
      </c>
      <c r="C7" s="26" t="s">
        <v>660</v>
      </c>
      <c r="D7" s="26" t="s">
        <v>134</v>
      </c>
      <c r="E7" s="26" t="s">
        <v>135</v>
      </c>
      <c r="F7" s="26" t="s">
        <v>136</v>
      </c>
      <c r="G7" s="26" t="s">
        <v>137</v>
      </c>
      <c r="H7" s="26"/>
      <c r="I7" s="27"/>
    </row>
    <row r="8" spans="1:15" ht="15.6" customHeight="1">
      <c r="A8" s="28" t="s">
        <v>222</v>
      </c>
      <c r="B8" s="30"/>
      <c r="C8" s="30"/>
      <c r="D8" s="30"/>
      <c r="E8" s="71"/>
      <c r="F8" s="646"/>
      <c r="G8" s="71"/>
      <c r="H8" s="62"/>
      <c r="K8" s="647"/>
    </row>
    <row r="9" spans="1:15" ht="15.6" customHeight="1">
      <c r="A9" s="6" t="s">
        <v>413</v>
      </c>
      <c r="B9" s="61">
        <v>399</v>
      </c>
      <c r="C9" s="61" t="s">
        <v>140</v>
      </c>
      <c r="D9" s="648">
        <v>305716950.23277771</v>
      </c>
      <c r="E9" s="70" t="s">
        <v>232</v>
      </c>
      <c r="F9" s="109">
        <f>INDEX(WCAAllocations,IFERROR(MATCH(E9,WCAFactors,0),2),IFERROR(MATCH(E9,WCAStates,0),4))</f>
        <v>0.22612324164332259</v>
      </c>
      <c r="G9" s="649">
        <f>+D9*F9</f>
        <v>69129707.81194602</v>
      </c>
      <c r="H9" s="61"/>
      <c r="I9" s="24"/>
      <c r="M9" s="29"/>
      <c r="N9" s="29"/>
      <c r="O9" s="29"/>
    </row>
    <row r="10" spans="1:15" ht="15.6" customHeight="1">
      <c r="A10" s="6" t="s">
        <v>39</v>
      </c>
      <c r="B10" s="61" t="s">
        <v>182</v>
      </c>
      <c r="C10" s="61" t="s">
        <v>140</v>
      </c>
      <c r="D10" s="648">
        <v>654381.79745594144</v>
      </c>
      <c r="E10" s="70" t="s">
        <v>232</v>
      </c>
      <c r="F10" s="109">
        <f>INDEX(WCAAllocations,IFERROR(MATCH(E10,WCAFactors,0),2),IFERROR(MATCH(E10,WCAStates,0),4))</f>
        <v>0.22612324164332259</v>
      </c>
      <c r="G10" s="649">
        <f>+D10*F10</f>
        <v>147970.93331312164</v>
      </c>
      <c r="H10" s="61"/>
      <c r="I10" s="24"/>
      <c r="M10" s="29"/>
      <c r="N10" s="29"/>
      <c r="O10" s="29"/>
    </row>
    <row r="11" spans="1:15" ht="15.6" customHeight="1">
      <c r="A11" s="650" t="s">
        <v>584</v>
      </c>
      <c r="B11" s="61" t="s">
        <v>176</v>
      </c>
      <c r="C11" s="61" t="s">
        <v>140</v>
      </c>
      <c r="D11" s="648">
        <v>-170046514.2367878</v>
      </c>
      <c r="E11" s="70" t="s">
        <v>232</v>
      </c>
      <c r="F11" s="109">
        <f>INDEX(WCAAllocations,IFERROR(MATCH(E11,WCAFactors,0),2),IFERROR(MATCH(E11,WCAStates,0),4))</f>
        <v>0.22612324164332259</v>
      </c>
      <c r="G11" s="649">
        <f>+D11*F11</f>
        <v>-38451469.029369861</v>
      </c>
      <c r="H11" s="61"/>
      <c r="I11" s="651"/>
      <c r="M11" s="35"/>
      <c r="N11" s="170"/>
      <c r="O11" s="29"/>
    </row>
    <row r="12" spans="1:15" ht="15.6" customHeight="1">
      <c r="A12" s="6"/>
      <c r="B12" s="61"/>
      <c r="C12" s="61"/>
      <c r="D12" s="652">
        <f>SUM(D9:D11)</f>
        <v>136324817.79344589</v>
      </c>
      <c r="E12" s="627"/>
      <c r="F12" s="653"/>
      <c r="G12" s="652">
        <f>SUM(G9:G11)</f>
        <v>30826209.715889275</v>
      </c>
      <c r="H12" s="61"/>
      <c r="I12" s="651"/>
      <c r="M12" s="35"/>
      <c r="N12" s="170"/>
      <c r="O12" s="29"/>
    </row>
    <row r="13" spans="1:15" ht="15.6" customHeight="1">
      <c r="A13" s="654"/>
      <c r="B13" s="61"/>
      <c r="C13" s="61"/>
      <c r="D13" s="655"/>
      <c r="E13" s="77"/>
      <c r="F13" s="656"/>
      <c r="G13" s="655"/>
      <c r="H13" s="77"/>
      <c r="I13" s="651"/>
      <c r="K13" s="144">
        <f>H12+H13</f>
        <v>0</v>
      </c>
      <c r="M13" s="262"/>
      <c r="N13" s="170"/>
      <c r="O13" s="29"/>
    </row>
    <row r="14" spans="1:15" ht="15.6" customHeight="1">
      <c r="A14" s="657" t="s">
        <v>583</v>
      </c>
      <c r="B14" s="658"/>
      <c r="C14" s="659"/>
      <c r="D14" s="660"/>
      <c r="E14" s="627"/>
      <c r="F14" s="661"/>
      <c r="G14" s="662"/>
      <c r="H14" s="77"/>
      <c r="I14" s="651"/>
      <c r="K14" s="144"/>
      <c r="M14" s="262"/>
      <c r="N14" s="170"/>
      <c r="O14" s="29"/>
    </row>
    <row r="15" spans="1:15" ht="15.6" customHeight="1">
      <c r="A15" s="1" t="s">
        <v>413</v>
      </c>
      <c r="B15" s="30">
        <v>399</v>
      </c>
      <c r="C15" s="23" t="s">
        <v>140</v>
      </c>
      <c r="D15" s="663">
        <f>D20-D9</f>
        <v>1640011.4338888526</v>
      </c>
      <c r="E15" s="70" t="s">
        <v>232</v>
      </c>
      <c r="F15" s="664">
        <f>INDEX(WCAAllocations,IFERROR(MATCH(E15,WCAFactors,0),2),IFERROR(MATCH(E15,WCAStates,0),4))</f>
        <v>0.22612324164332259</v>
      </c>
      <c r="G15" s="649">
        <f>+D15*F15</f>
        <v>370844.70176306099</v>
      </c>
      <c r="H15" s="77"/>
      <c r="I15" s="651"/>
      <c r="K15" s="144"/>
      <c r="M15" s="262"/>
      <c r="N15" s="170"/>
      <c r="O15" s="29"/>
    </row>
    <row r="16" spans="1:15" ht="15.6" customHeight="1">
      <c r="A16" s="1" t="s">
        <v>39</v>
      </c>
      <c r="B16" s="30" t="s">
        <v>182</v>
      </c>
      <c r="C16" s="23" t="s">
        <v>140</v>
      </c>
      <c r="D16" s="663">
        <f>D21-D10</f>
        <v>-216671.7149923832</v>
      </c>
      <c r="E16" s="70" t="s">
        <v>232</v>
      </c>
      <c r="F16" s="664">
        <f>INDEX(WCAAllocations,IFERROR(MATCH(E16,WCAFactors,0),2),IFERROR(MATCH(E16,WCAStates,0),4))</f>
        <v>0.22612324164332259</v>
      </c>
      <c r="G16" s="649">
        <f>+D16*F16</f>
        <v>-48994.510566495788</v>
      </c>
      <c r="H16" s="77"/>
      <c r="I16" s="651"/>
      <c r="K16" s="144"/>
      <c r="M16" s="262"/>
      <c r="N16" s="170"/>
      <c r="O16" s="29"/>
    </row>
    <row r="17" spans="1:15" ht="15.6" customHeight="1">
      <c r="A17" s="1" t="s">
        <v>584</v>
      </c>
      <c r="B17" s="30" t="s">
        <v>176</v>
      </c>
      <c r="C17" s="23" t="s">
        <v>140</v>
      </c>
      <c r="D17" s="665">
        <f>D22-D11</f>
        <v>-3556156.1669444442</v>
      </c>
      <c r="E17" s="70" t="s">
        <v>232</v>
      </c>
      <c r="F17" s="664">
        <f>INDEX(WCAAllocations,IFERROR(MATCH(E17,WCAFactors,0),2),IFERROR(MATCH(E17,WCAStates,0),4))</f>
        <v>0.22612324164332259</v>
      </c>
      <c r="G17" s="649">
        <f>+D17*F17</f>
        <v>-804129.56025937037</v>
      </c>
      <c r="H17" s="77"/>
      <c r="I17" s="651"/>
      <c r="K17" s="144"/>
      <c r="M17" s="262"/>
      <c r="N17" s="170"/>
      <c r="O17" s="29"/>
    </row>
    <row r="18" spans="1:15" ht="15.6" customHeight="1">
      <c r="A18" s="666"/>
      <c r="B18" s="659"/>
      <c r="C18" s="659"/>
      <c r="D18" s="667">
        <f>SUM(D15:D17)</f>
        <v>-2132816.4480479751</v>
      </c>
      <c r="E18" s="627"/>
      <c r="F18" s="661"/>
      <c r="G18" s="667">
        <f>SUM(G15:G17)</f>
        <v>-482279.36906280514</v>
      </c>
      <c r="H18" s="77"/>
      <c r="I18" s="651"/>
      <c r="K18" s="144"/>
      <c r="M18" s="262"/>
      <c r="N18" s="170"/>
      <c r="O18" s="29"/>
    </row>
    <row r="19" spans="1:15" ht="15.6" customHeight="1">
      <c r="A19" s="657" t="s">
        <v>585</v>
      </c>
      <c r="B19" s="658"/>
      <c r="C19" s="659"/>
      <c r="D19" s="660"/>
      <c r="E19" s="627"/>
      <c r="F19" s="661"/>
      <c r="G19" s="662"/>
      <c r="H19" s="77"/>
      <c r="I19" s="651"/>
      <c r="K19" s="144"/>
      <c r="M19" s="262"/>
      <c r="N19" s="170"/>
      <c r="O19" s="29"/>
    </row>
    <row r="20" spans="1:15" ht="15.6" customHeight="1">
      <c r="A20" s="668" t="s">
        <v>413</v>
      </c>
      <c r="B20" s="659"/>
      <c r="C20" s="659"/>
      <c r="D20" s="669">
        <v>307356961.66666657</v>
      </c>
      <c r="E20" s="627"/>
      <c r="F20" s="661"/>
      <c r="G20" s="662"/>
      <c r="H20" s="77"/>
      <c r="I20" s="651"/>
      <c r="K20" s="144"/>
      <c r="M20" s="262"/>
      <c r="N20" s="170"/>
      <c r="O20" s="29"/>
    </row>
    <row r="21" spans="1:15" ht="15.6" customHeight="1">
      <c r="A21" s="668" t="s">
        <v>39</v>
      </c>
      <c r="B21" s="659"/>
      <c r="C21" s="659"/>
      <c r="D21" s="669">
        <v>437710.08246355824</v>
      </c>
      <c r="E21" s="627"/>
      <c r="F21" s="661"/>
      <c r="G21" s="662"/>
      <c r="H21" s="61"/>
      <c r="I21" s="670"/>
      <c r="M21" s="35"/>
      <c r="N21" s="170"/>
      <c r="O21" s="29"/>
    </row>
    <row r="22" spans="1:15" ht="15.6" customHeight="1">
      <c r="A22" s="668" t="s">
        <v>584</v>
      </c>
      <c r="B22" s="659"/>
      <c r="C22" s="659"/>
      <c r="D22" s="669">
        <v>-173602670.40373224</v>
      </c>
      <c r="E22" s="627"/>
      <c r="F22" s="661"/>
      <c r="G22" s="662"/>
      <c r="H22" s="77"/>
      <c r="I22" s="651"/>
      <c r="M22" s="35"/>
      <c r="N22" s="170"/>
      <c r="O22" s="29"/>
    </row>
    <row r="23" spans="1:15" ht="15.6" customHeight="1">
      <c r="A23" s="666"/>
      <c r="B23" s="659"/>
      <c r="C23" s="659"/>
      <c r="D23" s="667">
        <f>SUM(D20:D22)</f>
        <v>134192001.34539789</v>
      </c>
      <c r="E23" s="627"/>
      <c r="F23" s="661"/>
      <c r="G23" s="660"/>
      <c r="H23" s="77"/>
      <c r="I23" s="651"/>
      <c r="J23" s="29"/>
      <c r="M23" s="35"/>
      <c r="N23" s="170"/>
      <c r="O23" s="29"/>
    </row>
    <row r="24" spans="1:15" ht="15.6" customHeight="1">
      <c r="A24" s="671" t="s">
        <v>234</v>
      </c>
      <c r="B24" s="659"/>
      <c r="C24" s="659"/>
      <c r="D24" s="660"/>
      <c r="E24" s="659"/>
      <c r="F24" s="672"/>
      <c r="G24" s="662"/>
      <c r="H24" s="77"/>
      <c r="I24" s="670"/>
      <c r="J24" s="29"/>
      <c r="M24" s="29"/>
      <c r="N24" s="29"/>
      <c r="O24" s="29"/>
    </row>
    <row r="25" spans="1:15" ht="15.6" customHeight="1">
      <c r="A25" s="1" t="s">
        <v>749</v>
      </c>
      <c r="B25" s="30">
        <v>190</v>
      </c>
      <c r="C25" s="23" t="s">
        <v>140</v>
      </c>
      <c r="D25" s="663">
        <v>-15960579.803499991</v>
      </c>
      <c r="E25" s="627" t="s">
        <v>232</v>
      </c>
      <c r="F25" s="673">
        <f>INDEX(WCAAllocations,IFERROR(MATCH(E25,WCAFactors,0),2),IFERROR(MATCH(E25,WCAStates,0),4))</f>
        <v>0.22612324164332259</v>
      </c>
      <c r="G25" s="662">
        <f>D25*F25</f>
        <v>-3609058.0436743628</v>
      </c>
      <c r="H25" s="77"/>
      <c r="I25" s="670"/>
      <c r="J25" s="29"/>
      <c r="M25" s="29"/>
      <c r="N25" s="29"/>
      <c r="O25" s="29"/>
    </row>
    <row r="26" spans="1:15" s="29" customFormat="1" ht="15.6" customHeight="1">
      <c r="A26" s="1" t="s">
        <v>235</v>
      </c>
      <c r="B26" s="30" t="s">
        <v>191</v>
      </c>
      <c r="C26" s="23" t="s">
        <v>140</v>
      </c>
      <c r="D26" s="663">
        <v>-123982</v>
      </c>
      <c r="E26" s="627" t="s">
        <v>232</v>
      </c>
      <c r="F26" s="673">
        <f>INDEX(WCAAllocations,IFERROR(MATCH(E26,WCAFactors,0),2),IFERROR(MATCH(E26,WCAStates,0),4))</f>
        <v>0.22612324164332259</v>
      </c>
      <c r="G26" s="662">
        <f>D26*F26</f>
        <v>-28035.211745422421</v>
      </c>
      <c r="H26" s="77"/>
      <c r="I26" s="670"/>
    </row>
    <row r="27" spans="1:15" s="29" customFormat="1" ht="15.6" customHeight="1">
      <c r="A27" s="1" t="s">
        <v>235</v>
      </c>
      <c r="B27" s="30" t="s">
        <v>193</v>
      </c>
      <c r="C27" s="23" t="s">
        <v>140</v>
      </c>
      <c r="D27" s="663">
        <v>-1904930</v>
      </c>
      <c r="E27" s="627" t="s">
        <v>232</v>
      </c>
      <c r="F27" s="673">
        <f>INDEX(WCAAllocations,IFERROR(MATCH(E27,WCAFactors,0),2),IFERROR(MATCH(E27,WCAStates,0),4))</f>
        <v>0.22612324164332259</v>
      </c>
      <c r="G27" s="662">
        <f>D27*F27</f>
        <v>-430748.94670361449</v>
      </c>
      <c r="H27" s="77"/>
      <c r="I27" s="78"/>
    </row>
    <row r="28" spans="1:15" s="29" customFormat="1" ht="15.6" customHeight="1">
      <c r="A28" s="1" t="s">
        <v>235</v>
      </c>
      <c r="B28" s="30" t="s">
        <v>193</v>
      </c>
      <c r="C28" s="23" t="s">
        <v>140</v>
      </c>
      <c r="D28" s="663">
        <v>97347</v>
      </c>
      <c r="E28" s="627" t="s">
        <v>130</v>
      </c>
      <c r="F28" s="673">
        <f>INDEX(WCAAllocations,IFERROR(MATCH(E28,WCAFactors,0),2),IFERROR(MATCH(E28,WCAStates,0),4))</f>
        <v>6.8539355270203509E-2</v>
      </c>
      <c r="G28" s="662">
        <f>D28*F28</f>
        <v>6672.1006174885006</v>
      </c>
      <c r="H28" s="77"/>
      <c r="I28" s="78"/>
    </row>
    <row r="29" spans="1:15" s="29" customFormat="1" ht="15.6" customHeight="1">
      <c r="A29" s="275"/>
      <c r="B29" s="61"/>
      <c r="C29" s="61"/>
      <c r="D29" s="655"/>
      <c r="E29" s="77"/>
      <c r="F29" s="656"/>
      <c r="G29" s="75"/>
      <c r="H29" s="77"/>
      <c r="I29" s="78"/>
    </row>
    <row r="30" spans="1:15" s="29" customFormat="1" ht="15.6" customHeight="1">
      <c r="A30" s="674" t="s">
        <v>145</v>
      </c>
      <c r="B30" s="71"/>
      <c r="C30" s="71"/>
      <c r="D30" s="675"/>
      <c r="E30" s="676"/>
      <c r="F30" s="677"/>
      <c r="G30" s="678"/>
      <c r="H30" s="71"/>
      <c r="I30" s="78"/>
    </row>
    <row r="31" spans="1:15" s="29" customFormat="1" ht="15.6" customHeight="1">
      <c r="A31" s="1395" t="s">
        <v>750</v>
      </c>
      <c r="B31" s="1395"/>
      <c r="C31" s="1395"/>
      <c r="D31" s="1395"/>
      <c r="E31" s="1395"/>
      <c r="F31" s="1395"/>
      <c r="G31" s="1395"/>
      <c r="H31" s="1316"/>
      <c r="I31" s="1316"/>
    </row>
    <row r="32" spans="1:15" s="29" customFormat="1" ht="15.6" customHeight="1">
      <c r="A32" s="1395"/>
      <c r="B32" s="1395"/>
      <c r="C32" s="1395"/>
      <c r="D32" s="1395"/>
      <c r="E32" s="1395"/>
      <c r="F32" s="1395"/>
      <c r="G32" s="1395"/>
      <c r="H32" s="1316"/>
      <c r="I32" s="1316"/>
    </row>
    <row r="33" spans="1:9" s="29" customFormat="1" ht="15.6" customHeight="1">
      <c r="A33" s="1395"/>
      <c r="B33" s="1395"/>
      <c r="C33" s="1395"/>
      <c r="D33" s="1395"/>
      <c r="E33" s="1395"/>
      <c r="F33" s="1395"/>
      <c r="G33" s="1395"/>
      <c r="H33" s="1316"/>
      <c r="I33" s="1316"/>
    </row>
    <row r="34" spans="1:9" s="29" customFormat="1" ht="15.6" customHeight="1">
      <c r="A34" s="1395"/>
      <c r="B34" s="1395"/>
      <c r="C34" s="1395"/>
      <c r="D34" s="1395"/>
      <c r="E34" s="1395"/>
      <c r="F34" s="1395"/>
      <c r="G34" s="1395"/>
      <c r="H34" s="1316"/>
      <c r="I34" s="1316"/>
    </row>
    <row r="35" spans="1:9" s="29" customFormat="1" ht="15.6" customHeight="1">
      <c r="A35" s="1395"/>
      <c r="B35" s="1395"/>
      <c r="C35" s="1395"/>
      <c r="D35" s="1395"/>
      <c r="E35" s="1395"/>
      <c r="F35" s="1395"/>
      <c r="G35" s="1395"/>
      <c r="H35" s="1316"/>
      <c r="I35" s="1316"/>
    </row>
    <row r="36" spans="1:9" s="29" customFormat="1" ht="15.6" customHeight="1">
      <c r="A36" s="1395"/>
      <c r="B36" s="1395"/>
      <c r="C36" s="1395"/>
      <c r="D36" s="1395"/>
      <c r="E36" s="1395"/>
      <c r="F36" s="1395"/>
      <c r="G36" s="1395"/>
      <c r="H36" s="1316"/>
      <c r="I36" s="1316"/>
    </row>
    <row r="37" spans="1:9" s="29" customFormat="1" ht="15.6" customHeight="1">
      <c r="A37" s="1395"/>
      <c r="B37" s="1395"/>
      <c r="C37" s="1395"/>
      <c r="D37" s="1395"/>
      <c r="E37" s="1395"/>
      <c r="F37" s="1395"/>
      <c r="G37" s="1395"/>
      <c r="H37" s="1316"/>
      <c r="I37" s="1316"/>
    </row>
    <row r="38" spans="1:9" s="29" customFormat="1" ht="15.6" customHeight="1">
      <c r="A38" s="1395"/>
      <c r="B38" s="1395"/>
      <c r="C38" s="1395"/>
      <c r="D38" s="1395"/>
      <c r="E38" s="1395"/>
      <c r="F38" s="1395"/>
      <c r="G38" s="1395"/>
      <c r="H38" s="1316"/>
      <c r="I38" s="1316"/>
    </row>
    <row r="39" spans="1:9" s="29" customFormat="1" ht="15.6" customHeight="1">
      <c r="A39" s="87"/>
      <c r="B39" s="71"/>
      <c r="C39" s="71"/>
      <c r="D39" s="87"/>
      <c r="E39" s="71"/>
      <c r="F39" s="646"/>
      <c r="G39" s="87"/>
      <c r="H39" s="71"/>
    </row>
    <row r="40" spans="1:9" s="29" customFormat="1" ht="15.6" customHeight="1">
      <c r="A40" s="679"/>
      <c r="B40" s="71"/>
      <c r="C40" s="71"/>
      <c r="D40" s="87"/>
      <c r="E40" s="71"/>
      <c r="F40" s="646"/>
      <c r="G40" s="87"/>
      <c r="H40" s="680"/>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J39"/>
  <sheetViews>
    <sheetView workbookViewId="0">
      <selection activeCell="F16" sqref="F16"/>
    </sheetView>
  </sheetViews>
  <sheetFormatPr defaultColWidth="8.85546875" defaultRowHeight="12.75"/>
  <cols>
    <col min="1" max="1" width="41.7109375" style="1" customWidth="1"/>
    <col min="2" max="2" width="9.7109375" style="1" bestFit="1" customWidth="1"/>
    <col min="3" max="3" width="5.42578125" style="1" bestFit="1" customWidth="1"/>
    <col min="4" max="4" width="11.85546875" style="1" bestFit="1" customWidth="1"/>
    <col min="5" max="5" width="8" style="1" bestFit="1" customWidth="1"/>
    <col min="6" max="6" width="10" style="1" bestFit="1" customWidth="1"/>
    <col min="7" max="7" width="13.28515625" style="1" bestFit="1" customWidth="1"/>
    <col min="8" max="8" width="9.140625" style="23" customWidth="1"/>
    <col min="9" max="9" width="8.85546875" style="1"/>
    <col min="10" max="10" width="9.140625" style="1" bestFit="1" customWidth="1"/>
    <col min="11" max="254" width="8.85546875" style="1"/>
    <col min="255" max="255" width="2.28515625" style="1" customWidth="1"/>
    <col min="256" max="256" width="11.85546875" style="1" customWidth="1"/>
    <col min="257" max="257" width="13.28515625" style="1" customWidth="1"/>
    <col min="258" max="258" width="8.140625" style="1" bestFit="1" customWidth="1"/>
    <col min="259" max="259" width="4.7109375" style="1" bestFit="1" customWidth="1"/>
    <col min="260" max="260" width="10.5703125" style="1" bestFit="1" customWidth="1"/>
    <col min="261" max="261" width="8.85546875" style="1" customWidth="1"/>
    <col min="262" max="262" width="13.28515625" style="1" bestFit="1" customWidth="1"/>
    <col min="263" max="263" width="10.28515625" style="1" customWidth="1"/>
    <col min="264" max="264" width="11.28515625" style="1" customWidth="1"/>
    <col min="265" max="510" width="8.85546875" style="1"/>
    <col min="511" max="511" width="2.28515625" style="1" customWidth="1"/>
    <col min="512" max="512" width="11.85546875" style="1" customWidth="1"/>
    <col min="513" max="513" width="13.28515625" style="1" customWidth="1"/>
    <col min="514" max="514" width="8.140625" style="1" bestFit="1" customWidth="1"/>
    <col min="515" max="515" width="4.7109375" style="1" bestFit="1" customWidth="1"/>
    <col min="516" max="516" width="10.5703125" style="1" bestFit="1" customWidth="1"/>
    <col min="517" max="517" width="8.85546875" style="1" customWidth="1"/>
    <col min="518" max="518" width="13.28515625" style="1" bestFit="1" customWidth="1"/>
    <col min="519" max="519" width="10.28515625" style="1" customWidth="1"/>
    <col min="520" max="520" width="11.28515625" style="1" customWidth="1"/>
    <col min="521" max="766" width="8.85546875" style="1"/>
    <col min="767" max="767" width="2.28515625" style="1" customWidth="1"/>
    <col min="768" max="768" width="11.85546875" style="1" customWidth="1"/>
    <col min="769" max="769" width="13.28515625" style="1" customWidth="1"/>
    <col min="770" max="770" width="8.140625" style="1" bestFit="1" customWidth="1"/>
    <col min="771" max="771" width="4.7109375" style="1" bestFit="1" customWidth="1"/>
    <col min="772" max="772" width="10.5703125" style="1" bestFit="1" customWidth="1"/>
    <col min="773" max="773" width="8.85546875" style="1" customWidth="1"/>
    <col min="774" max="774" width="13.28515625" style="1" bestFit="1" customWidth="1"/>
    <col min="775" max="775" width="10.28515625" style="1" customWidth="1"/>
    <col min="776" max="776" width="11.28515625" style="1" customWidth="1"/>
    <col min="777" max="1022" width="8.85546875" style="1"/>
    <col min="1023" max="1023" width="2.28515625" style="1" customWidth="1"/>
    <col min="1024" max="1024" width="11.85546875" style="1" customWidth="1"/>
    <col min="1025" max="1025" width="13.28515625" style="1" customWidth="1"/>
    <col min="1026" max="1026" width="8.140625" style="1" bestFit="1" customWidth="1"/>
    <col min="1027" max="1027" width="4.7109375" style="1" bestFit="1" customWidth="1"/>
    <col min="1028" max="1028" width="10.5703125" style="1" bestFit="1" customWidth="1"/>
    <col min="1029" max="1029" width="8.85546875" style="1" customWidth="1"/>
    <col min="1030" max="1030" width="13.28515625" style="1" bestFit="1" customWidth="1"/>
    <col min="1031" max="1031" width="10.28515625" style="1" customWidth="1"/>
    <col min="1032" max="1032" width="11.28515625" style="1" customWidth="1"/>
    <col min="1033" max="1278" width="8.85546875" style="1"/>
    <col min="1279" max="1279" width="2.28515625" style="1" customWidth="1"/>
    <col min="1280" max="1280" width="11.85546875" style="1" customWidth="1"/>
    <col min="1281" max="1281" width="13.28515625" style="1" customWidth="1"/>
    <col min="1282" max="1282" width="8.140625" style="1" bestFit="1" customWidth="1"/>
    <col min="1283" max="1283" width="4.7109375" style="1" bestFit="1" customWidth="1"/>
    <col min="1284" max="1284" width="10.5703125" style="1" bestFit="1" customWidth="1"/>
    <col min="1285" max="1285" width="8.85546875" style="1" customWidth="1"/>
    <col min="1286" max="1286" width="13.28515625" style="1" bestFit="1" customWidth="1"/>
    <col min="1287" max="1287" width="10.28515625" style="1" customWidth="1"/>
    <col min="1288" max="1288" width="11.28515625" style="1" customWidth="1"/>
    <col min="1289" max="1534" width="8.85546875" style="1"/>
    <col min="1535" max="1535" width="2.28515625" style="1" customWidth="1"/>
    <col min="1536" max="1536" width="11.85546875" style="1" customWidth="1"/>
    <col min="1537" max="1537" width="13.28515625" style="1" customWidth="1"/>
    <col min="1538" max="1538" width="8.140625" style="1" bestFit="1" customWidth="1"/>
    <col min="1539" max="1539" width="4.7109375" style="1" bestFit="1" customWidth="1"/>
    <col min="1540" max="1540" width="10.5703125" style="1" bestFit="1" customWidth="1"/>
    <col min="1541" max="1541" width="8.85546875" style="1" customWidth="1"/>
    <col min="1542" max="1542" width="13.28515625" style="1" bestFit="1" customWidth="1"/>
    <col min="1543" max="1543" width="10.28515625" style="1" customWidth="1"/>
    <col min="1544" max="1544" width="11.28515625" style="1" customWidth="1"/>
    <col min="1545" max="1790" width="8.85546875" style="1"/>
    <col min="1791" max="1791" width="2.28515625" style="1" customWidth="1"/>
    <col min="1792" max="1792" width="11.85546875" style="1" customWidth="1"/>
    <col min="1793" max="1793" width="13.28515625" style="1" customWidth="1"/>
    <col min="1794" max="1794" width="8.140625" style="1" bestFit="1" customWidth="1"/>
    <col min="1795" max="1795" width="4.7109375" style="1" bestFit="1" customWidth="1"/>
    <col min="1796" max="1796" width="10.5703125" style="1" bestFit="1" customWidth="1"/>
    <col min="1797" max="1797" width="8.85546875" style="1" customWidth="1"/>
    <col min="1798" max="1798" width="13.28515625" style="1" bestFit="1" customWidth="1"/>
    <col min="1799" max="1799" width="10.28515625" style="1" customWidth="1"/>
    <col min="1800" max="1800" width="11.28515625" style="1" customWidth="1"/>
    <col min="1801" max="2046" width="8.85546875" style="1"/>
    <col min="2047" max="2047" width="2.28515625" style="1" customWidth="1"/>
    <col min="2048" max="2048" width="11.85546875" style="1" customWidth="1"/>
    <col min="2049" max="2049" width="13.28515625" style="1" customWidth="1"/>
    <col min="2050" max="2050" width="8.140625" style="1" bestFit="1" customWidth="1"/>
    <col min="2051" max="2051" width="4.7109375" style="1" bestFit="1" customWidth="1"/>
    <col min="2052" max="2052" width="10.5703125" style="1" bestFit="1" customWidth="1"/>
    <col min="2053" max="2053" width="8.85546875" style="1" customWidth="1"/>
    <col min="2054" max="2054" width="13.28515625" style="1" bestFit="1" customWidth="1"/>
    <col min="2055" max="2055" width="10.28515625" style="1" customWidth="1"/>
    <col min="2056" max="2056" width="11.28515625" style="1" customWidth="1"/>
    <col min="2057" max="2302" width="8.85546875" style="1"/>
    <col min="2303" max="2303" width="2.28515625" style="1" customWidth="1"/>
    <col min="2304" max="2304" width="11.85546875" style="1" customWidth="1"/>
    <col min="2305" max="2305" width="13.28515625" style="1" customWidth="1"/>
    <col min="2306" max="2306" width="8.140625" style="1" bestFit="1" customWidth="1"/>
    <col min="2307" max="2307" width="4.7109375" style="1" bestFit="1" customWidth="1"/>
    <col min="2308" max="2308" width="10.5703125" style="1" bestFit="1" customWidth="1"/>
    <col min="2309" max="2309" width="8.85546875" style="1" customWidth="1"/>
    <col min="2310" max="2310" width="13.28515625" style="1" bestFit="1" customWidth="1"/>
    <col min="2311" max="2311" width="10.28515625" style="1" customWidth="1"/>
    <col min="2312" max="2312" width="11.28515625" style="1" customWidth="1"/>
    <col min="2313" max="2558" width="8.85546875" style="1"/>
    <col min="2559" max="2559" width="2.28515625" style="1" customWidth="1"/>
    <col min="2560" max="2560" width="11.85546875" style="1" customWidth="1"/>
    <col min="2561" max="2561" width="13.28515625" style="1" customWidth="1"/>
    <col min="2562" max="2562" width="8.140625" style="1" bestFit="1" customWidth="1"/>
    <col min="2563" max="2563" width="4.7109375" style="1" bestFit="1" customWidth="1"/>
    <col min="2564" max="2564" width="10.5703125" style="1" bestFit="1" customWidth="1"/>
    <col min="2565" max="2565" width="8.85546875" style="1" customWidth="1"/>
    <col min="2566" max="2566" width="13.28515625" style="1" bestFit="1" customWidth="1"/>
    <col min="2567" max="2567" width="10.28515625" style="1" customWidth="1"/>
    <col min="2568" max="2568" width="11.28515625" style="1" customWidth="1"/>
    <col min="2569" max="2814" width="8.85546875" style="1"/>
    <col min="2815" max="2815" width="2.28515625" style="1" customWidth="1"/>
    <col min="2816" max="2816" width="11.85546875" style="1" customWidth="1"/>
    <col min="2817" max="2817" width="13.28515625" style="1" customWidth="1"/>
    <col min="2818" max="2818" width="8.140625" style="1" bestFit="1" customWidth="1"/>
    <col min="2819" max="2819" width="4.7109375" style="1" bestFit="1" customWidth="1"/>
    <col min="2820" max="2820" width="10.5703125" style="1" bestFit="1" customWidth="1"/>
    <col min="2821" max="2821" width="8.85546875" style="1" customWidth="1"/>
    <col min="2822" max="2822" width="13.28515625" style="1" bestFit="1" customWidth="1"/>
    <col min="2823" max="2823" width="10.28515625" style="1" customWidth="1"/>
    <col min="2824" max="2824" width="11.28515625" style="1" customWidth="1"/>
    <col min="2825" max="3070" width="8.85546875" style="1"/>
    <col min="3071" max="3071" width="2.28515625" style="1" customWidth="1"/>
    <col min="3072" max="3072" width="11.85546875" style="1" customWidth="1"/>
    <col min="3073" max="3073" width="13.28515625" style="1" customWidth="1"/>
    <col min="3074" max="3074" width="8.140625" style="1" bestFit="1" customWidth="1"/>
    <col min="3075" max="3075" width="4.7109375" style="1" bestFit="1" customWidth="1"/>
    <col min="3076" max="3076" width="10.5703125" style="1" bestFit="1" customWidth="1"/>
    <col min="3077" max="3077" width="8.85546875" style="1" customWidth="1"/>
    <col min="3078" max="3078" width="13.28515625" style="1" bestFit="1" customWidth="1"/>
    <col min="3079" max="3079" width="10.28515625" style="1" customWidth="1"/>
    <col min="3080" max="3080" width="11.28515625" style="1" customWidth="1"/>
    <col min="3081" max="3326" width="8.85546875" style="1"/>
    <col min="3327" max="3327" width="2.28515625" style="1" customWidth="1"/>
    <col min="3328" max="3328" width="11.85546875" style="1" customWidth="1"/>
    <col min="3329" max="3329" width="13.28515625" style="1" customWidth="1"/>
    <col min="3330" max="3330" width="8.140625" style="1" bestFit="1" customWidth="1"/>
    <col min="3331" max="3331" width="4.7109375" style="1" bestFit="1" customWidth="1"/>
    <col min="3332" max="3332" width="10.5703125" style="1" bestFit="1" customWidth="1"/>
    <col min="3333" max="3333" width="8.85546875" style="1" customWidth="1"/>
    <col min="3334" max="3334" width="13.28515625" style="1" bestFit="1" customWidth="1"/>
    <col min="3335" max="3335" width="10.28515625" style="1" customWidth="1"/>
    <col min="3336" max="3336" width="11.28515625" style="1" customWidth="1"/>
    <col min="3337" max="3582" width="8.85546875" style="1"/>
    <col min="3583" max="3583" width="2.28515625" style="1" customWidth="1"/>
    <col min="3584" max="3584" width="11.85546875" style="1" customWidth="1"/>
    <col min="3585" max="3585" width="13.28515625" style="1" customWidth="1"/>
    <col min="3586" max="3586" width="8.140625" style="1" bestFit="1" customWidth="1"/>
    <col min="3587" max="3587" width="4.7109375" style="1" bestFit="1" customWidth="1"/>
    <col min="3588" max="3588" width="10.5703125" style="1" bestFit="1" customWidth="1"/>
    <col min="3589" max="3589" width="8.85546875" style="1" customWidth="1"/>
    <col min="3590" max="3590" width="13.28515625" style="1" bestFit="1" customWidth="1"/>
    <col min="3591" max="3591" width="10.28515625" style="1" customWidth="1"/>
    <col min="3592" max="3592" width="11.28515625" style="1" customWidth="1"/>
    <col min="3593" max="3838" width="8.85546875" style="1"/>
    <col min="3839" max="3839" width="2.28515625" style="1" customWidth="1"/>
    <col min="3840" max="3840" width="11.85546875" style="1" customWidth="1"/>
    <col min="3841" max="3841" width="13.28515625" style="1" customWidth="1"/>
    <col min="3842" max="3842" width="8.140625" style="1" bestFit="1" customWidth="1"/>
    <col min="3843" max="3843" width="4.7109375" style="1" bestFit="1" customWidth="1"/>
    <col min="3844" max="3844" width="10.5703125" style="1" bestFit="1" customWidth="1"/>
    <col min="3845" max="3845" width="8.85546875" style="1" customWidth="1"/>
    <col min="3846" max="3846" width="13.28515625" style="1" bestFit="1" customWidth="1"/>
    <col min="3847" max="3847" width="10.28515625" style="1" customWidth="1"/>
    <col min="3848" max="3848" width="11.28515625" style="1" customWidth="1"/>
    <col min="3849" max="4094" width="8.85546875" style="1"/>
    <col min="4095" max="4095" width="2.28515625" style="1" customWidth="1"/>
    <col min="4096" max="4096" width="11.85546875" style="1" customWidth="1"/>
    <col min="4097" max="4097" width="13.28515625" style="1" customWidth="1"/>
    <col min="4098" max="4098" width="8.140625" style="1" bestFit="1" customWidth="1"/>
    <col min="4099" max="4099" width="4.7109375" style="1" bestFit="1" customWidth="1"/>
    <col min="4100" max="4100" width="10.5703125" style="1" bestFit="1" customWidth="1"/>
    <col min="4101" max="4101" width="8.85546875" style="1" customWidth="1"/>
    <col min="4102" max="4102" width="13.28515625" style="1" bestFit="1" customWidth="1"/>
    <col min="4103" max="4103" width="10.28515625" style="1" customWidth="1"/>
    <col min="4104" max="4104" width="11.28515625" style="1" customWidth="1"/>
    <col min="4105" max="4350" width="8.85546875" style="1"/>
    <col min="4351" max="4351" width="2.28515625" style="1" customWidth="1"/>
    <col min="4352" max="4352" width="11.85546875" style="1" customWidth="1"/>
    <col min="4353" max="4353" width="13.28515625" style="1" customWidth="1"/>
    <col min="4354" max="4354" width="8.140625" style="1" bestFit="1" customWidth="1"/>
    <col min="4355" max="4355" width="4.7109375" style="1" bestFit="1" customWidth="1"/>
    <col min="4356" max="4356" width="10.5703125" style="1" bestFit="1" customWidth="1"/>
    <col min="4357" max="4357" width="8.85546875" style="1" customWidth="1"/>
    <col min="4358" max="4358" width="13.28515625" style="1" bestFit="1" customWidth="1"/>
    <col min="4359" max="4359" width="10.28515625" style="1" customWidth="1"/>
    <col min="4360" max="4360" width="11.28515625" style="1" customWidth="1"/>
    <col min="4361" max="4606" width="8.85546875" style="1"/>
    <col min="4607" max="4607" width="2.28515625" style="1" customWidth="1"/>
    <col min="4608" max="4608" width="11.85546875" style="1" customWidth="1"/>
    <col min="4609" max="4609" width="13.28515625" style="1" customWidth="1"/>
    <col min="4610" max="4610" width="8.140625" style="1" bestFit="1" customWidth="1"/>
    <col min="4611" max="4611" width="4.7109375" style="1" bestFit="1" customWidth="1"/>
    <col min="4612" max="4612" width="10.5703125" style="1" bestFit="1" customWidth="1"/>
    <col min="4613" max="4613" width="8.85546875" style="1" customWidth="1"/>
    <col min="4614" max="4614" width="13.28515625" style="1" bestFit="1" customWidth="1"/>
    <col min="4615" max="4615" width="10.28515625" style="1" customWidth="1"/>
    <col min="4616" max="4616" width="11.28515625" style="1" customWidth="1"/>
    <col min="4617" max="4862" width="8.85546875" style="1"/>
    <col min="4863" max="4863" width="2.28515625" style="1" customWidth="1"/>
    <col min="4864" max="4864" width="11.85546875" style="1" customWidth="1"/>
    <col min="4865" max="4865" width="13.28515625" style="1" customWidth="1"/>
    <col min="4866" max="4866" width="8.140625" style="1" bestFit="1" customWidth="1"/>
    <col min="4867" max="4867" width="4.7109375" style="1" bestFit="1" customWidth="1"/>
    <col min="4868" max="4868" width="10.5703125" style="1" bestFit="1" customWidth="1"/>
    <col min="4869" max="4869" width="8.85546875" style="1" customWidth="1"/>
    <col min="4870" max="4870" width="13.28515625" style="1" bestFit="1" customWidth="1"/>
    <col min="4871" max="4871" width="10.28515625" style="1" customWidth="1"/>
    <col min="4872" max="4872" width="11.28515625" style="1" customWidth="1"/>
    <col min="4873" max="5118" width="8.85546875" style="1"/>
    <col min="5119" max="5119" width="2.28515625" style="1" customWidth="1"/>
    <col min="5120" max="5120" width="11.85546875" style="1" customWidth="1"/>
    <col min="5121" max="5121" width="13.28515625" style="1" customWidth="1"/>
    <col min="5122" max="5122" width="8.140625" style="1" bestFit="1" customWidth="1"/>
    <col min="5123" max="5123" width="4.7109375" style="1" bestFit="1" customWidth="1"/>
    <col min="5124" max="5124" width="10.5703125" style="1" bestFit="1" customWidth="1"/>
    <col min="5125" max="5125" width="8.85546875" style="1" customWidth="1"/>
    <col min="5126" max="5126" width="13.28515625" style="1" bestFit="1" customWidth="1"/>
    <col min="5127" max="5127" width="10.28515625" style="1" customWidth="1"/>
    <col min="5128" max="5128" width="11.28515625" style="1" customWidth="1"/>
    <col min="5129" max="5374" width="8.85546875" style="1"/>
    <col min="5375" max="5375" width="2.28515625" style="1" customWidth="1"/>
    <col min="5376" max="5376" width="11.85546875" style="1" customWidth="1"/>
    <col min="5377" max="5377" width="13.28515625" style="1" customWidth="1"/>
    <col min="5378" max="5378" width="8.140625" style="1" bestFit="1" customWidth="1"/>
    <col min="5379" max="5379" width="4.7109375" style="1" bestFit="1" customWidth="1"/>
    <col min="5380" max="5380" width="10.5703125" style="1" bestFit="1" customWidth="1"/>
    <col min="5381" max="5381" width="8.85546875" style="1" customWidth="1"/>
    <col min="5382" max="5382" width="13.28515625" style="1" bestFit="1" customWidth="1"/>
    <col min="5383" max="5383" width="10.28515625" style="1" customWidth="1"/>
    <col min="5384" max="5384" width="11.28515625" style="1" customWidth="1"/>
    <col min="5385" max="5630" width="8.85546875" style="1"/>
    <col min="5631" max="5631" width="2.28515625" style="1" customWidth="1"/>
    <col min="5632" max="5632" width="11.85546875" style="1" customWidth="1"/>
    <col min="5633" max="5633" width="13.28515625" style="1" customWidth="1"/>
    <col min="5634" max="5634" width="8.140625" style="1" bestFit="1" customWidth="1"/>
    <col min="5635" max="5635" width="4.7109375" style="1" bestFit="1" customWidth="1"/>
    <col min="5636" max="5636" width="10.5703125" style="1" bestFit="1" customWidth="1"/>
    <col min="5637" max="5637" width="8.85546875" style="1" customWidth="1"/>
    <col min="5638" max="5638" width="13.28515625" style="1" bestFit="1" customWidth="1"/>
    <col min="5639" max="5639" width="10.28515625" style="1" customWidth="1"/>
    <col min="5640" max="5640" width="11.28515625" style="1" customWidth="1"/>
    <col min="5641" max="5886" width="8.85546875" style="1"/>
    <col min="5887" max="5887" width="2.28515625" style="1" customWidth="1"/>
    <col min="5888" max="5888" width="11.85546875" style="1" customWidth="1"/>
    <col min="5889" max="5889" width="13.28515625" style="1" customWidth="1"/>
    <col min="5890" max="5890" width="8.140625" style="1" bestFit="1" customWidth="1"/>
    <col min="5891" max="5891" width="4.7109375" style="1" bestFit="1" customWidth="1"/>
    <col min="5892" max="5892" width="10.5703125" style="1" bestFit="1" customWidth="1"/>
    <col min="5893" max="5893" width="8.85546875" style="1" customWidth="1"/>
    <col min="5894" max="5894" width="13.28515625" style="1" bestFit="1" customWidth="1"/>
    <col min="5895" max="5895" width="10.28515625" style="1" customWidth="1"/>
    <col min="5896" max="5896" width="11.28515625" style="1" customWidth="1"/>
    <col min="5897" max="6142" width="8.85546875" style="1"/>
    <col min="6143" max="6143" width="2.28515625" style="1" customWidth="1"/>
    <col min="6144" max="6144" width="11.85546875" style="1" customWidth="1"/>
    <col min="6145" max="6145" width="13.28515625" style="1" customWidth="1"/>
    <col min="6146" max="6146" width="8.140625" style="1" bestFit="1" customWidth="1"/>
    <col min="6147" max="6147" width="4.7109375" style="1" bestFit="1" customWidth="1"/>
    <col min="6148" max="6148" width="10.5703125" style="1" bestFit="1" customWidth="1"/>
    <col min="6149" max="6149" width="8.85546875" style="1" customWidth="1"/>
    <col min="6150" max="6150" width="13.28515625" style="1" bestFit="1" customWidth="1"/>
    <col min="6151" max="6151" width="10.28515625" style="1" customWidth="1"/>
    <col min="6152" max="6152" width="11.28515625" style="1" customWidth="1"/>
    <col min="6153" max="6398" width="8.85546875" style="1"/>
    <col min="6399" max="6399" width="2.28515625" style="1" customWidth="1"/>
    <col min="6400" max="6400" width="11.85546875" style="1" customWidth="1"/>
    <col min="6401" max="6401" width="13.28515625" style="1" customWidth="1"/>
    <col min="6402" max="6402" width="8.140625" style="1" bestFit="1" customWidth="1"/>
    <col min="6403" max="6403" width="4.7109375" style="1" bestFit="1" customWidth="1"/>
    <col min="6404" max="6404" width="10.5703125" style="1" bestFit="1" customWidth="1"/>
    <col min="6405" max="6405" width="8.85546875" style="1" customWidth="1"/>
    <col min="6406" max="6406" width="13.28515625" style="1" bestFit="1" customWidth="1"/>
    <col min="6407" max="6407" width="10.28515625" style="1" customWidth="1"/>
    <col min="6408" max="6408" width="11.28515625" style="1" customWidth="1"/>
    <col min="6409" max="6654" width="8.85546875" style="1"/>
    <col min="6655" max="6655" width="2.28515625" style="1" customWidth="1"/>
    <col min="6656" max="6656" width="11.85546875" style="1" customWidth="1"/>
    <col min="6657" max="6657" width="13.28515625" style="1" customWidth="1"/>
    <col min="6658" max="6658" width="8.140625" style="1" bestFit="1" customWidth="1"/>
    <col min="6659" max="6659" width="4.7109375" style="1" bestFit="1" customWidth="1"/>
    <col min="6660" max="6660" width="10.5703125" style="1" bestFit="1" customWidth="1"/>
    <col min="6661" max="6661" width="8.85546875" style="1" customWidth="1"/>
    <col min="6662" max="6662" width="13.28515625" style="1" bestFit="1" customWidth="1"/>
    <col min="6663" max="6663" width="10.28515625" style="1" customWidth="1"/>
    <col min="6664" max="6664" width="11.28515625" style="1" customWidth="1"/>
    <col min="6665" max="6910" width="8.85546875" style="1"/>
    <col min="6911" max="6911" width="2.28515625" style="1" customWidth="1"/>
    <col min="6912" max="6912" width="11.85546875" style="1" customWidth="1"/>
    <col min="6913" max="6913" width="13.28515625" style="1" customWidth="1"/>
    <col min="6914" max="6914" width="8.140625" style="1" bestFit="1" customWidth="1"/>
    <col min="6915" max="6915" width="4.7109375" style="1" bestFit="1" customWidth="1"/>
    <col min="6916" max="6916" width="10.5703125" style="1" bestFit="1" customWidth="1"/>
    <col min="6917" max="6917" width="8.85546875" style="1" customWidth="1"/>
    <col min="6918" max="6918" width="13.28515625" style="1" bestFit="1" customWidth="1"/>
    <col min="6919" max="6919" width="10.28515625" style="1" customWidth="1"/>
    <col min="6920" max="6920" width="11.28515625" style="1" customWidth="1"/>
    <col min="6921" max="7166" width="8.85546875" style="1"/>
    <col min="7167" max="7167" width="2.28515625" style="1" customWidth="1"/>
    <col min="7168" max="7168" width="11.85546875" style="1" customWidth="1"/>
    <col min="7169" max="7169" width="13.28515625" style="1" customWidth="1"/>
    <col min="7170" max="7170" width="8.140625" style="1" bestFit="1" customWidth="1"/>
    <col min="7171" max="7171" width="4.7109375" style="1" bestFit="1" customWidth="1"/>
    <col min="7172" max="7172" width="10.5703125" style="1" bestFit="1" customWidth="1"/>
    <col min="7173" max="7173" width="8.85546875" style="1" customWidth="1"/>
    <col min="7174" max="7174" width="13.28515625" style="1" bestFit="1" customWidth="1"/>
    <col min="7175" max="7175" width="10.28515625" style="1" customWidth="1"/>
    <col min="7176" max="7176" width="11.28515625" style="1" customWidth="1"/>
    <col min="7177" max="7422" width="8.85546875" style="1"/>
    <col min="7423" max="7423" width="2.28515625" style="1" customWidth="1"/>
    <col min="7424" max="7424" width="11.85546875" style="1" customWidth="1"/>
    <col min="7425" max="7425" width="13.28515625" style="1" customWidth="1"/>
    <col min="7426" max="7426" width="8.140625" style="1" bestFit="1" customWidth="1"/>
    <col min="7427" max="7427" width="4.7109375" style="1" bestFit="1" customWidth="1"/>
    <col min="7428" max="7428" width="10.5703125" style="1" bestFit="1" customWidth="1"/>
    <col min="7429" max="7429" width="8.85546875" style="1" customWidth="1"/>
    <col min="7430" max="7430" width="13.28515625" style="1" bestFit="1" customWidth="1"/>
    <col min="7431" max="7431" width="10.28515625" style="1" customWidth="1"/>
    <col min="7432" max="7432" width="11.28515625" style="1" customWidth="1"/>
    <col min="7433" max="7678" width="8.85546875" style="1"/>
    <col min="7679" max="7679" width="2.28515625" style="1" customWidth="1"/>
    <col min="7680" max="7680" width="11.85546875" style="1" customWidth="1"/>
    <col min="7681" max="7681" width="13.28515625" style="1" customWidth="1"/>
    <col min="7682" max="7682" width="8.140625" style="1" bestFit="1" customWidth="1"/>
    <col min="7683" max="7683" width="4.7109375" style="1" bestFit="1" customWidth="1"/>
    <col min="7684" max="7684" width="10.5703125" style="1" bestFit="1" customWidth="1"/>
    <col min="7685" max="7685" width="8.85546875" style="1" customWidth="1"/>
    <col min="7686" max="7686" width="13.28515625" style="1" bestFit="1" customWidth="1"/>
    <col min="7687" max="7687" width="10.28515625" style="1" customWidth="1"/>
    <col min="7688" max="7688" width="11.28515625" style="1" customWidth="1"/>
    <col min="7689" max="7934" width="8.85546875" style="1"/>
    <col min="7935" max="7935" width="2.28515625" style="1" customWidth="1"/>
    <col min="7936" max="7936" width="11.85546875" style="1" customWidth="1"/>
    <col min="7937" max="7937" width="13.28515625" style="1" customWidth="1"/>
    <col min="7938" max="7938" width="8.140625" style="1" bestFit="1" customWidth="1"/>
    <col min="7939" max="7939" width="4.7109375" style="1" bestFit="1" customWidth="1"/>
    <col min="7940" max="7940" width="10.5703125" style="1" bestFit="1" customWidth="1"/>
    <col min="7941" max="7941" width="8.85546875" style="1" customWidth="1"/>
    <col min="7942" max="7942" width="13.28515625" style="1" bestFit="1" customWidth="1"/>
    <col min="7943" max="7943" width="10.28515625" style="1" customWidth="1"/>
    <col min="7944" max="7944" width="11.28515625" style="1" customWidth="1"/>
    <col min="7945" max="8190" width="8.85546875" style="1"/>
    <col min="8191" max="8191" width="2.28515625" style="1" customWidth="1"/>
    <col min="8192" max="8192" width="11.85546875" style="1" customWidth="1"/>
    <col min="8193" max="8193" width="13.28515625" style="1" customWidth="1"/>
    <col min="8194" max="8194" width="8.140625" style="1" bestFit="1" customWidth="1"/>
    <col min="8195" max="8195" width="4.7109375" style="1" bestFit="1" customWidth="1"/>
    <col min="8196" max="8196" width="10.5703125" style="1" bestFit="1" customWidth="1"/>
    <col min="8197" max="8197" width="8.85546875" style="1" customWidth="1"/>
    <col min="8198" max="8198" width="13.28515625" style="1" bestFit="1" customWidth="1"/>
    <col min="8199" max="8199" width="10.28515625" style="1" customWidth="1"/>
    <col min="8200" max="8200" width="11.28515625" style="1" customWidth="1"/>
    <col min="8201" max="8446" width="8.85546875" style="1"/>
    <col min="8447" max="8447" width="2.28515625" style="1" customWidth="1"/>
    <col min="8448" max="8448" width="11.85546875" style="1" customWidth="1"/>
    <col min="8449" max="8449" width="13.28515625" style="1" customWidth="1"/>
    <col min="8450" max="8450" width="8.140625" style="1" bestFit="1" customWidth="1"/>
    <col min="8451" max="8451" width="4.7109375" style="1" bestFit="1" customWidth="1"/>
    <col min="8452" max="8452" width="10.5703125" style="1" bestFit="1" customWidth="1"/>
    <col min="8453" max="8453" width="8.85546875" style="1" customWidth="1"/>
    <col min="8454" max="8454" width="13.28515625" style="1" bestFit="1" customWidth="1"/>
    <col min="8455" max="8455" width="10.28515625" style="1" customWidth="1"/>
    <col min="8456" max="8456" width="11.28515625" style="1" customWidth="1"/>
    <col min="8457" max="8702" width="8.85546875" style="1"/>
    <col min="8703" max="8703" width="2.28515625" style="1" customWidth="1"/>
    <col min="8704" max="8704" width="11.85546875" style="1" customWidth="1"/>
    <col min="8705" max="8705" width="13.28515625" style="1" customWidth="1"/>
    <col min="8706" max="8706" width="8.140625" style="1" bestFit="1" customWidth="1"/>
    <col min="8707" max="8707" width="4.7109375" style="1" bestFit="1" customWidth="1"/>
    <col min="8708" max="8708" width="10.5703125" style="1" bestFit="1" customWidth="1"/>
    <col min="8709" max="8709" width="8.85546875" style="1" customWidth="1"/>
    <col min="8710" max="8710" width="13.28515625" style="1" bestFit="1" customWidth="1"/>
    <col min="8711" max="8711" width="10.28515625" style="1" customWidth="1"/>
    <col min="8712" max="8712" width="11.28515625" style="1" customWidth="1"/>
    <col min="8713" max="8958" width="8.85546875" style="1"/>
    <col min="8959" max="8959" width="2.28515625" style="1" customWidth="1"/>
    <col min="8960" max="8960" width="11.85546875" style="1" customWidth="1"/>
    <col min="8961" max="8961" width="13.28515625" style="1" customWidth="1"/>
    <col min="8962" max="8962" width="8.140625" style="1" bestFit="1" customWidth="1"/>
    <col min="8963" max="8963" width="4.7109375" style="1" bestFit="1" customWidth="1"/>
    <col min="8964" max="8964" width="10.5703125" style="1" bestFit="1" customWidth="1"/>
    <col min="8965" max="8965" width="8.85546875" style="1" customWidth="1"/>
    <col min="8966" max="8966" width="13.28515625" style="1" bestFit="1" customWidth="1"/>
    <col min="8967" max="8967" width="10.28515625" style="1" customWidth="1"/>
    <col min="8968" max="8968" width="11.28515625" style="1" customWidth="1"/>
    <col min="8969" max="9214" width="8.85546875" style="1"/>
    <col min="9215" max="9215" width="2.28515625" style="1" customWidth="1"/>
    <col min="9216" max="9216" width="11.85546875" style="1" customWidth="1"/>
    <col min="9217" max="9217" width="13.28515625" style="1" customWidth="1"/>
    <col min="9218" max="9218" width="8.140625" style="1" bestFit="1" customWidth="1"/>
    <col min="9219" max="9219" width="4.7109375" style="1" bestFit="1" customWidth="1"/>
    <col min="9220" max="9220" width="10.5703125" style="1" bestFit="1" customWidth="1"/>
    <col min="9221" max="9221" width="8.85546875" style="1" customWidth="1"/>
    <col min="9222" max="9222" width="13.28515625" style="1" bestFit="1" customWidth="1"/>
    <col min="9223" max="9223" width="10.28515625" style="1" customWidth="1"/>
    <col min="9224" max="9224" width="11.28515625" style="1" customWidth="1"/>
    <col min="9225" max="9470" width="8.85546875" style="1"/>
    <col min="9471" max="9471" width="2.28515625" style="1" customWidth="1"/>
    <col min="9472" max="9472" width="11.85546875" style="1" customWidth="1"/>
    <col min="9473" max="9473" width="13.28515625" style="1" customWidth="1"/>
    <col min="9474" max="9474" width="8.140625" style="1" bestFit="1" customWidth="1"/>
    <col min="9475" max="9475" width="4.7109375" style="1" bestFit="1" customWidth="1"/>
    <col min="9476" max="9476" width="10.5703125" style="1" bestFit="1" customWidth="1"/>
    <col min="9477" max="9477" width="8.85546875" style="1" customWidth="1"/>
    <col min="9478" max="9478" width="13.28515625" style="1" bestFit="1" customWidth="1"/>
    <col min="9479" max="9479" width="10.28515625" style="1" customWidth="1"/>
    <col min="9480" max="9480" width="11.28515625" style="1" customWidth="1"/>
    <col min="9481" max="9726" width="8.85546875" style="1"/>
    <col min="9727" max="9727" width="2.28515625" style="1" customWidth="1"/>
    <col min="9728" max="9728" width="11.85546875" style="1" customWidth="1"/>
    <col min="9729" max="9729" width="13.28515625" style="1" customWidth="1"/>
    <col min="9730" max="9730" width="8.140625" style="1" bestFit="1" customWidth="1"/>
    <col min="9731" max="9731" width="4.7109375" style="1" bestFit="1" customWidth="1"/>
    <col min="9732" max="9732" width="10.5703125" style="1" bestFit="1" customWidth="1"/>
    <col min="9733" max="9733" width="8.85546875" style="1" customWidth="1"/>
    <col min="9734" max="9734" width="13.28515625" style="1" bestFit="1" customWidth="1"/>
    <col min="9735" max="9735" width="10.28515625" style="1" customWidth="1"/>
    <col min="9736" max="9736" width="11.28515625" style="1" customWidth="1"/>
    <col min="9737" max="9982" width="8.85546875" style="1"/>
    <col min="9983" max="9983" width="2.28515625" style="1" customWidth="1"/>
    <col min="9984" max="9984" width="11.85546875" style="1" customWidth="1"/>
    <col min="9985" max="9985" width="13.28515625" style="1" customWidth="1"/>
    <col min="9986" max="9986" width="8.140625" style="1" bestFit="1" customWidth="1"/>
    <col min="9987" max="9987" width="4.7109375" style="1" bestFit="1" customWidth="1"/>
    <col min="9988" max="9988" width="10.5703125" style="1" bestFit="1" customWidth="1"/>
    <col min="9989" max="9989" width="8.85546875" style="1" customWidth="1"/>
    <col min="9990" max="9990" width="13.28515625" style="1" bestFit="1" customWidth="1"/>
    <col min="9991" max="9991" width="10.28515625" style="1" customWidth="1"/>
    <col min="9992" max="9992" width="11.28515625" style="1" customWidth="1"/>
    <col min="9993" max="10238" width="8.85546875" style="1"/>
    <col min="10239" max="10239" width="2.28515625" style="1" customWidth="1"/>
    <col min="10240" max="10240" width="11.85546875" style="1" customWidth="1"/>
    <col min="10241" max="10241" width="13.28515625" style="1" customWidth="1"/>
    <col min="10242" max="10242" width="8.140625" style="1" bestFit="1" customWidth="1"/>
    <col min="10243" max="10243" width="4.7109375" style="1" bestFit="1" customWidth="1"/>
    <col min="10244" max="10244" width="10.5703125" style="1" bestFit="1" customWidth="1"/>
    <col min="10245" max="10245" width="8.85546875" style="1" customWidth="1"/>
    <col min="10246" max="10246" width="13.28515625" style="1" bestFit="1" customWidth="1"/>
    <col min="10247" max="10247" width="10.28515625" style="1" customWidth="1"/>
    <col min="10248" max="10248" width="11.28515625" style="1" customWidth="1"/>
    <col min="10249" max="10494" width="8.85546875" style="1"/>
    <col min="10495" max="10495" width="2.28515625" style="1" customWidth="1"/>
    <col min="10496" max="10496" width="11.85546875" style="1" customWidth="1"/>
    <col min="10497" max="10497" width="13.28515625" style="1" customWidth="1"/>
    <col min="10498" max="10498" width="8.140625" style="1" bestFit="1" customWidth="1"/>
    <col min="10499" max="10499" width="4.7109375" style="1" bestFit="1" customWidth="1"/>
    <col min="10500" max="10500" width="10.5703125" style="1" bestFit="1" customWidth="1"/>
    <col min="10501" max="10501" width="8.85546875" style="1" customWidth="1"/>
    <col min="10502" max="10502" width="13.28515625" style="1" bestFit="1" customWidth="1"/>
    <col min="10503" max="10503" width="10.28515625" style="1" customWidth="1"/>
    <col min="10504" max="10504" width="11.28515625" style="1" customWidth="1"/>
    <col min="10505" max="10750" width="8.85546875" style="1"/>
    <col min="10751" max="10751" width="2.28515625" style="1" customWidth="1"/>
    <col min="10752" max="10752" width="11.85546875" style="1" customWidth="1"/>
    <col min="10753" max="10753" width="13.28515625" style="1" customWidth="1"/>
    <col min="10754" max="10754" width="8.140625" style="1" bestFit="1" customWidth="1"/>
    <col min="10755" max="10755" width="4.7109375" style="1" bestFit="1" customWidth="1"/>
    <col min="10756" max="10756" width="10.5703125" style="1" bestFit="1" customWidth="1"/>
    <col min="10757" max="10757" width="8.85546875" style="1" customWidth="1"/>
    <col min="10758" max="10758" width="13.28515625" style="1" bestFit="1" customWidth="1"/>
    <col min="10759" max="10759" width="10.28515625" style="1" customWidth="1"/>
    <col min="10760" max="10760" width="11.28515625" style="1" customWidth="1"/>
    <col min="10761" max="11006" width="8.85546875" style="1"/>
    <col min="11007" max="11007" width="2.28515625" style="1" customWidth="1"/>
    <col min="11008" max="11008" width="11.85546875" style="1" customWidth="1"/>
    <col min="11009" max="11009" width="13.28515625" style="1" customWidth="1"/>
    <col min="11010" max="11010" width="8.140625" style="1" bestFit="1" customWidth="1"/>
    <col min="11011" max="11011" width="4.7109375" style="1" bestFit="1" customWidth="1"/>
    <col min="11012" max="11012" width="10.5703125" style="1" bestFit="1" customWidth="1"/>
    <col min="11013" max="11013" width="8.85546875" style="1" customWidth="1"/>
    <col min="11014" max="11014" width="13.28515625" style="1" bestFit="1" customWidth="1"/>
    <col min="11015" max="11015" width="10.28515625" style="1" customWidth="1"/>
    <col min="11016" max="11016" width="11.28515625" style="1" customWidth="1"/>
    <col min="11017" max="11262" width="8.85546875" style="1"/>
    <col min="11263" max="11263" width="2.28515625" style="1" customWidth="1"/>
    <col min="11264" max="11264" width="11.85546875" style="1" customWidth="1"/>
    <col min="11265" max="11265" width="13.28515625" style="1" customWidth="1"/>
    <col min="11266" max="11266" width="8.140625" style="1" bestFit="1" customWidth="1"/>
    <col min="11267" max="11267" width="4.7109375" style="1" bestFit="1" customWidth="1"/>
    <col min="11268" max="11268" width="10.5703125" style="1" bestFit="1" customWidth="1"/>
    <col min="11269" max="11269" width="8.85546875" style="1" customWidth="1"/>
    <col min="11270" max="11270" width="13.28515625" style="1" bestFit="1" customWidth="1"/>
    <col min="11271" max="11271" width="10.28515625" style="1" customWidth="1"/>
    <col min="11272" max="11272" width="11.28515625" style="1" customWidth="1"/>
    <col min="11273" max="11518" width="8.85546875" style="1"/>
    <col min="11519" max="11519" width="2.28515625" style="1" customWidth="1"/>
    <col min="11520" max="11520" width="11.85546875" style="1" customWidth="1"/>
    <col min="11521" max="11521" width="13.28515625" style="1" customWidth="1"/>
    <col min="11522" max="11522" width="8.140625" style="1" bestFit="1" customWidth="1"/>
    <col min="11523" max="11523" width="4.7109375" style="1" bestFit="1" customWidth="1"/>
    <col min="11524" max="11524" width="10.5703125" style="1" bestFit="1" customWidth="1"/>
    <col min="11525" max="11525" width="8.85546875" style="1" customWidth="1"/>
    <col min="11526" max="11526" width="13.28515625" style="1" bestFit="1" customWidth="1"/>
    <col min="11527" max="11527" width="10.28515625" style="1" customWidth="1"/>
    <col min="11528" max="11528" width="11.28515625" style="1" customWidth="1"/>
    <col min="11529" max="11774" width="8.85546875" style="1"/>
    <col min="11775" max="11775" width="2.28515625" style="1" customWidth="1"/>
    <col min="11776" max="11776" width="11.85546875" style="1" customWidth="1"/>
    <col min="11777" max="11777" width="13.28515625" style="1" customWidth="1"/>
    <col min="11778" max="11778" width="8.140625" style="1" bestFit="1" customWidth="1"/>
    <col min="11779" max="11779" width="4.7109375" style="1" bestFit="1" customWidth="1"/>
    <col min="11780" max="11780" width="10.5703125" style="1" bestFit="1" customWidth="1"/>
    <col min="11781" max="11781" width="8.85546875" style="1" customWidth="1"/>
    <col min="11782" max="11782" width="13.28515625" style="1" bestFit="1" customWidth="1"/>
    <col min="11783" max="11783" width="10.28515625" style="1" customWidth="1"/>
    <col min="11784" max="11784" width="11.28515625" style="1" customWidth="1"/>
    <col min="11785" max="12030" width="8.85546875" style="1"/>
    <col min="12031" max="12031" width="2.28515625" style="1" customWidth="1"/>
    <col min="12032" max="12032" width="11.85546875" style="1" customWidth="1"/>
    <col min="12033" max="12033" width="13.28515625" style="1" customWidth="1"/>
    <col min="12034" max="12034" width="8.140625" style="1" bestFit="1" customWidth="1"/>
    <col min="12035" max="12035" width="4.7109375" style="1" bestFit="1" customWidth="1"/>
    <col min="12036" max="12036" width="10.5703125" style="1" bestFit="1" customWidth="1"/>
    <col min="12037" max="12037" width="8.85546875" style="1" customWidth="1"/>
    <col min="12038" max="12038" width="13.28515625" style="1" bestFit="1" customWidth="1"/>
    <col min="12039" max="12039" width="10.28515625" style="1" customWidth="1"/>
    <col min="12040" max="12040" width="11.28515625" style="1" customWidth="1"/>
    <col min="12041" max="12286" width="8.85546875" style="1"/>
    <col min="12287" max="12287" width="2.28515625" style="1" customWidth="1"/>
    <col min="12288" max="12288" width="11.85546875" style="1" customWidth="1"/>
    <col min="12289" max="12289" width="13.28515625" style="1" customWidth="1"/>
    <col min="12290" max="12290" width="8.140625" style="1" bestFit="1" customWidth="1"/>
    <col min="12291" max="12291" width="4.7109375" style="1" bestFit="1" customWidth="1"/>
    <col min="12292" max="12292" width="10.5703125" style="1" bestFit="1" customWidth="1"/>
    <col min="12293" max="12293" width="8.85546875" style="1" customWidth="1"/>
    <col min="12294" max="12294" width="13.28515625" style="1" bestFit="1" customWidth="1"/>
    <col min="12295" max="12295" width="10.28515625" style="1" customWidth="1"/>
    <col min="12296" max="12296" width="11.28515625" style="1" customWidth="1"/>
    <col min="12297" max="12542" width="8.85546875" style="1"/>
    <col min="12543" max="12543" width="2.28515625" style="1" customWidth="1"/>
    <col min="12544" max="12544" width="11.85546875" style="1" customWidth="1"/>
    <col min="12545" max="12545" width="13.28515625" style="1" customWidth="1"/>
    <col min="12546" max="12546" width="8.140625" style="1" bestFit="1" customWidth="1"/>
    <col min="12547" max="12547" width="4.7109375" style="1" bestFit="1" customWidth="1"/>
    <col min="12548" max="12548" width="10.5703125" style="1" bestFit="1" customWidth="1"/>
    <col min="12549" max="12549" width="8.85546875" style="1" customWidth="1"/>
    <col min="12550" max="12550" width="13.28515625" style="1" bestFit="1" customWidth="1"/>
    <col min="12551" max="12551" width="10.28515625" style="1" customWidth="1"/>
    <col min="12552" max="12552" width="11.28515625" style="1" customWidth="1"/>
    <col min="12553" max="12798" width="8.85546875" style="1"/>
    <col min="12799" max="12799" width="2.28515625" style="1" customWidth="1"/>
    <col min="12800" max="12800" width="11.85546875" style="1" customWidth="1"/>
    <col min="12801" max="12801" width="13.28515625" style="1" customWidth="1"/>
    <col min="12802" max="12802" width="8.140625" style="1" bestFit="1" customWidth="1"/>
    <col min="12803" max="12803" width="4.7109375" style="1" bestFit="1" customWidth="1"/>
    <col min="12804" max="12804" width="10.5703125" style="1" bestFit="1" customWidth="1"/>
    <col min="12805" max="12805" width="8.85546875" style="1" customWidth="1"/>
    <col min="12806" max="12806" width="13.28515625" style="1" bestFit="1" customWidth="1"/>
    <col min="12807" max="12807" width="10.28515625" style="1" customWidth="1"/>
    <col min="12808" max="12808" width="11.28515625" style="1" customWidth="1"/>
    <col min="12809" max="13054" width="8.85546875" style="1"/>
    <col min="13055" max="13055" width="2.28515625" style="1" customWidth="1"/>
    <col min="13056" max="13056" width="11.85546875" style="1" customWidth="1"/>
    <col min="13057" max="13057" width="13.28515625" style="1" customWidth="1"/>
    <col min="13058" max="13058" width="8.140625" style="1" bestFit="1" customWidth="1"/>
    <col min="13059" max="13059" width="4.7109375" style="1" bestFit="1" customWidth="1"/>
    <col min="13060" max="13060" width="10.5703125" style="1" bestFit="1" customWidth="1"/>
    <col min="13061" max="13061" width="8.85546875" style="1" customWidth="1"/>
    <col min="13062" max="13062" width="13.28515625" style="1" bestFit="1" customWidth="1"/>
    <col min="13063" max="13063" width="10.28515625" style="1" customWidth="1"/>
    <col min="13064" max="13064" width="11.28515625" style="1" customWidth="1"/>
    <col min="13065" max="13310" width="8.85546875" style="1"/>
    <col min="13311" max="13311" width="2.28515625" style="1" customWidth="1"/>
    <col min="13312" max="13312" width="11.85546875" style="1" customWidth="1"/>
    <col min="13313" max="13313" width="13.28515625" style="1" customWidth="1"/>
    <col min="13314" max="13314" width="8.140625" style="1" bestFit="1" customWidth="1"/>
    <col min="13315" max="13315" width="4.7109375" style="1" bestFit="1" customWidth="1"/>
    <col min="13316" max="13316" width="10.5703125" style="1" bestFit="1" customWidth="1"/>
    <col min="13317" max="13317" width="8.85546875" style="1" customWidth="1"/>
    <col min="13318" max="13318" width="13.28515625" style="1" bestFit="1" customWidth="1"/>
    <col min="13319" max="13319" width="10.28515625" style="1" customWidth="1"/>
    <col min="13320" max="13320" width="11.28515625" style="1" customWidth="1"/>
    <col min="13321" max="13566" width="8.85546875" style="1"/>
    <col min="13567" max="13567" width="2.28515625" style="1" customWidth="1"/>
    <col min="13568" max="13568" width="11.85546875" style="1" customWidth="1"/>
    <col min="13569" max="13569" width="13.28515625" style="1" customWidth="1"/>
    <col min="13570" max="13570" width="8.140625" style="1" bestFit="1" customWidth="1"/>
    <col min="13571" max="13571" width="4.7109375" style="1" bestFit="1" customWidth="1"/>
    <col min="13572" max="13572" width="10.5703125" style="1" bestFit="1" customWidth="1"/>
    <col min="13573" max="13573" width="8.85546875" style="1" customWidth="1"/>
    <col min="13574" max="13574" width="13.28515625" style="1" bestFit="1" customWidth="1"/>
    <col min="13575" max="13575" width="10.28515625" style="1" customWidth="1"/>
    <col min="13576" max="13576" width="11.28515625" style="1" customWidth="1"/>
    <col min="13577" max="13822" width="8.85546875" style="1"/>
    <col min="13823" max="13823" width="2.28515625" style="1" customWidth="1"/>
    <col min="13824" max="13824" width="11.85546875" style="1" customWidth="1"/>
    <col min="13825" max="13825" width="13.28515625" style="1" customWidth="1"/>
    <col min="13826" max="13826" width="8.140625" style="1" bestFit="1" customWidth="1"/>
    <col min="13827" max="13827" width="4.7109375" style="1" bestFit="1" customWidth="1"/>
    <col min="13828" max="13828" width="10.5703125" style="1" bestFit="1" customWidth="1"/>
    <col min="13829" max="13829" width="8.85546875" style="1" customWidth="1"/>
    <col min="13830" max="13830" width="13.28515625" style="1" bestFit="1" customWidth="1"/>
    <col min="13831" max="13831" width="10.28515625" style="1" customWidth="1"/>
    <col min="13832" max="13832" width="11.28515625" style="1" customWidth="1"/>
    <col min="13833" max="14078" width="8.85546875" style="1"/>
    <col min="14079" max="14079" width="2.28515625" style="1" customWidth="1"/>
    <col min="14080" max="14080" width="11.85546875" style="1" customWidth="1"/>
    <col min="14081" max="14081" width="13.28515625" style="1" customWidth="1"/>
    <col min="14082" max="14082" width="8.140625" style="1" bestFit="1" customWidth="1"/>
    <col min="14083" max="14083" width="4.7109375" style="1" bestFit="1" customWidth="1"/>
    <col min="14084" max="14084" width="10.5703125" style="1" bestFit="1" customWidth="1"/>
    <col min="14085" max="14085" width="8.85546875" style="1" customWidth="1"/>
    <col min="14086" max="14086" width="13.28515625" style="1" bestFit="1" customWidth="1"/>
    <col min="14087" max="14087" width="10.28515625" style="1" customWidth="1"/>
    <col min="14088" max="14088" width="11.28515625" style="1" customWidth="1"/>
    <col min="14089" max="14334" width="8.85546875" style="1"/>
    <col min="14335" max="14335" width="2.28515625" style="1" customWidth="1"/>
    <col min="14336" max="14336" width="11.85546875" style="1" customWidth="1"/>
    <col min="14337" max="14337" width="13.28515625" style="1" customWidth="1"/>
    <col min="14338" max="14338" width="8.140625" style="1" bestFit="1" customWidth="1"/>
    <col min="14339" max="14339" width="4.7109375" style="1" bestFit="1" customWidth="1"/>
    <col min="14340" max="14340" width="10.5703125" style="1" bestFit="1" customWidth="1"/>
    <col min="14341" max="14341" width="8.85546875" style="1" customWidth="1"/>
    <col min="14342" max="14342" width="13.28515625" style="1" bestFit="1" customWidth="1"/>
    <col min="14343" max="14343" width="10.28515625" style="1" customWidth="1"/>
    <col min="14344" max="14344" width="11.28515625" style="1" customWidth="1"/>
    <col min="14345" max="14590" width="8.85546875" style="1"/>
    <col min="14591" max="14591" width="2.28515625" style="1" customWidth="1"/>
    <col min="14592" max="14592" width="11.85546875" style="1" customWidth="1"/>
    <col min="14593" max="14593" width="13.28515625" style="1" customWidth="1"/>
    <col min="14594" max="14594" width="8.140625" style="1" bestFit="1" customWidth="1"/>
    <col min="14595" max="14595" width="4.7109375" style="1" bestFit="1" customWidth="1"/>
    <col min="14596" max="14596" width="10.5703125" style="1" bestFit="1" customWidth="1"/>
    <col min="14597" max="14597" width="8.85546875" style="1" customWidth="1"/>
    <col min="14598" max="14598" width="13.28515625" style="1" bestFit="1" customWidth="1"/>
    <col min="14599" max="14599" width="10.28515625" style="1" customWidth="1"/>
    <col min="14600" max="14600" width="11.28515625" style="1" customWidth="1"/>
    <col min="14601" max="14846" width="8.85546875" style="1"/>
    <col min="14847" max="14847" width="2.28515625" style="1" customWidth="1"/>
    <col min="14848" max="14848" width="11.85546875" style="1" customWidth="1"/>
    <col min="14849" max="14849" width="13.28515625" style="1" customWidth="1"/>
    <col min="14850" max="14850" width="8.140625" style="1" bestFit="1" customWidth="1"/>
    <col min="14851" max="14851" width="4.7109375" style="1" bestFit="1" customWidth="1"/>
    <col min="14852" max="14852" width="10.5703125" style="1" bestFit="1" customWidth="1"/>
    <col min="14853" max="14853" width="8.85546875" style="1" customWidth="1"/>
    <col min="14854" max="14854" width="13.28515625" style="1" bestFit="1" customWidth="1"/>
    <col min="14855" max="14855" width="10.28515625" style="1" customWidth="1"/>
    <col min="14856" max="14856" width="11.28515625" style="1" customWidth="1"/>
    <col min="14857" max="15102" width="8.85546875" style="1"/>
    <col min="15103" max="15103" width="2.28515625" style="1" customWidth="1"/>
    <col min="15104" max="15104" width="11.85546875" style="1" customWidth="1"/>
    <col min="15105" max="15105" width="13.28515625" style="1" customWidth="1"/>
    <col min="15106" max="15106" width="8.140625" style="1" bestFit="1" customWidth="1"/>
    <col min="15107" max="15107" width="4.7109375" style="1" bestFit="1" customWidth="1"/>
    <col min="15108" max="15108" width="10.5703125" style="1" bestFit="1" customWidth="1"/>
    <col min="15109" max="15109" width="8.85546875" style="1" customWidth="1"/>
    <col min="15110" max="15110" width="13.28515625" style="1" bestFit="1" customWidth="1"/>
    <col min="15111" max="15111" width="10.28515625" style="1" customWidth="1"/>
    <col min="15112" max="15112" width="11.28515625" style="1" customWidth="1"/>
    <col min="15113" max="15358" width="8.85546875" style="1"/>
    <col min="15359" max="15359" width="2.28515625" style="1" customWidth="1"/>
    <col min="15360" max="15360" width="11.85546875" style="1" customWidth="1"/>
    <col min="15361" max="15361" width="13.28515625" style="1" customWidth="1"/>
    <col min="15362" max="15362" width="8.140625" style="1" bestFit="1" customWidth="1"/>
    <col min="15363" max="15363" width="4.7109375" style="1" bestFit="1" customWidth="1"/>
    <col min="15364" max="15364" width="10.5703125" style="1" bestFit="1" customWidth="1"/>
    <col min="15365" max="15365" width="8.85546875" style="1" customWidth="1"/>
    <col min="15366" max="15366" width="13.28515625" style="1" bestFit="1" customWidth="1"/>
    <col min="15367" max="15367" width="10.28515625" style="1" customWidth="1"/>
    <col min="15368" max="15368" width="11.28515625" style="1" customWidth="1"/>
    <col min="15369" max="15614" width="8.85546875" style="1"/>
    <col min="15615" max="15615" width="2.28515625" style="1" customWidth="1"/>
    <col min="15616" max="15616" width="11.85546875" style="1" customWidth="1"/>
    <col min="15617" max="15617" width="13.28515625" style="1" customWidth="1"/>
    <col min="15618" max="15618" width="8.140625" style="1" bestFit="1" customWidth="1"/>
    <col min="15619" max="15619" width="4.7109375" style="1" bestFit="1" customWidth="1"/>
    <col min="15620" max="15620" width="10.5703125" style="1" bestFit="1" customWidth="1"/>
    <col min="15621" max="15621" width="8.85546875" style="1" customWidth="1"/>
    <col min="15622" max="15622" width="13.28515625" style="1" bestFit="1" customWidth="1"/>
    <col min="15623" max="15623" width="10.28515625" style="1" customWidth="1"/>
    <col min="15624" max="15624" width="11.28515625" style="1" customWidth="1"/>
    <col min="15625" max="15870" width="8.85546875" style="1"/>
    <col min="15871" max="15871" width="2.28515625" style="1" customWidth="1"/>
    <col min="15872" max="15872" width="11.85546875" style="1" customWidth="1"/>
    <col min="15873" max="15873" width="13.28515625" style="1" customWidth="1"/>
    <col min="15874" max="15874" width="8.140625" style="1" bestFit="1" customWidth="1"/>
    <col min="15875" max="15875" width="4.7109375" style="1" bestFit="1" customWidth="1"/>
    <col min="15876" max="15876" width="10.5703125" style="1" bestFit="1" customWidth="1"/>
    <col min="15877" max="15877" width="8.85546875" style="1" customWidth="1"/>
    <col min="15878" max="15878" width="13.28515625" style="1" bestFit="1" customWidth="1"/>
    <col min="15879" max="15879" width="10.28515625" style="1" customWidth="1"/>
    <col min="15880" max="15880" width="11.28515625" style="1" customWidth="1"/>
    <col min="15881" max="16126" width="8.85546875" style="1"/>
    <col min="16127" max="16127" width="2.28515625" style="1" customWidth="1"/>
    <col min="16128" max="16128" width="11.85546875" style="1" customWidth="1"/>
    <col min="16129" max="16129" width="13.28515625" style="1" customWidth="1"/>
    <col min="16130" max="16130" width="8.140625" style="1" bestFit="1" customWidth="1"/>
    <col min="16131" max="16131" width="4.7109375" style="1" bestFit="1" customWidth="1"/>
    <col min="16132" max="16132" width="10.5703125" style="1" bestFit="1" customWidth="1"/>
    <col min="16133" max="16133" width="8.85546875" style="1" customWidth="1"/>
    <col min="16134" max="16134" width="13.28515625" style="1" bestFit="1" customWidth="1"/>
    <col min="16135" max="16135" width="10.28515625" style="1" customWidth="1"/>
    <col min="16136" max="16136" width="11.28515625" style="1" customWidth="1"/>
    <col min="16137" max="16384" width="8.85546875" style="1"/>
  </cols>
  <sheetData>
    <row r="1" spans="1:8">
      <c r="A1" s="17" t="str">
        <f>RevReqSummary!A1</f>
        <v>PacifiCorp General Rate Case UE-140617</v>
      </c>
      <c r="C1" s="23"/>
      <c r="F1" s="630"/>
      <c r="G1" s="42"/>
      <c r="H1" s="631"/>
    </row>
    <row r="2" spans="1:8">
      <c r="A2" s="17" t="str">
        <f>RevReqSummary!A2</f>
        <v>For The Twelve Months Ended December 2013 - Staff Revenue Requirement</v>
      </c>
      <c r="C2" s="23"/>
      <c r="F2" s="630"/>
      <c r="G2" s="632"/>
    </row>
    <row r="3" spans="1:8">
      <c r="A3" s="174" t="s">
        <v>1088</v>
      </c>
      <c r="C3" s="23"/>
      <c r="F3" s="630"/>
      <c r="G3" s="630"/>
      <c r="H3" s="633"/>
    </row>
    <row r="4" spans="1:8">
      <c r="A4" s="25" t="s">
        <v>644</v>
      </c>
      <c r="C4" s="23"/>
      <c r="F4" s="630"/>
      <c r="G4" s="630"/>
      <c r="H4" s="633"/>
    </row>
    <row r="5" spans="1:8">
      <c r="C5" s="23"/>
      <c r="G5" s="23"/>
    </row>
    <row r="6" spans="1:8">
      <c r="B6" s="23"/>
      <c r="C6" s="23"/>
      <c r="D6" s="23" t="s">
        <v>131</v>
      </c>
      <c r="E6" s="23"/>
      <c r="F6" s="23"/>
      <c r="G6" s="23" t="s">
        <v>236</v>
      </c>
    </row>
    <row r="7" spans="1:8">
      <c r="B7" s="26" t="s">
        <v>132</v>
      </c>
      <c r="C7" s="26" t="s">
        <v>660</v>
      </c>
      <c r="D7" s="26" t="s">
        <v>134</v>
      </c>
      <c r="E7" s="26" t="s">
        <v>135</v>
      </c>
      <c r="F7" s="26" t="s">
        <v>136</v>
      </c>
      <c r="G7" s="26" t="s">
        <v>137</v>
      </c>
      <c r="H7" s="26"/>
    </row>
    <row r="8" spans="1:8">
      <c r="A8" s="25" t="s">
        <v>218</v>
      </c>
      <c r="C8" s="23"/>
    </row>
    <row r="9" spans="1:8">
      <c r="A9" s="634" t="s">
        <v>751</v>
      </c>
      <c r="B9" s="23">
        <v>925</v>
      </c>
      <c r="C9" s="23" t="s">
        <v>140</v>
      </c>
      <c r="D9" s="635">
        <v>-2474315.3299999898</v>
      </c>
      <c r="E9" s="162" t="s">
        <v>130</v>
      </c>
      <c r="F9" s="457">
        <f>INDEX(WCAAllocations,IFERROR(MATCH(E9,WCAFactors,0),2),IFERROR(MATCH(E9,WCAStates,0),4))</f>
        <v>6.8539355270203509E-2</v>
      </c>
      <c r="G9" s="31">
        <f>+F9*D9</f>
        <v>-169587.97745338012</v>
      </c>
    </row>
    <row r="10" spans="1:8">
      <c r="A10" s="29" t="s">
        <v>370</v>
      </c>
      <c r="B10" s="30">
        <v>925</v>
      </c>
      <c r="C10" s="627" t="s">
        <v>140</v>
      </c>
      <c r="D10" s="636">
        <v>343657.26</v>
      </c>
      <c r="E10" s="30" t="s">
        <v>130</v>
      </c>
      <c r="F10" s="457">
        <f>INDEX(WCAAllocations,IFERROR(MATCH(E10,WCAFactors,0),2),IFERROR(MATCH(E10,WCAStates,0),4))</f>
        <v>6.8539355270203509E-2</v>
      </c>
      <c r="G10" s="31">
        <f>+F10*D10</f>
        <v>23554.0470343247</v>
      </c>
      <c r="H10" s="30"/>
    </row>
    <row r="11" spans="1:8">
      <c r="A11" s="29" t="s">
        <v>752</v>
      </c>
      <c r="B11" s="30">
        <v>925</v>
      </c>
      <c r="C11" s="627" t="s">
        <v>140</v>
      </c>
      <c r="D11" s="636">
        <v>4592978.8</v>
      </c>
      <c r="E11" s="30" t="s">
        <v>130</v>
      </c>
      <c r="F11" s="457">
        <f>INDEX(WCAAllocations,IFERROR(MATCH(E11,WCAFactors,0),2),IFERROR(MATCH(E11,WCAStates,0),4))</f>
        <v>6.8539355270203509E-2</v>
      </c>
      <c r="G11" s="31">
        <f>+F11*D11</f>
        <v>314799.805721713</v>
      </c>
      <c r="H11" s="30"/>
    </row>
    <row r="12" spans="1:8" ht="13.5" thickBot="1">
      <c r="A12" s="29" t="s">
        <v>272</v>
      </c>
      <c r="B12" s="30"/>
      <c r="C12" s="30"/>
      <c r="D12" s="637">
        <f>SUM(D9:D11)</f>
        <v>2462320.7300000098</v>
      </c>
      <c r="E12" s="30"/>
      <c r="F12" s="227"/>
      <c r="G12" s="637">
        <f>SUM(G9:G11)</f>
        <v>168765.87530265757</v>
      </c>
      <c r="H12" s="30"/>
    </row>
    <row r="13" spans="1:8" ht="13.5" thickTop="1">
      <c r="A13" s="638"/>
      <c r="B13" s="30"/>
      <c r="C13" s="30"/>
      <c r="D13" s="170"/>
      <c r="E13" s="30"/>
      <c r="F13" s="227"/>
      <c r="G13" s="156"/>
      <c r="H13" s="30"/>
    </row>
    <row r="14" spans="1:8">
      <c r="A14" s="25" t="s">
        <v>219</v>
      </c>
      <c r="B14" s="30"/>
      <c r="C14" s="627"/>
      <c r="D14" s="144"/>
      <c r="E14" s="30"/>
      <c r="F14" s="182"/>
      <c r="G14" s="31"/>
      <c r="H14" s="30"/>
    </row>
    <row r="15" spans="1:8">
      <c r="A15" s="29" t="s">
        <v>753</v>
      </c>
      <c r="B15" s="30" t="s">
        <v>181</v>
      </c>
      <c r="C15" s="30" t="s">
        <v>140</v>
      </c>
      <c r="D15" s="639">
        <v>-12931799.638749974</v>
      </c>
      <c r="E15" s="162" t="s">
        <v>130</v>
      </c>
      <c r="F15" s="457">
        <f>INDEX(WCAAllocations,IFERROR(MATCH(E15,WCAFactors,0),2),IFERROR(MATCH(E15,WCAStates,0),4))</f>
        <v>6.8539355270203509E-2</v>
      </c>
      <c r="G15" s="31">
        <f>+F15*D15</f>
        <v>-886337.20972337388</v>
      </c>
    </row>
    <row r="16" spans="1:8">
      <c r="A16" s="29" t="s">
        <v>753</v>
      </c>
      <c r="B16" s="30" t="s">
        <v>181</v>
      </c>
      <c r="C16" s="30" t="s">
        <v>140</v>
      </c>
      <c r="D16" s="635">
        <v>996885.00624999916</v>
      </c>
      <c r="E16" s="30" t="s">
        <v>141</v>
      </c>
      <c r="F16" s="457">
        <f>INDEX(WCAAllocations,IFERROR(MATCH(E16,WCAFactors,0),2),IFERROR(MATCH(E16,WCAStates,0),4))</f>
        <v>1</v>
      </c>
      <c r="G16" s="31">
        <f>D16</f>
        <v>996885.00624999916</v>
      </c>
      <c r="H16" s="30"/>
    </row>
    <row r="17" spans="1:10">
      <c r="A17" s="29" t="s">
        <v>371</v>
      </c>
      <c r="B17" s="30" t="s">
        <v>181</v>
      </c>
      <c r="C17" s="30" t="s">
        <v>140</v>
      </c>
      <c r="D17" s="635">
        <v>293102.42500000121</v>
      </c>
      <c r="E17" s="30" t="s">
        <v>130</v>
      </c>
      <c r="F17" s="457">
        <f>INDEX(WCAAllocations,IFERROR(MATCH(E17,WCAFactors,0),2),IFERROR(MATCH(E17,WCAStates,0),4))</f>
        <v>6.8539355270203509E-2</v>
      </c>
      <c r="G17" s="31">
        <f>+F17*D17</f>
        <v>20089.051237633263</v>
      </c>
      <c r="H17" s="30"/>
    </row>
    <row r="18" spans="1:10" ht="13.5" thickBot="1">
      <c r="A18" s="29"/>
      <c r="B18" s="30"/>
      <c r="C18" s="30"/>
      <c r="D18" s="640">
        <f>SUM(D15:D17)</f>
        <v>-11641812.207499973</v>
      </c>
      <c r="E18" s="30"/>
      <c r="F18" s="227"/>
      <c r="G18" s="640">
        <f>SUM(G15:G17)</f>
        <v>130636.84776425855</v>
      </c>
      <c r="H18" s="30"/>
    </row>
    <row r="19" spans="1:10" ht="13.5" thickTop="1">
      <c r="A19" s="25" t="s">
        <v>234</v>
      </c>
      <c r="B19" s="23"/>
      <c r="C19" s="23"/>
      <c r="D19" s="144"/>
      <c r="E19" s="23"/>
      <c r="F19" s="402"/>
      <c r="G19" s="144"/>
    </row>
    <row r="20" spans="1:10">
      <c r="A20" s="37" t="s">
        <v>235</v>
      </c>
      <c r="B20" s="30" t="s">
        <v>193</v>
      </c>
      <c r="C20" s="30" t="s">
        <v>140</v>
      </c>
      <c r="D20" s="641">
        <v>-4688608</v>
      </c>
      <c r="E20" s="30" t="s">
        <v>130</v>
      </c>
      <c r="F20" s="642">
        <f t="shared" ref="F20:F27" si="0">INDEX(WCAAllocations,IFERROR(MATCH(E20,WCAFactors,0),2),IFERROR(MATCH(E20,WCAStates,0),4))</f>
        <v>6.8539355270203509E-2</v>
      </c>
      <c r="G20" s="31">
        <f>+F20*D20</f>
        <v>-321354.16943471832</v>
      </c>
    </row>
    <row r="21" spans="1:10" ht="13.15" customHeight="1">
      <c r="A21" s="1" t="s">
        <v>235</v>
      </c>
      <c r="B21" s="23" t="s">
        <v>191</v>
      </c>
      <c r="C21" s="30" t="s">
        <v>140</v>
      </c>
      <c r="D21" s="635">
        <v>-2281625</v>
      </c>
      <c r="E21" s="23" t="s">
        <v>130</v>
      </c>
      <c r="F21" s="643">
        <f t="shared" si="0"/>
        <v>6.8539355270203509E-2</v>
      </c>
      <c r="G21" s="31">
        <f t="shared" ref="G21:G27" si="1">+F21*D21</f>
        <v>-156381.10646837807</v>
      </c>
    </row>
    <row r="22" spans="1:10" ht="13.15" customHeight="1">
      <c r="A22" s="1" t="s">
        <v>235</v>
      </c>
      <c r="B22" s="30" t="s">
        <v>191</v>
      </c>
      <c r="C22" s="30" t="s">
        <v>140</v>
      </c>
      <c r="D22" s="243">
        <v>-161748</v>
      </c>
      <c r="E22" s="30" t="s">
        <v>141</v>
      </c>
      <c r="F22" s="457">
        <f t="shared" si="0"/>
        <v>1</v>
      </c>
      <c r="G22" s="31">
        <f t="shared" si="1"/>
        <v>-161748</v>
      </c>
    </row>
    <row r="23" spans="1:10" ht="13.9" customHeight="1">
      <c r="A23" s="1" t="s">
        <v>341</v>
      </c>
      <c r="B23" s="30">
        <v>41110</v>
      </c>
      <c r="C23" s="30" t="s">
        <v>140</v>
      </c>
      <c r="D23" s="243">
        <v>61385</v>
      </c>
      <c r="E23" s="30" t="s">
        <v>141</v>
      </c>
      <c r="F23" s="457">
        <f t="shared" si="0"/>
        <v>1</v>
      </c>
      <c r="G23" s="31">
        <f t="shared" si="1"/>
        <v>61385</v>
      </c>
    </row>
    <row r="24" spans="1:10">
      <c r="A24" s="1" t="s">
        <v>368</v>
      </c>
      <c r="B24" s="23">
        <v>283</v>
      </c>
      <c r="C24" s="30" t="s">
        <v>140</v>
      </c>
      <c r="D24" s="645">
        <v>-373047.20833333331</v>
      </c>
      <c r="E24" s="23" t="s">
        <v>141</v>
      </c>
      <c r="F24" s="643">
        <f t="shared" si="0"/>
        <v>1</v>
      </c>
      <c r="G24" s="31">
        <f t="shared" si="1"/>
        <v>-373047.20833333331</v>
      </c>
      <c r="H24" s="1"/>
      <c r="J24" s="144"/>
    </row>
    <row r="25" spans="1:10">
      <c r="A25" s="1" t="s">
        <v>754</v>
      </c>
      <c r="B25" s="23" t="s">
        <v>191</v>
      </c>
      <c r="C25" s="30" t="s">
        <v>140</v>
      </c>
      <c r="D25" s="645">
        <v>343657.26</v>
      </c>
      <c r="E25" s="23" t="s">
        <v>130</v>
      </c>
      <c r="F25" s="643">
        <f>INDEX(WCAAllocations,IFERROR(MATCH(E25,WCAFactors,0),2),IFERROR(MATCH(E25,WCAStates,0),4))</f>
        <v>6.8539355270203509E-2</v>
      </c>
      <c r="G25" s="31">
        <f t="shared" si="1"/>
        <v>23554.0470343247</v>
      </c>
      <c r="H25" s="1"/>
      <c r="J25" s="144"/>
    </row>
    <row r="26" spans="1:10">
      <c r="A26" s="1" t="s">
        <v>755</v>
      </c>
      <c r="B26" s="23">
        <v>41110</v>
      </c>
      <c r="C26" s="30" t="s">
        <v>140</v>
      </c>
      <c r="D26" s="645">
        <v>-130421</v>
      </c>
      <c r="E26" s="23" t="s">
        <v>130</v>
      </c>
      <c r="F26" s="643">
        <f>INDEX(WCAAllocations,IFERROR(MATCH(E26,WCAFactors,0),2),IFERROR(MATCH(E26,WCAStates,0),4))</f>
        <v>6.8539355270203509E-2</v>
      </c>
      <c r="G26" s="31">
        <f t="shared" si="1"/>
        <v>-8938.971253695212</v>
      </c>
      <c r="H26" s="1"/>
      <c r="J26" s="144"/>
    </row>
    <row r="27" spans="1:10">
      <c r="A27" s="1" t="s">
        <v>756</v>
      </c>
      <c r="B27" s="23">
        <v>283</v>
      </c>
      <c r="C27" s="30" t="s">
        <v>140</v>
      </c>
      <c r="D27" s="32">
        <v>-111235</v>
      </c>
      <c r="E27" s="23" t="s">
        <v>130</v>
      </c>
      <c r="F27" s="643">
        <f t="shared" si="0"/>
        <v>6.8539355270203509E-2</v>
      </c>
      <c r="G27" s="31">
        <f t="shared" si="1"/>
        <v>-7623.9751834810877</v>
      </c>
    </row>
    <row r="28" spans="1:10">
      <c r="B28" s="23"/>
      <c r="E28" s="23"/>
      <c r="G28" s="4"/>
    </row>
    <row r="30" spans="1:10">
      <c r="A30" s="25" t="s">
        <v>212</v>
      </c>
      <c r="I30" s="29"/>
    </row>
    <row r="31" spans="1:10">
      <c r="A31" s="1402" t="s">
        <v>1074</v>
      </c>
      <c r="B31" s="1414"/>
      <c r="C31" s="1414"/>
      <c r="D31" s="1414"/>
      <c r="E31" s="1414"/>
      <c r="F31" s="1414"/>
      <c r="G31" s="1414"/>
    </row>
    <row r="32" spans="1:10">
      <c r="A32" s="1414"/>
      <c r="B32" s="1414"/>
      <c r="C32" s="1414"/>
      <c r="D32" s="1414"/>
      <c r="E32" s="1414"/>
      <c r="F32" s="1414"/>
      <c r="G32" s="1414"/>
    </row>
    <row r="33" spans="1:7">
      <c r="A33" s="1414"/>
      <c r="B33" s="1414"/>
      <c r="C33" s="1414"/>
      <c r="D33" s="1414"/>
      <c r="E33" s="1414"/>
      <c r="F33" s="1414"/>
      <c r="G33" s="1414"/>
    </row>
    <row r="34" spans="1:7">
      <c r="A34" s="1414"/>
      <c r="B34" s="1414"/>
      <c r="C34" s="1414"/>
      <c r="D34" s="1414"/>
      <c r="E34" s="1414"/>
      <c r="F34" s="1414"/>
      <c r="G34" s="1414"/>
    </row>
    <row r="35" spans="1:7">
      <c r="A35" s="1414"/>
      <c r="B35" s="1414"/>
      <c r="C35" s="1414"/>
      <c r="D35" s="1414"/>
      <c r="E35" s="1414"/>
      <c r="F35" s="1414"/>
      <c r="G35" s="1414"/>
    </row>
    <row r="36" spans="1:7">
      <c r="A36" s="1414"/>
      <c r="B36" s="1414"/>
      <c r="C36" s="1414"/>
      <c r="D36" s="1414"/>
      <c r="E36" s="1414"/>
      <c r="F36" s="1414"/>
      <c r="G36" s="1414"/>
    </row>
    <row r="37" spans="1:7">
      <c r="A37" s="1414"/>
      <c r="B37" s="1414"/>
      <c r="C37" s="1414"/>
      <c r="D37" s="1414"/>
      <c r="E37" s="1414"/>
      <c r="F37" s="1414"/>
      <c r="G37" s="1414"/>
    </row>
    <row r="38" spans="1:7">
      <c r="A38" s="1414"/>
      <c r="B38" s="1414"/>
      <c r="C38" s="1414"/>
      <c r="D38" s="1414"/>
      <c r="E38" s="1414"/>
      <c r="F38" s="1414"/>
      <c r="G38" s="1414"/>
    </row>
    <row r="39" spans="1:7">
      <c r="A39" s="1414"/>
      <c r="B39" s="1414"/>
      <c r="C39" s="1414"/>
      <c r="D39" s="1414"/>
      <c r="E39" s="1414"/>
      <c r="F39" s="1414"/>
      <c r="G39" s="1414"/>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H38"/>
  <sheetViews>
    <sheetView workbookViewId="0">
      <selection activeCell="F16" sqref="F16"/>
    </sheetView>
  </sheetViews>
  <sheetFormatPr defaultRowHeight="12.75"/>
  <cols>
    <col min="1" max="1" width="34.28515625" style="1" bestFit="1" customWidth="1"/>
    <col min="2" max="2" width="9.7109375" style="1" bestFit="1" customWidth="1"/>
    <col min="3" max="3" width="5.42578125" style="1" bestFit="1" customWidth="1"/>
    <col min="4" max="4" width="10.85546875" style="1" bestFit="1" customWidth="1"/>
    <col min="5" max="5" width="8" style="1" bestFit="1" customWidth="1"/>
    <col min="6" max="6" width="10" style="1" bestFit="1" customWidth="1"/>
    <col min="7" max="7" width="13.28515625" style="1" bestFit="1" customWidth="1"/>
    <col min="8" max="8" width="8.28515625" style="1" customWidth="1"/>
    <col min="9" max="254" width="9.140625" style="1"/>
    <col min="255" max="255" width="2.5703125" style="1" customWidth="1"/>
    <col min="256" max="256" width="7.140625" style="1" customWidth="1"/>
    <col min="257" max="257" width="12.42578125" style="1" customWidth="1"/>
    <col min="258" max="258" width="9.7109375" style="1" customWidth="1"/>
    <col min="259" max="259" width="4.7109375" style="1" bestFit="1" customWidth="1"/>
    <col min="260" max="260" width="14.42578125" style="1" customWidth="1"/>
    <col min="261" max="261" width="11.140625" style="1" customWidth="1"/>
    <col min="262" max="262" width="10.28515625" style="1" customWidth="1"/>
    <col min="263" max="263" width="13" style="1" customWidth="1"/>
    <col min="264" max="264" width="8.28515625" style="1" customWidth="1"/>
    <col min="265" max="510" width="9.140625" style="1"/>
    <col min="511" max="511" width="2.5703125" style="1" customWidth="1"/>
    <col min="512" max="512" width="7.140625" style="1" customWidth="1"/>
    <col min="513" max="513" width="12.42578125" style="1" customWidth="1"/>
    <col min="514" max="514" width="9.7109375" style="1" customWidth="1"/>
    <col min="515" max="515" width="4.7109375" style="1" bestFit="1" customWidth="1"/>
    <col min="516" max="516" width="14.42578125" style="1" customWidth="1"/>
    <col min="517" max="517" width="11.140625" style="1" customWidth="1"/>
    <col min="518" max="518" width="10.28515625" style="1" customWidth="1"/>
    <col min="519" max="519" width="13" style="1" customWidth="1"/>
    <col min="520" max="520" width="8.28515625" style="1" customWidth="1"/>
    <col min="521" max="766" width="9.140625" style="1"/>
    <col min="767" max="767" width="2.5703125" style="1" customWidth="1"/>
    <col min="768" max="768" width="7.140625" style="1" customWidth="1"/>
    <col min="769" max="769" width="12.42578125" style="1" customWidth="1"/>
    <col min="770" max="770" width="9.7109375" style="1" customWidth="1"/>
    <col min="771" max="771" width="4.7109375" style="1" bestFit="1" customWidth="1"/>
    <col min="772" max="772" width="14.42578125" style="1" customWidth="1"/>
    <col min="773" max="773" width="11.140625" style="1" customWidth="1"/>
    <col min="774" max="774" width="10.28515625" style="1" customWidth="1"/>
    <col min="775" max="775" width="13" style="1" customWidth="1"/>
    <col min="776" max="776" width="8.28515625" style="1" customWidth="1"/>
    <col min="777" max="1022" width="9.140625" style="1"/>
    <col min="1023" max="1023" width="2.5703125" style="1" customWidth="1"/>
    <col min="1024" max="1024" width="7.140625" style="1" customWidth="1"/>
    <col min="1025" max="1025" width="12.42578125" style="1" customWidth="1"/>
    <col min="1026" max="1026" width="9.7109375" style="1" customWidth="1"/>
    <col min="1027" max="1027" width="4.7109375" style="1" bestFit="1" customWidth="1"/>
    <col min="1028" max="1028" width="14.42578125" style="1" customWidth="1"/>
    <col min="1029" max="1029" width="11.140625" style="1" customWidth="1"/>
    <col min="1030" max="1030" width="10.28515625" style="1" customWidth="1"/>
    <col min="1031" max="1031" width="13" style="1" customWidth="1"/>
    <col min="1032" max="1032" width="8.28515625" style="1" customWidth="1"/>
    <col min="1033" max="1278" width="9.140625" style="1"/>
    <col min="1279" max="1279" width="2.5703125" style="1" customWidth="1"/>
    <col min="1280" max="1280" width="7.140625" style="1" customWidth="1"/>
    <col min="1281" max="1281" width="12.42578125" style="1" customWidth="1"/>
    <col min="1282" max="1282" width="9.7109375" style="1" customWidth="1"/>
    <col min="1283" max="1283" width="4.7109375" style="1" bestFit="1" customWidth="1"/>
    <col min="1284" max="1284" width="14.42578125" style="1" customWidth="1"/>
    <col min="1285" max="1285" width="11.140625" style="1" customWidth="1"/>
    <col min="1286" max="1286" width="10.28515625" style="1" customWidth="1"/>
    <col min="1287" max="1287" width="13" style="1" customWidth="1"/>
    <col min="1288" max="1288" width="8.28515625" style="1" customWidth="1"/>
    <col min="1289" max="1534" width="9.140625" style="1"/>
    <col min="1535" max="1535" width="2.5703125" style="1" customWidth="1"/>
    <col min="1536" max="1536" width="7.140625" style="1" customWidth="1"/>
    <col min="1537" max="1537" width="12.42578125" style="1" customWidth="1"/>
    <col min="1538" max="1538" width="9.7109375" style="1" customWidth="1"/>
    <col min="1539" max="1539" width="4.7109375" style="1" bestFit="1" customWidth="1"/>
    <col min="1540" max="1540" width="14.42578125" style="1" customWidth="1"/>
    <col min="1541" max="1541" width="11.140625" style="1" customWidth="1"/>
    <col min="1542" max="1542" width="10.28515625" style="1" customWidth="1"/>
    <col min="1543" max="1543" width="13" style="1" customWidth="1"/>
    <col min="1544" max="1544" width="8.28515625" style="1" customWidth="1"/>
    <col min="1545" max="1790" width="9.140625" style="1"/>
    <col min="1791" max="1791" width="2.5703125" style="1" customWidth="1"/>
    <col min="1792" max="1792" width="7.140625" style="1" customWidth="1"/>
    <col min="1793" max="1793" width="12.42578125" style="1" customWidth="1"/>
    <col min="1794" max="1794" width="9.7109375" style="1" customWidth="1"/>
    <col min="1795" max="1795" width="4.7109375" style="1" bestFit="1" customWidth="1"/>
    <col min="1796" max="1796" width="14.42578125" style="1" customWidth="1"/>
    <col min="1797" max="1797" width="11.140625" style="1" customWidth="1"/>
    <col min="1798" max="1798" width="10.28515625" style="1" customWidth="1"/>
    <col min="1799" max="1799" width="13" style="1" customWidth="1"/>
    <col min="1800" max="1800" width="8.28515625" style="1" customWidth="1"/>
    <col min="1801" max="2046" width="9.140625" style="1"/>
    <col min="2047" max="2047" width="2.5703125" style="1" customWidth="1"/>
    <col min="2048" max="2048" width="7.140625" style="1" customWidth="1"/>
    <col min="2049" max="2049" width="12.42578125" style="1" customWidth="1"/>
    <col min="2050" max="2050" width="9.7109375" style="1" customWidth="1"/>
    <col min="2051" max="2051" width="4.7109375" style="1" bestFit="1" customWidth="1"/>
    <col min="2052" max="2052" width="14.42578125" style="1" customWidth="1"/>
    <col min="2053" max="2053" width="11.140625" style="1" customWidth="1"/>
    <col min="2054" max="2054" width="10.28515625" style="1" customWidth="1"/>
    <col min="2055" max="2055" width="13" style="1" customWidth="1"/>
    <col min="2056" max="2056" width="8.28515625" style="1" customWidth="1"/>
    <col min="2057" max="2302" width="9.140625" style="1"/>
    <col min="2303" max="2303" width="2.5703125" style="1" customWidth="1"/>
    <col min="2304" max="2304" width="7.140625" style="1" customWidth="1"/>
    <col min="2305" max="2305" width="12.42578125" style="1" customWidth="1"/>
    <col min="2306" max="2306" width="9.7109375" style="1" customWidth="1"/>
    <col min="2307" max="2307" width="4.7109375" style="1" bestFit="1" customWidth="1"/>
    <col min="2308" max="2308" width="14.42578125" style="1" customWidth="1"/>
    <col min="2309" max="2309" width="11.140625" style="1" customWidth="1"/>
    <col min="2310" max="2310" width="10.28515625" style="1" customWidth="1"/>
    <col min="2311" max="2311" width="13" style="1" customWidth="1"/>
    <col min="2312" max="2312" width="8.28515625" style="1" customWidth="1"/>
    <col min="2313" max="2558" width="9.140625" style="1"/>
    <col min="2559" max="2559" width="2.5703125" style="1" customWidth="1"/>
    <col min="2560" max="2560" width="7.140625" style="1" customWidth="1"/>
    <col min="2561" max="2561" width="12.42578125" style="1" customWidth="1"/>
    <col min="2562" max="2562" width="9.7109375" style="1" customWidth="1"/>
    <col min="2563" max="2563" width="4.7109375" style="1" bestFit="1" customWidth="1"/>
    <col min="2564" max="2564" width="14.42578125" style="1" customWidth="1"/>
    <col min="2565" max="2565" width="11.140625" style="1" customWidth="1"/>
    <col min="2566" max="2566" width="10.28515625" style="1" customWidth="1"/>
    <col min="2567" max="2567" width="13" style="1" customWidth="1"/>
    <col min="2568" max="2568" width="8.28515625" style="1" customWidth="1"/>
    <col min="2569" max="2814" width="9.140625" style="1"/>
    <col min="2815" max="2815" width="2.5703125" style="1" customWidth="1"/>
    <col min="2816" max="2816" width="7.140625" style="1" customWidth="1"/>
    <col min="2817" max="2817" width="12.42578125" style="1" customWidth="1"/>
    <col min="2818" max="2818" width="9.7109375" style="1" customWidth="1"/>
    <col min="2819" max="2819" width="4.7109375" style="1" bestFit="1" customWidth="1"/>
    <col min="2820" max="2820" width="14.42578125" style="1" customWidth="1"/>
    <col min="2821" max="2821" width="11.140625" style="1" customWidth="1"/>
    <col min="2822" max="2822" width="10.28515625" style="1" customWidth="1"/>
    <col min="2823" max="2823" width="13" style="1" customWidth="1"/>
    <col min="2824" max="2824" width="8.28515625" style="1" customWidth="1"/>
    <col min="2825" max="3070" width="9.140625" style="1"/>
    <col min="3071" max="3071" width="2.5703125" style="1" customWidth="1"/>
    <col min="3072" max="3072" width="7.140625" style="1" customWidth="1"/>
    <col min="3073" max="3073" width="12.42578125" style="1" customWidth="1"/>
    <col min="3074" max="3074" width="9.7109375" style="1" customWidth="1"/>
    <col min="3075" max="3075" width="4.7109375" style="1" bestFit="1" customWidth="1"/>
    <col min="3076" max="3076" width="14.42578125" style="1" customWidth="1"/>
    <col min="3077" max="3077" width="11.140625" style="1" customWidth="1"/>
    <col min="3078" max="3078" width="10.28515625" style="1" customWidth="1"/>
    <col min="3079" max="3079" width="13" style="1" customWidth="1"/>
    <col min="3080" max="3080" width="8.28515625" style="1" customWidth="1"/>
    <col min="3081" max="3326" width="9.140625" style="1"/>
    <col min="3327" max="3327" width="2.5703125" style="1" customWidth="1"/>
    <col min="3328" max="3328" width="7.140625" style="1" customWidth="1"/>
    <col min="3329" max="3329" width="12.42578125" style="1" customWidth="1"/>
    <col min="3330" max="3330" width="9.7109375" style="1" customWidth="1"/>
    <col min="3331" max="3331" width="4.7109375" style="1" bestFit="1" customWidth="1"/>
    <col min="3332" max="3332" width="14.42578125" style="1" customWidth="1"/>
    <col min="3333" max="3333" width="11.140625" style="1" customWidth="1"/>
    <col min="3334" max="3334" width="10.28515625" style="1" customWidth="1"/>
    <col min="3335" max="3335" width="13" style="1" customWidth="1"/>
    <col min="3336" max="3336" width="8.28515625" style="1" customWidth="1"/>
    <col min="3337" max="3582" width="9.140625" style="1"/>
    <col min="3583" max="3583" width="2.5703125" style="1" customWidth="1"/>
    <col min="3584" max="3584" width="7.140625" style="1" customWidth="1"/>
    <col min="3585" max="3585" width="12.42578125" style="1" customWidth="1"/>
    <col min="3586" max="3586" width="9.7109375" style="1" customWidth="1"/>
    <col min="3587" max="3587" width="4.7109375" style="1" bestFit="1" customWidth="1"/>
    <col min="3588" max="3588" width="14.42578125" style="1" customWidth="1"/>
    <col min="3589" max="3589" width="11.140625" style="1" customWidth="1"/>
    <col min="3590" max="3590" width="10.28515625" style="1" customWidth="1"/>
    <col min="3591" max="3591" width="13" style="1" customWidth="1"/>
    <col min="3592" max="3592" width="8.28515625" style="1" customWidth="1"/>
    <col min="3593" max="3838" width="9.140625" style="1"/>
    <col min="3839" max="3839" width="2.5703125" style="1" customWidth="1"/>
    <col min="3840" max="3840" width="7.140625" style="1" customWidth="1"/>
    <col min="3841" max="3841" width="12.42578125" style="1" customWidth="1"/>
    <col min="3842" max="3842" width="9.7109375" style="1" customWidth="1"/>
    <col min="3843" max="3843" width="4.7109375" style="1" bestFit="1" customWidth="1"/>
    <col min="3844" max="3844" width="14.42578125" style="1" customWidth="1"/>
    <col min="3845" max="3845" width="11.140625" style="1" customWidth="1"/>
    <col min="3846" max="3846" width="10.28515625" style="1" customWidth="1"/>
    <col min="3847" max="3847" width="13" style="1" customWidth="1"/>
    <col min="3848" max="3848" width="8.28515625" style="1" customWidth="1"/>
    <col min="3849" max="4094" width="9.140625" style="1"/>
    <col min="4095" max="4095" width="2.5703125" style="1" customWidth="1"/>
    <col min="4096" max="4096" width="7.140625" style="1" customWidth="1"/>
    <col min="4097" max="4097" width="12.42578125" style="1" customWidth="1"/>
    <col min="4098" max="4098" width="9.7109375" style="1" customWidth="1"/>
    <col min="4099" max="4099" width="4.7109375" style="1" bestFit="1" customWidth="1"/>
    <col min="4100" max="4100" width="14.42578125" style="1" customWidth="1"/>
    <col min="4101" max="4101" width="11.140625" style="1" customWidth="1"/>
    <col min="4102" max="4102" width="10.28515625" style="1" customWidth="1"/>
    <col min="4103" max="4103" width="13" style="1" customWidth="1"/>
    <col min="4104" max="4104" width="8.28515625" style="1" customWidth="1"/>
    <col min="4105" max="4350" width="9.140625" style="1"/>
    <col min="4351" max="4351" width="2.5703125" style="1" customWidth="1"/>
    <col min="4352" max="4352" width="7.140625" style="1" customWidth="1"/>
    <col min="4353" max="4353" width="12.42578125" style="1" customWidth="1"/>
    <col min="4354" max="4354" width="9.7109375" style="1" customWidth="1"/>
    <col min="4355" max="4355" width="4.7109375" style="1" bestFit="1" customWidth="1"/>
    <col min="4356" max="4356" width="14.42578125" style="1" customWidth="1"/>
    <col min="4357" max="4357" width="11.140625" style="1" customWidth="1"/>
    <col min="4358" max="4358" width="10.28515625" style="1" customWidth="1"/>
    <col min="4359" max="4359" width="13" style="1" customWidth="1"/>
    <col min="4360" max="4360" width="8.28515625" style="1" customWidth="1"/>
    <col min="4361" max="4606" width="9.140625" style="1"/>
    <col min="4607" max="4607" width="2.5703125" style="1" customWidth="1"/>
    <col min="4608" max="4608" width="7.140625" style="1" customWidth="1"/>
    <col min="4609" max="4609" width="12.42578125" style="1" customWidth="1"/>
    <col min="4610" max="4610" width="9.7109375" style="1" customWidth="1"/>
    <col min="4611" max="4611" width="4.7109375" style="1" bestFit="1" customWidth="1"/>
    <col min="4612" max="4612" width="14.42578125" style="1" customWidth="1"/>
    <col min="4613" max="4613" width="11.140625" style="1" customWidth="1"/>
    <col min="4614" max="4614" width="10.28515625" style="1" customWidth="1"/>
    <col min="4615" max="4615" width="13" style="1" customWidth="1"/>
    <col min="4616" max="4616" width="8.28515625" style="1" customWidth="1"/>
    <col min="4617" max="4862" width="9.140625" style="1"/>
    <col min="4863" max="4863" width="2.5703125" style="1" customWidth="1"/>
    <col min="4864" max="4864" width="7.140625" style="1" customWidth="1"/>
    <col min="4865" max="4865" width="12.42578125" style="1" customWidth="1"/>
    <col min="4866" max="4866" width="9.7109375" style="1" customWidth="1"/>
    <col min="4867" max="4867" width="4.7109375" style="1" bestFit="1" customWidth="1"/>
    <col min="4868" max="4868" width="14.42578125" style="1" customWidth="1"/>
    <col min="4869" max="4869" width="11.140625" style="1" customWidth="1"/>
    <col min="4870" max="4870" width="10.28515625" style="1" customWidth="1"/>
    <col min="4871" max="4871" width="13" style="1" customWidth="1"/>
    <col min="4872" max="4872" width="8.28515625" style="1" customWidth="1"/>
    <col min="4873" max="5118" width="9.140625" style="1"/>
    <col min="5119" max="5119" width="2.5703125" style="1" customWidth="1"/>
    <col min="5120" max="5120" width="7.140625" style="1" customWidth="1"/>
    <col min="5121" max="5121" width="12.42578125" style="1" customWidth="1"/>
    <col min="5122" max="5122" width="9.7109375" style="1" customWidth="1"/>
    <col min="5123" max="5123" width="4.7109375" style="1" bestFit="1" customWidth="1"/>
    <col min="5124" max="5124" width="14.42578125" style="1" customWidth="1"/>
    <col min="5125" max="5125" width="11.140625" style="1" customWidth="1"/>
    <col min="5126" max="5126" width="10.28515625" style="1" customWidth="1"/>
    <col min="5127" max="5127" width="13" style="1" customWidth="1"/>
    <col min="5128" max="5128" width="8.28515625" style="1" customWidth="1"/>
    <col min="5129" max="5374" width="9.140625" style="1"/>
    <col min="5375" max="5375" width="2.5703125" style="1" customWidth="1"/>
    <col min="5376" max="5376" width="7.140625" style="1" customWidth="1"/>
    <col min="5377" max="5377" width="12.42578125" style="1" customWidth="1"/>
    <col min="5378" max="5378" width="9.7109375" style="1" customWidth="1"/>
    <col min="5379" max="5379" width="4.7109375" style="1" bestFit="1" customWidth="1"/>
    <col min="5380" max="5380" width="14.42578125" style="1" customWidth="1"/>
    <col min="5381" max="5381" width="11.140625" style="1" customWidth="1"/>
    <col min="5382" max="5382" width="10.28515625" style="1" customWidth="1"/>
    <col min="5383" max="5383" width="13" style="1" customWidth="1"/>
    <col min="5384" max="5384" width="8.28515625" style="1" customWidth="1"/>
    <col min="5385" max="5630" width="9.140625" style="1"/>
    <col min="5631" max="5631" width="2.5703125" style="1" customWidth="1"/>
    <col min="5632" max="5632" width="7.140625" style="1" customWidth="1"/>
    <col min="5633" max="5633" width="12.42578125" style="1" customWidth="1"/>
    <col min="5634" max="5634" width="9.7109375" style="1" customWidth="1"/>
    <col min="5635" max="5635" width="4.7109375" style="1" bestFit="1" customWidth="1"/>
    <col min="5636" max="5636" width="14.42578125" style="1" customWidth="1"/>
    <col min="5637" max="5637" width="11.140625" style="1" customWidth="1"/>
    <col min="5638" max="5638" width="10.28515625" style="1" customWidth="1"/>
    <col min="5639" max="5639" width="13" style="1" customWidth="1"/>
    <col min="5640" max="5640" width="8.28515625" style="1" customWidth="1"/>
    <col min="5641" max="5886" width="9.140625" style="1"/>
    <col min="5887" max="5887" width="2.5703125" style="1" customWidth="1"/>
    <col min="5888" max="5888" width="7.140625" style="1" customWidth="1"/>
    <col min="5889" max="5889" width="12.42578125" style="1" customWidth="1"/>
    <col min="5890" max="5890" width="9.7109375" style="1" customWidth="1"/>
    <col min="5891" max="5891" width="4.7109375" style="1" bestFit="1" customWidth="1"/>
    <col min="5892" max="5892" width="14.42578125" style="1" customWidth="1"/>
    <col min="5893" max="5893" width="11.140625" style="1" customWidth="1"/>
    <col min="5894" max="5894" width="10.28515625" style="1" customWidth="1"/>
    <col min="5895" max="5895" width="13" style="1" customWidth="1"/>
    <col min="5896" max="5896" width="8.28515625" style="1" customWidth="1"/>
    <col min="5897" max="6142" width="9.140625" style="1"/>
    <col min="6143" max="6143" width="2.5703125" style="1" customWidth="1"/>
    <col min="6144" max="6144" width="7.140625" style="1" customWidth="1"/>
    <col min="6145" max="6145" width="12.42578125" style="1" customWidth="1"/>
    <col min="6146" max="6146" width="9.7109375" style="1" customWidth="1"/>
    <col min="6147" max="6147" width="4.7109375" style="1" bestFit="1" customWidth="1"/>
    <col min="6148" max="6148" width="14.42578125" style="1" customWidth="1"/>
    <col min="6149" max="6149" width="11.140625" style="1" customWidth="1"/>
    <col min="6150" max="6150" width="10.28515625" style="1" customWidth="1"/>
    <col min="6151" max="6151" width="13" style="1" customWidth="1"/>
    <col min="6152" max="6152" width="8.28515625" style="1" customWidth="1"/>
    <col min="6153" max="6398" width="9.140625" style="1"/>
    <col min="6399" max="6399" width="2.5703125" style="1" customWidth="1"/>
    <col min="6400" max="6400" width="7.140625" style="1" customWidth="1"/>
    <col min="6401" max="6401" width="12.42578125" style="1" customWidth="1"/>
    <col min="6402" max="6402" width="9.7109375" style="1" customWidth="1"/>
    <col min="6403" max="6403" width="4.7109375" style="1" bestFit="1" customWidth="1"/>
    <col min="6404" max="6404" width="14.42578125" style="1" customWidth="1"/>
    <col min="6405" max="6405" width="11.140625" style="1" customWidth="1"/>
    <col min="6406" max="6406" width="10.28515625" style="1" customWidth="1"/>
    <col min="6407" max="6407" width="13" style="1" customWidth="1"/>
    <col min="6408" max="6408" width="8.28515625" style="1" customWidth="1"/>
    <col min="6409" max="6654" width="9.140625" style="1"/>
    <col min="6655" max="6655" width="2.5703125" style="1" customWidth="1"/>
    <col min="6656" max="6656" width="7.140625" style="1" customWidth="1"/>
    <col min="6657" max="6657" width="12.42578125" style="1" customWidth="1"/>
    <col min="6658" max="6658" width="9.7109375" style="1" customWidth="1"/>
    <col min="6659" max="6659" width="4.7109375" style="1" bestFit="1" customWidth="1"/>
    <col min="6660" max="6660" width="14.42578125" style="1" customWidth="1"/>
    <col min="6661" max="6661" width="11.140625" style="1" customWidth="1"/>
    <col min="6662" max="6662" width="10.28515625" style="1" customWidth="1"/>
    <col min="6663" max="6663" width="13" style="1" customWidth="1"/>
    <col min="6664" max="6664" width="8.28515625" style="1" customWidth="1"/>
    <col min="6665" max="6910" width="9.140625" style="1"/>
    <col min="6911" max="6911" width="2.5703125" style="1" customWidth="1"/>
    <col min="6912" max="6912" width="7.140625" style="1" customWidth="1"/>
    <col min="6913" max="6913" width="12.42578125" style="1" customWidth="1"/>
    <col min="6914" max="6914" width="9.7109375" style="1" customWidth="1"/>
    <col min="6915" max="6915" width="4.7109375" style="1" bestFit="1" customWidth="1"/>
    <col min="6916" max="6916" width="14.42578125" style="1" customWidth="1"/>
    <col min="6917" max="6917" width="11.140625" style="1" customWidth="1"/>
    <col min="6918" max="6918" width="10.28515625" style="1" customWidth="1"/>
    <col min="6919" max="6919" width="13" style="1" customWidth="1"/>
    <col min="6920" max="6920" width="8.28515625" style="1" customWidth="1"/>
    <col min="6921" max="7166" width="9.140625" style="1"/>
    <col min="7167" max="7167" width="2.5703125" style="1" customWidth="1"/>
    <col min="7168" max="7168" width="7.140625" style="1" customWidth="1"/>
    <col min="7169" max="7169" width="12.42578125" style="1" customWidth="1"/>
    <col min="7170" max="7170" width="9.7109375" style="1" customWidth="1"/>
    <col min="7171" max="7171" width="4.7109375" style="1" bestFit="1" customWidth="1"/>
    <col min="7172" max="7172" width="14.42578125" style="1" customWidth="1"/>
    <col min="7173" max="7173" width="11.140625" style="1" customWidth="1"/>
    <col min="7174" max="7174" width="10.28515625" style="1" customWidth="1"/>
    <col min="7175" max="7175" width="13" style="1" customWidth="1"/>
    <col min="7176" max="7176" width="8.28515625" style="1" customWidth="1"/>
    <col min="7177" max="7422" width="9.140625" style="1"/>
    <col min="7423" max="7423" width="2.5703125" style="1" customWidth="1"/>
    <col min="7424" max="7424" width="7.140625" style="1" customWidth="1"/>
    <col min="7425" max="7425" width="12.42578125" style="1" customWidth="1"/>
    <col min="7426" max="7426" width="9.7109375" style="1" customWidth="1"/>
    <col min="7427" max="7427" width="4.7109375" style="1" bestFit="1" customWidth="1"/>
    <col min="7428" max="7428" width="14.42578125" style="1" customWidth="1"/>
    <col min="7429" max="7429" width="11.140625" style="1" customWidth="1"/>
    <col min="7430" max="7430" width="10.28515625" style="1" customWidth="1"/>
    <col min="7431" max="7431" width="13" style="1" customWidth="1"/>
    <col min="7432" max="7432" width="8.28515625" style="1" customWidth="1"/>
    <col min="7433" max="7678" width="9.140625" style="1"/>
    <col min="7679" max="7679" width="2.5703125" style="1" customWidth="1"/>
    <col min="7680" max="7680" width="7.140625" style="1" customWidth="1"/>
    <col min="7681" max="7681" width="12.42578125" style="1" customWidth="1"/>
    <col min="7682" max="7682" width="9.7109375" style="1" customWidth="1"/>
    <col min="7683" max="7683" width="4.7109375" style="1" bestFit="1" customWidth="1"/>
    <col min="7684" max="7684" width="14.42578125" style="1" customWidth="1"/>
    <col min="7685" max="7685" width="11.140625" style="1" customWidth="1"/>
    <col min="7686" max="7686" width="10.28515625" style="1" customWidth="1"/>
    <col min="7687" max="7687" width="13" style="1" customWidth="1"/>
    <col min="7688" max="7688" width="8.28515625" style="1" customWidth="1"/>
    <col min="7689" max="7934" width="9.140625" style="1"/>
    <col min="7935" max="7935" width="2.5703125" style="1" customWidth="1"/>
    <col min="7936" max="7936" width="7.140625" style="1" customWidth="1"/>
    <col min="7937" max="7937" width="12.42578125" style="1" customWidth="1"/>
    <col min="7938" max="7938" width="9.7109375" style="1" customWidth="1"/>
    <col min="7939" max="7939" width="4.7109375" style="1" bestFit="1" customWidth="1"/>
    <col min="7940" max="7940" width="14.42578125" style="1" customWidth="1"/>
    <col min="7941" max="7941" width="11.140625" style="1" customWidth="1"/>
    <col min="7942" max="7942" width="10.28515625" style="1" customWidth="1"/>
    <col min="7943" max="7943" width="13" style="1" customWidth="1"/>
    <col min="7944" max="7944" width="8.28515625" style="1" customWidth="1"/>
    <col min="7945" max="8190" width="9.140625" style="1"/>
    <col min="8191" max="8191" width="2.5703125" style="1" customWidth="1"/>
    <col min="8192" max="8192" width="7.140625" style="1" customWidth="1"/>
    <col min="8193" max="8193" width="12.42578125" style="1" customWidth="1"/>
    <col min="8194" max="8194" width="9.7109375" style="1" customWidth="1"/>
    <col min="8195" max="8195" width="4.7109375" style="1" bestFit="1" customWidth="1"/>
    <col min="8196" max="8196" width="14.42578125" style="1" customWidth="1"/>
    <col min="8197" max="8197" width="11.140625" style="1" customWidth="1"/>
    <col min="8198" max="8198" width="10.28515625" style="1" customWidth="1"/>
    <col min="8199" max="8199" width="13" style="1" customWidth="1"/>
    <col min="8200" max="8200" width="8.28515625" style="1" customWidth="1"/>
    <col min="8201" max="8446" width="9.140625" style="1"/>
    <col min="8447" max="8447" width="2.5703125" style="1" customWidth="1"/>
    <col min="8448" max="8448" width="7.140625" style="1" customWidth="1"/>
    <col min="8449" max="8449" width="12.42578125" style="1" customWidth="1"/>
    <col min="8450" max="8450" width="9.7109375" style="1" customWidth="1"/>
    <col min="8451" max="8451" width="4.7109375" style="1" bestFit="1" customWidth="1"/>
    <col min="8452" max="8452" width="14.42578125" style="1" customWidth="1"/>
    <col min="8453" max="8453" width="11.140625" style="1" customWidth="1"/>
    <col min="8454" max="8454" width="10.28515625" style="1" customWidth="1"/>
    <col min="8455" max="8455" width="13" style="1" customWidth="1"/>
    <col min="8456" max="8456" width="8.28515625" style="1" customWidth="1"/>
    <col min="8457" max="8702" width="9.140625" style="1"/>
    <col min="8703" max="8703" width="2.5703125" style="1" customWidth="1"/>
    <col min="8704" max="8704" width="7.140625" style="1" customWidth="1"/>
    <col min="8705" max="8705" width="12.42578125" style="1" customWidth="1"/>
    <col min="8706" max="8706" width="9.7109375" style="1" customWidth="1"/>
    <col min="8707" max="8707" width="4.7109375" style="1" bestFit="1" customWidth="1"/>
    <col min="8708" max="8708" width="14.42578125" style="1" customWidth="1"/>
    <col min="8709" max="8709" width="11.140625" style="1" customWidth="1"/>
    <col min="8710" max="8710" width="10.28515625" style="1" customWidth="1"/>
    <col min="8711" max="8711" width="13" style="1" customWidth="1"/>
    <col min="8712" max="8712" width="8.28515625" style="1" customWidth="1"/>
    <col min="8713" max="8958" width="9.140625" style="1"/>
    <col min="8959" max="8959" width="2.5703125" style="1" customWidth="1"/>
    <col min="8960" max="8960" width="7.140625" style="1" customWidth="1"/>
    <col min="8961" max="8961" width="12.42578125" style="1" customWidth="1"/>
    <col min="8962" max="8962" width="9.7109375" style="1" customWidth="1"/>
    <col min="8963" max="8963" width="4.7109375" style="1" bestFit="1" customWidth="1"/>
    <col min="8964" max="8964" width="14.42578125" style="1" customWidth="1"/>
    <col min="8965" max="8965" width="11.140625" style="1" customWidth="1"/>
    <col min="8966" max="8966" width="10.28515625" style="1" customWidth="1"/>
    <col min="8967" max="8967" width="13" style="1" customWidth="1"/>
    <col min="8968" max="8968" width="8.28515625" style="1" customWidth="1"/>
    <col min="8969" max="9214" width="9.140625" style="1"/>
    <col min="9215" max="9215" width="2.5703125" style="1" customWidth="1"/>
    <col min="9216" max="9216" width="7.140625" style="1" customWidth="1"/>
    <col min="9217" max="9217" width="12.42578125" style="1" customWidth="1"/>
    <col min="9218" max="9218" width="9.7109375" style="1" customWidth="1"/>
    <col min="9219" max="9219" width="4.7109375" style="1" bestFit="1" customWidth="1"/>
    <col min="9220" max="9220" width="14.42578125" style="1" customWidth="1"/>
    <col min="9221" max="9221" width="11.140625" style="1" customWidth="1"/>
    <col min="9222" max="9222" width="10.28515625" style="1" customWidth="1"/>
    <col min="9223" max="9223" width="13" style="1" customWidth="1"/>
    <col min="9224" max="9224" width="8.28515625" style="1" customWidth="1"/>
    <col min="9225" max="9470" width="9.140625" style="1"/>
    <col min="9471" max="9471" width="2.5703125" style="1" customWidth="1"/>
    <col min="9472" max="9472" width="7.140625" style="1" customWidth="1"/>
    <col min="9473" max="9473" width="12.42578125" style="1" customWidth="1"/>
    <col min="9474" max="9474" width="9.7109375" style="1" customWidth="1"/>
    <col min="9475" max="9475" width="4.7109375" style="1" bestFit="1" customWidth="1"/>
    <col min="9476" max="9476" width="14.42578125" style="1" customWidth="1"/>
    <col min="9477" max="9477" width="11.140625" style="1" customWidth="1"/>
    <col min="9478" max="9478" width="10.28515625" style="1" customWidth="1"/>
    <col min="9479" max="9479" width="13" style="1" customWidth="1"/>
    <col min="9480" max="9480" width="8.28515625" style="1" customWidth="1"/>
    <col min="9481" max="9726" width="9.140625" style="1"/>
    <col min="9727" max="9727" width="2.5703125" style="1" customWidth="1"/>
    <col min="9728" max="9728" width="7.140625" style="1" customWidth="1"/>
    <col min="9729" max="9729" width="12.42578125" style="1" customWidth="1"/>
    <col min="9730" max="9730" width="9.7109375" style="1" customWidth="1"/>
    <col min="9731" max="9731" width="4.7109375" style="1" bestFit="1" customWidth="1"/>
    <col min="9732" max="9732" width="14.42578125" style="1" customWidth="1"/>
    <col min="9733" max="9733" width="11.140625" style="1" customWidth="1"/>
    <col min="9734" max="9734" width="10.28515625" style="1" customWidth="1"/>
    <col min="9735" max="9735" width="13" style="1" customWidth="1"/>
    <col min="9736" max="9736" width="8.28515625" style="1" customWidth="1"/>
    <col min="9737" max="9982" width="9.140625" style="1"/>
    <col min="9983" max="9983" width="2.5703125" style="1" customWidth="1"/>
    <col min="9984" max="9984" width="7.140625" style="1" customWidth="1"/>
    <col min="9985" max="9985" width="12.42578125" style="1" customWidth="1"/>
    <col min="9986" max="9986" width="9.7109375" style="1" customWidth="1"/>
    <col min="9987" max="9987" width="4.7109375" style="1" bestFit="1" customWidth="1"/>
    <col min="9988" max="9988" width="14.42578125" style="1" customWidth="1"/>
    <col min="9989" max="9989" width="11.140625" style="1" customWidth="1"/>
    <col min="9990" max="9990" width="10.28515625" style="1" customWidth="1"/>
    <col min="9991" max="9991" width="13" style="1" customWidth="1"/>
    <col min="9992" max="9992" width="8.28515625" style="1" customWidth="1"/>
    <col min="9993" max="10238" width="9.140625" style="1"/>
    <col min="10239" max="10239" width="2.5703125" style="1" customWidth="1"/>
    <col min="10240" max="10240" width="7.140625" style="1" customWidth="1"/>
    <col min="10241" max="10241" width="12.42578125" style="1" customWidth="1"/>
    <col min="10242" max="10242" width="9.7109375" style="1" customWidth="1"/>
    <col min="10243" max="10243" width="4.7109375" style="1" bestFit="1" customWidth="1"/>
    <col min="10244" max="10244" width="14.42578125" style="1" customWidth="1"/>
    <col min="10245" max="10245" width="11.140625" style="1" customWidth="1"/>
    <col min="10246" max="10246" width="10.28515625" style="1" customWidth="1"/>
    <col min="10247" max="10247" width="13" style="1" customWidth="1"/>
    <col min="10248" max="10248" width="8.28515625" style="1" customWidth="1"/>
    <col min="10249" max="10494" width="9.140625" style="1"/>
    <col min="10495" max="10495" width="2.5703125" style="1" customWidth="1"/>
    <col min="10496" max="10496" width="7.140625" style="1" customWidth="1"/>
    <col min="10497" max="10497" width="12.42578125" style="1" customWidth="1"/>
    <col min="10498" max="10498" width="9.7109375" style="1" customWidth="1"/>
    <col min="10499" max="10499" width="4.7109375" style="1" bestFit="1" customWidth="1"/>
    <col min="10500" max="10500" width="14.42578125" style="1" customWidth="1"/>
    <col min="10501" max="10501" width="11.140625" style="1" customWidth="1"/>
    <col min="10502" max="10502" width="10.28515625" style="1" customWidth="1"/>
    <col min="10503" max="10503" width="13" style="1" customWidth="1"/>
    <col min="10504" max="10504" width="8.28515625" style="1" customWidth="1"/>
    <col min="10505" max="10750" width="9.140625" style="1"/>
    <col min="10751" max="10751" width="2.5703125" style="1" customWidth="1"/>
    <col min="10752" max="10752" width="7.140625" style="1" customWidth="1"/>
    <col min="10753" max="10753" width="12.42578125" style="1" customWidth="1"/>
    <col min="10754" max="10754" width="9.7109375" style="1" customWidth="1"/>
    <col min="10755" max="10755" width="4.7109375" style="1" bestFit="1" customWidth="1"/>
    <col min="10756" max="10756" width="14.42578125" style="1" customWidth="1"/>
    <col min="10757" max="10757" width="11.140625" style="1" customWidth="1"/>
    <col min="10758" max="10758" width="10.28515625" style="1" customWidth="1"/>
    <col min="10759" max="10759" width="13" style="1" customWidth="1"/>
    <col min="10760" max="10760" width="8.28515625" style="1" customWidth="1"/>
    <col min="10761" max="11006" width="9.140625" style="1"/>
    <col min="11007" max="11007" width="2.5703125" style="1" customWidth="1"/>
    <col min="11008" max="11008" width="7.140625" style="1" customWidth="1"/>
    <col min="11009" max="11009" width="12.42578125" style="1" customWidth="1"/>
    <col min="11010" max="11010" width="9.7109375" style="1" customWidth="1"/>
    <col min="11011" max="11011" width="4.7109375" style="1" bestFit="1" customWidth="1"/>
    <col min="11012" max="11012" width="14.42578125" style="1" customWidth="1"/>
    <col min="11013" max="11013" width="11.140625" style="1" customWidth="1"/>
    <col min="11014" max="11014" width="10.28515625" style="1" customWidth="1"/>
    <col min="11015" max="11015" width="13" style="1" customWidth="1"/>
    <col min="11016" max="11016" width="8.28515625" style="1" customWidth="1"/>
    <col min="11017" max="11262" width="9.140625" style="1"/>
    <col min="11263" max="11263" width="2.5703125" style="1" customWidth="1"/>
    <col min="11264" max="11264" width="7.140625" style="1" customWidth="1"/>
    <col min="11265" max="11265" width="12.42578125" style="1" customWidth="1"/>
    <col min="11266" max="11266" width="9.7109375" style="1" customWidth="1"/>
    <col min="11267" max="11267" width="4.7109375" style="1" bestFit="1" customWidth="1"/>
    <col min="11268" max="11268" width="14.42578125" style="1" customWidth="1"/>
    <col min="11269" max="11269" width="11.140625" style="1" customWidth="1"/>
    <col min="11270" max="11270" width="10.28515625" style="1" customWidth="1"/>
    <col min="11271" max="11271" width="13" style="1" customWidth="1"/>
    <col min="11272" max="11272" width="8.28515625" style="1" customWidth="1"/>
    <col min="11273" max="11518" width="9.140625" style="1"/>
    <col min="11519" max="11519" width="2.5703125" style="1" customWidth="1"/>
    <col min="11520" max="11520" width="7.140625" style="1" customWidth="1"/>
    <col min="11521" max="11521" width="12.42578125" style="1" customWidth="1"/>
    <col min="11522" max="11522" width="9.7109375" style="1" customWidth="1"/>
    <col min="11523" max="11523" width="4.7109375" style="1" bestFit="1" customWidth="1"/>
    <col min="11524" max="11524" width="14.42578125" style="1" customWidth="1"/>
    <col min="11525" max="11525" width="11.140625" style="1" customWidth="1"/>
    <col min="11526" max="11526" width="10.28515625" style="1" customWidth="1"/>
    <col min="11527" max="11527" width="13" style="1" customWidth="1"/>
    <col min="11528" max="11528" width="8.28515625" style="1" customWidth="1"/>
    <col min="11529" max="11774" width="9.140625" style="1"/>
    <col min="11775" max="11775" width="2.5703125" style="1" customWidth="1"/>
    <col min="11776" max="11776" width="7.140625" style="1" customWidth="1"/>
    <col min="11777" max="11777" width="12.42578125" style="1" customWidth="1"/>
    <col min="11778" max="11778" width="9.7109375" style="1" customWidth="1"/>
    <col min="11779" max="11779" width="4.7109375" style="1" bestFit="1" customWidth="1"/>
    <col min="11780" max="11780" width="14.42578125" style="1" customWidth="1"/>
    <col min="11781" max="11781" width="11.140625" style="1" customWidth="1"/>
    <col min="11782" max="11782" width="10.28515625" style="1" customWidth="1"/>
    <col min="11783" max="11783" width="13" style="1" customWidth="1"/>
    <col min="11784" max="11784" width="8.28515625" style="1" customWidth="1"/>
    <col min="11785" max="12030" width="9.140625" style="1"/>
    <col min="12031" max="12031" width="2.5703125" style="1" customWidth="1"/>
    <col min="12032" max="12032" width="7.140625" style="1" customWidth="1"/>
    <col min="12033" max="12033" width="12.42578125" style="1" customWidth="1"/>
    <col min="12034" max="12034" width="9.7109375" style="1" customWidth="1"/>
    <col min="12035" max="12035" width="4.7109375" style="1" bestFit="1" customWidth="1"/>
    <col min="12036" max="12036" width="14.42578125" style="1" customWidth="1"/>
    <col min="12037" max="12037" width="11.140625" style="1" customWidth="1"/>
    <col min="12038" max="12038" width="10.28515625" style="1" customWidth="1"/>
    <col min="12039" max="12039" width="13" style="1" customWidth="1"/>
    <col min="12040" max="12040" width="8.28515625" style="1" customWidth="1"/>
    <col min="12041" max="12286" width="9.140625" style="1"/>
    <col min="12287" max="12287" width="2.5703125" style="1" customWidth="1"/>
    <col min="12288" max="12288" width="7.140625" style="1" customWidth="1"/>
    <col min="12289" max="12289" width="12.42578125" style="1" customWidth="1"/>
    <col min="12290" max="12290" width="9.7109375" style="1" customWidth="1"/>
    <col min="12291" max="12291" width="4.7109375" style="1" bestFit="1" customWidth="1"/>
    <col min="12292" max="12292" width="14.42578125" style="1" customWidth="1"/>
    <col min="12293" max="12293" width="11.140625" style="1" customWidth="1"/>
    <col min="12294" max="12294" width="10.28515625" style="1" customWidth="1"/>
    <col min="12295" max="12295" width="13" style="1" customWidth="1"/>
    <col min="12296" max="12296" width="8.28515625" style="1" customWidth="1"/>
    <col min="12297" max="12542" width="9.140625" style="1"/>
    <col min="12543" max="12543" width="2.5703125" style="1" customWidth="1"/>
    <col min="12544" max="12544" width="7.140625" style="1" customWidth="1"/>
    <col min="12545" max="12545" width="12.42578125" style="1" customWidth="1"/>
    <col min="12546" max="12546" width="9.7109375" style="1" customWidth="1"/>
    <col min="12547" max="12547" width="4.7109375" style="1" bestFit="1" customWidth="1"/>
    <col min="12548" max="12548" width="14.42578125" style="1" customWidth="1"/>
    <col min="12549" max="12549" width="11.140625" style="1" customWidth="1"/>
    <col min="12550" max="12550" width="10.28515625" style="1" customWidth="1"/>
    <col min="12551" max="12551" width="13" style="1" customWidth="1"/>
    <col min="12552" max="12552" width="8.28515625" style="1" customWidth="1"/>
    <col min="12553" max="12798" width="9.140625" style="1"/>
    <col min="12799" max="12799" width="2.5703125" style="1" customWidth="1"/>
    <col min="12800" max="12800" width="7.140625" style="1" customWidth="1"/>
    <col min="12801" max="12801" width="12.42578125" style="1" customWidth="1"/>
    <col min="12802" max="12802" width="9.7109375" style="1" customWidth="1"/>
    <col min="12803" max="12803" width="4.7109375" style="1" bestFit="1" customWidth="1"/>
    <col min="12804" max="12804" width="14.42578125" style="1" customWidth="1"/>
    <col min="12805" max="12805" width="11.140625" style="1" customWidth="1"/>
    <col min="12806" max="12806" width="10.28515625" style="1" customWidth="1"/>
    <col min="12807" max="12807" width="13" style="1" customWidth="1"/>
    <col min="12808" max="12808" width="8.28515625" style="1" customWidth="1"/>
    <col min="12809" max="13054" width="9.140625" style="1"/>
    <col min="13055" max="13055" width="2.5703125" style="1" customWidth="1"/>
    <col min="13056" max="13056" width="7.140625" style="1" customWidth="1"/>
    <col min="13057" max="13057" width="12.42578125" style="1" customWidth="1"/>
    <col min="13058" max="13058" width="9.7109375" style="1" customWidth="1"/>
    <col min="13059" max="13059" width="4.7109375" style="1" bestFit="1" customWidth="1"/>
    <col min="13060" max="13060" width="14.42578125" style="1" customWidth="1"/>
    <col min="13061" max="13061" width="11.140625" style="1" customWidth="1"/>
    <col min="13062" max="13062" width="10.28515625" style="1" customWidth="1"/>
    <col min="13063" max="13063" width="13" style="1" customWidth="1"/>
    <col min="13064" max="13064" width="8.28515625" style="1" customWidth="1"/>
    <col min="13065" max="13310" width="9.140625" style="1"/>
    <col min="13311" max="13311" width="2.5703125" style="1" customWidth="1"/>
    <col min="13312" max="13312" width="7.140625" style="1" customWidth="1"/>
    <col min="13313" max="13313" width="12.42578125" style="1" customWidth="1"/>
    <col min="13314" max="13314" width="9.7109375" style="1" customWidth="1"/>
    <col min="13315" max="13315" width="4.7109375" style="1" bestFit="1" customWidth="1"/>
    <col min="13316" max="13316" width="14.42578125" style="1" customWidth="1"/>
    <col min="13317" max="13317" width="11.140625" style="1" customWidth="1"/>
    <col min="13318" max="13318" width="10.28515625" style="1" customWidth="1"/>
    <col min="13319" max="13319" width="13" style="1" customWidth="1"/>
    <col min="13320" max="13320" width="8.28515625" style="1" customWidth="1"/>
    <col min="13321" max="13566" width="9.140625" style="1"/>
    <col min="13567" max="13567" width="2.5703125" style="1" customWidth="1"/>
    <col min="13568" max="13568" width="7.140625" style="1" customWidth="1"/>
    <col min="13569" max="13569" width="12.42578125" style="1" customWidth="1"/>
    <col min="13570" max="13570" width="9.7109375" style="1" customWidth="1"/>
    <col min="13571" max="13571" width="4.7109375" style="1" bestFit="1" customWidth="1"/>
    <col min="13572" max="13572" width="14.42578125" style="1" customWidth="1"/>
    <col min="13573" max="13573" width="11.140625" style="1" customWidth="1"/>
    <col min="13574" max="13574" width="10.28515625" style="1" customWidth="1"/>
    <col min="13575" max="13575" width="13" style="1" customWidth="1"/>
    <col min="13576" max="13576" width="8.28515625" style="1" customWidth="1"/>
    <col min="13577" max="13822" width="9.140625" style="1"/>
    <col min="13823" max="13823" width="2.5703125" style="1" customWidth="1"/>
    <col min="13824" max="13824" width="7.140625" style="1" customWidth="1"/>
    <col min="13825" max="13825" width="12.42578125" style="1" customWidth="1"/>
    <col min="13826" max="13826" width="9.7109375" style="1" customWidth="1"/>
    <col min="13827" max="13827" width="4.7109375" style="1" bestFit="1" customWidth="1"/>
    <col min="13828" max="13828" width="14.42578125" style="1" customWidth="1"/>
    <col min="13829" max="13829" width="11.140625" style="1" customWidth="1"/>
    <col min="13830" max="13830" width="10.28515625" style="1" customWidth="1"/>
    <col min="13831" max="13831" width="13" style="1" customWidth="1"/>
    <col min="13832" max="13832" width="8.28515625" style="1" customWidth="1"/>
    <col min="13833" max="14078" width="9.140625" style="1"/>
    <col min="14079" max="14079" width="2.5703125" style="1" customWidth="1"/>
    <col min="14080" max="14080" width="7.140625" style="1" customWidth="1"/>
    <col min="14081" max="14081" width="12.42578125" style="1" customWidth="1"/>
    <col min="14082" max="14082" width="9.7109375" style="1" customWidth="1"/>
    <col min="14083" max="14083" width="4.7109375" style="1" bestFit="1" customWidth="1"/>
    <col min="14084" max="14084" width="14.42578125" style="1" customWidth="1"/>
    <col min="14085" max="14085" width="11.140625" style="1" customWidth="1"/>
    <col min="14086" max="14086" width="10.28515625" style="1" customWidth="1"/>
    <col min="14087" max="14087" width="13" style="1" customWidth="1"/>
    <col min="14088" max="14088" width="8.28515625" style="1" customWidth="1"/>
    <col min="14089" max="14334" width="9.140625" style="1"/>
    <col min="14335" max="14335" width="2.5703125" style="1" customWidth="1"/>
    <col min="14336" max="14336" width="7.140625" style="1" customWidth="1"/>
    <col min="14337" max="14337" width="12.42578125" style="1" customWidth="1"/>
    <col min="14338" max="14338" width="9.7109375" style="1" customWidth="1"/>
    <col min="14339" max="14339" width="4.7109375" style="1" bestFit="1" customWidth="1"/>
    <col min="14340" max="14340" width="14.42578125" style="1" customWidth="1"/>
    <col min="14341" max="14341" width="11.140625" style="1" customWidth="1"/>
    <col min="14342" max="14342" width="10.28515625" style="1" customWidth="1"/>
    <col min="14343" max="14343" width="13" style="1" customWidth="1"/>
    <col min="14344" max="14344" width="8.28515625" style="1" customWidth="1"/>
    <col min="14345" max="14590" width="9.140625" style="1"/>
    <col min="14591" max="14591" width="2.5703125" style="1" customWidth="1"/>
    <col min="14592" max="14592" width="7.140625" style="1" customWidth="1"/>
    <col min="14593" max="14593" width="12.42578125" style="1" customWidth="1"/>
    <col min="14594" max="14594" width="9.7109375" style="1" customWidth="1"/>
    <col min="14595" max="14595" width="4.7109375" style="1" bestFit="1" customWidth="1"/>
    <col min="14596" max="14596" width="14.42578125" style="1" customWidth="1"/>
    <col min="14597" max="14597" width="11.140625" style="1" customWidth="1"/>
    <col min="14598" max="14598" width="10.28515625" style="1" customWidth="1"/>
    <col min="14599" max="14599" width="13" style="1" customWidth="1"/>
    <col min="14600" max="14600" width="8.28515625" style="1" customWidth="1"/>
    <col min="14601" max="14846" width="9.140625" style="1"/>
    <col min="14847" max="14847" width="2.5703125" style="1" customWidth="1"/>
    <col min="14848" max="14848" width="7.140625" style="1" customWidth="1"/>
    <col min="14849" max="14849" width="12.42578125" style="1" customWidth="1"/>
    <col min="14850" max="14850" width="9.7109375" style="1" customWidth="1"/>
    <col min="14851" max="14851" width="4.7109375" style="1" bestFit="1" customWidth="1"/>
    <col min="14852" max="14852" width="14.42578125" style="1" customWidth="1"/>
    <col min="14853" max="14853" width="11.140625" style="1" customWidth="1"/>
    <col min="14854" max="14854" width="10.28515625" style="1" customWidth="1"/>
    <col min="14855" max="14855" width="13" style="1" customWidth="1"/>
    <col min="14856" max="14856" width="8.28515625" style="1" customWidth="1"/>
    <col min="14857" max="15102" width="9.140625" style="1"/>
    <col min="15103" max="15103" width="2.5703125" style="1" customWidth="1"/>
    <col min="15104" max="15104" width="7.140625" style="1" customWidth="1"/>
    <col min="15105" max="15105" width="12.42578125" style="1" customWidth="1"/>
    <col min="15106" max="15106" width="9.7109375" style="1" customWidth="1"/>
    <col min="15107" max="15107" width="4.7109375" style="1" bestFit="1" customWidth="1"/>
    <col min="15108" max="15108" width="14.42578125" style="1" customWidth="1"/>
    <col min="15109" max="15109" width="11.140625" style="1" customWidth="1"/>
    <col min="15110" max="15110" width="10.28515625" style="1" customWidth="1"/>
    <col min="15111" max="15111" width="13" style="1" customWidth="1"/>
    <col min="15112" max="15112" width="8.28515625" style="1" customWidth="1"/>
    <col min="15113" max="15358" width="9.140625" style="1"/>
    <col min="15359" max="15359" width="2.5703125" style="1" customWidth="1"/>
    <col min="15360" max="15360" width="7.140625" style="1" customWidth="1"/>
    <col min="15361" max="15361" width="12.42578125" style="1" customWidth="1"/>
    <col min="15362" max="15362" width="9.7109375" style="1" customWidth="1"/>
    <col min="15363" max="15363" width="4.7109375" style="1" bestFit="1" customWidth="1"/>
    <col min="15364" max="15364" width="14.42578125" style="1" customWidth="1"/>
    <col min="15365" max="15365" width="11.140625" style="1" customWidth="1"/>
    <col min="15366" max="15366" width="10.28515625" style="1" customWidth="1"/>
    <col min="15367" max="15367" width="13" style="1" customWidth="1"/>
    <col min="15368" max="15368" width="8.28515625" style="1" customWidth="1"/>
    <col min="15369" max="15614" width="9.140625" style="1"/>
    <col min="15615" max="15615" width="2.5703125" style="1" customWidth="1"/>
    <col min="15616" max="15616" width="7.140625" style="1" customWidth="1"/>
    <col min="15617" max="15617" width="12.42578125" style="1" customWidth="1"/>
    <col min="15618" max="15618" width="9.7109375" style="1" customWidth="1"/>
    <col min="15619" max="15619" width="4.7109375" style="1" bestFit="1" customWidth="1"/>
    <col min="15620" max="15620" width="14.42578125" style="1" customWidth="1"/>
    <col min="15621" max="15621" width="11.140625" style="1" customWidth="1"/>
    <col min="15622" max="15622" width="10.28515625" style="1" customWidth="1"/>
    <col min="15623" max="15623" width="13" style="1" customWidth="1"/>
    <col min="15624" max="15624" width="8.28515625" style="1" customWidth="1"/>
    <col min="15625" max="15870" width="9.140625" style="1"/>
    <col min="15871" max="15871" width="2.5703125" style="1" customWidth="1"/>
    <col min="15872" max="15872" width="7.140625" style="1" customWidth="1"/>
    <col min="15873" max="15873" width="12.42578125" style="1" customWidth="1"/>
    <col min="15874" max="15874" width="9.7109375" style="1" customWidth="1"/>
    <col min="15875" max="15875" width="4.7109375" style="1" bestFit="1" customWidth="1"/>
    <col min="15876" max="15876" width="14.42578125" style="1" customWidth="1"/>
    <col min="15877" max="15877" width="11.140625" style="1" customWidth="1"/>
    <col min="15878" max="15878" width="10.28515625" style="1" customWidth="1"/>
    <col min="15879" max="15879" width="13" style="1" customWidth="1"/>
    <col min="15880" max="15880" width="8.28515625" style="1" customWidth="1"/>
    <col min="15881" max="16126" width="9.140625" style="1"/>
    <col min="16127" max="16127" width="2.5703125" style="1" customWidth="1"/>
    <col min="16128" max="16128" width="7.140625" style="1" customWidth="1"/>
    <col min="16129" max="16129" width="12.42578125" style="1" customWidth="1"/>
    <col min="16130" max="16130" width="9.7109375" style="1" customWidth="1"/>
    <col min="16131" max="16131" width="4.7109375" style="1" bestFit="1" customWidth="1"/>
    <col min="16132" max="16132" width="14.42578125" style="1" customWidth="1"/>
    <col min="16133" max="16133" width="11.140625" style="1" customWidth="1"/>
    <col min="16134" max="16134" width="10.28515625" style="1" customWidth="1"/>
    <col min="16135" max="16135" width="13" style="1" customWidth="1"/>
    <col min="16136" max="16136" width="8.28515625" style="1" customWidth="1"/>
    <col min="16137" max="16382" width="9.140625" style="1"/>
    <col min="16383" max="16384" width="9.140625" style="1" customWidth="1"/>
  </cols>
  <sheetData>
    <row r="1" spans="1:8">
      <c r="A1" s="17" t="str">
        <f>RevReqSummary!A1</f>
        <v>PacifiCorp General Rate Case UE-140617</v>
      </c>
      <c r="B1" s="620"/>
      <c r="C1" s="620"/>
      <c r="D1" s="620"/>
      <c r="E1" s="620"/>
      <c r="F1" s="620"/>
      <c r="G1" s="620"/>
      <c r="H1" s="621"/>
    </row>
    <row r="2" spans="1:8">
      <c r="A2" s="17" t="str">
        <f>RevReqSummary!A2</f>
        <v>For The Twelve Months Ended December 2013 - Staff Revenue Requirement</v>
      </c>
      <c r="B2" s="1046"/>
      <c r="C2" s="1046"/>
      <c r="D2" s="620"/>
      <c r="E2" s="620"/>
      <c r="F2" s="620"/>
      <c r="G2" s="620"/>
      <c r="H2" s="620"/>
    </row>
    <row r="3" spans="1:8">
      <c r="A3" s="604" t="s">
        <v>269</v>
      </c>
      <c r="B3" s="620"/>
      <c r="C3" s="620"/>
      <c r="D3" s="620"/>
      <c r="E3" s="620"/>
      <c r="F3" s="620"/>
      <c r="G3" s="620"/>
      <c r="H3" s="620"/>
    </row>
    <row r="4" spans="1:8">
      <c r="A4" s="604" t="s">
        <v>510</v>
      </c>
      <c r="B4" s="620"/>
      <c r="C4" s="620"/>
      <c r="D4" s="620"/>
      <c r="E4" s="620"/>
      <c r="F4" s="620"/>
      <c r="G4" s="620"/>
      <c r="H4" s="620"/>
    </row>
    <row r="5" spans="1:8">
      <c r="A5" s="619"/>
      <c r="B5" s="620"/>
      <c r="C5" s="620"/>
      <c r="D5" s="620"/>
      <c r="E5" s="620"/>
      <c r="F5" s="620"/>
      <c r="G5" s="620"/>
      <c r="H5" s="620"/>
    </row>
    <row r="6" spans="1:8">
      <c r="A6" s="619"/>
      <c r="B6" s="23"/>
      <c r="C6" s="23"/>
      <c r="D6" s="23" t="s">
        <v>131</v>
      </c>
      <c r="E6" s="23"/>
      <c r="F6" s="23"/>
      <c r="G6" s="23" t="s">
        <v>236</v>
      </c>
      <c r="H6" s="620"/>
    </row>
    <row r="7" spans="1:8">
      <c r="A7" s="619"/>
      <c r="B7" s="26" t="s">
        <v>132</v>
      </c>
      <c r="C7" s="26" t="s">
        <v>660</v>
      </c>
      <c r="D7" s="26" t="s">
        <v>134</v>
      </c>
      <c r="E7" s="26" t="s">
        <v>135</v>
      </c>
      <c r="F7" s="26" t="s">
        <v>136</v>
      </c>
      <c r="G7" s="26" t="s">
        <v>137</v>
      </c>
      <c r="H7" s="620"/>
    </row>
    <row r="8" spans="1:8">
      <c r="A8" s="619" t="s">
        <v>222</v>
      </c>
      <c r="B8" s="622"/>
      <c r="C8" s="622"/>
      <c r="D8" s="623"/>
      <c r="E8" s="622"/>
      <c r="F8" s="622"/>
      <c r="G8" s="622"/>
      <c r="H8" s="622"/>
    </row>
    <row r="9" spans="1:8">
      <c r="A9" s="624" t="s">
        <v>117</v>
      </c>
      <c r="B9" s="70">
        <v>252</v>
      </c>
      <c r="C9" s="70" t="s">
        <v>140</v>
      </c>
      <c r="D9" s="639">
        <v>-45321.967916666661</v>
      </c>
      <c r="E9" s="70" t="s">
        <v>170</v>
      </c>
      <c r="F9" s="625">
        <f t="shared" ref="F9:F18" si="0">INDEX(WCAAllocations,IFERROR(MATCH(E9,WCAFactors,0),2),IFERROR(MATCH(E9,WCAStates,0),4))</f>
        <v>0</v>
      </c>
      <c r="G9" s="141">
        <f>D9*F9</f>
        <v>0</v>
      </c>
      <c r="H9" s="620"/>
    </row>
    <row r="10" spans="1:8">
      <c r="A10" s="624" t="s">
        <v>117</v>
      </c>
      <c r="B10" s="70">
        <v>252</v>
      </c>
      <c r="C10" s="70" t="s">
        <v>140</v>
      </c>
      <c r="D10" s="639">
        <v>3717192.950416666</v>
      </c>
      <c r="E10" s="70" t="s">
        <v>171</v>
      </c>
      <c r="F10" s="625">
        <f t="shared" si="0"/>
        <v>0</v>
      </c>
      <c r="G10" s="141">
        <f t="shared" ref="G10:G18" si="1">D10*F10</f>
        <v>0</v>
      </c>
      <c r="H10" s="620"/>
    </row>
    <row r="11" spans="1:8">
      <c r="A11" s="29" t="s">
        <v>117</v>
      </c>
      <c r="B11" s="70">
        <v>252</v>
      </c>
      <c r="C11" s="70" t="s">
        <v>140</v>
      </c>
      <c r="D11" s="639">
        <v>-151253.59000000003</v>
      </c>
      <c r="E11" s="23" t="s">
        <v>141</v>
      </c>
      <c r="F11" s="625">
        <f t="shared" si="0"/>
        <v>1</v>
      </c>
      <c r="G11" s="141">
        <f t="shared" si="1"/>
        <v>-151253.59000000003</v>
      </c>
      <c r="H11" s="620"/>
    </row>
    <row r="12" spans="1:8">
      <c r="A12" s="29" t="s">
        <v>117</v>
      </c>
      <c r="B12" s="70">
        <v>252</v>
      </c>
      <c r="C12" s="70" t="s">
        <v>140</v>
      </c>
      <c r="D12" s="639">
        <v>-123469.44041666666</v>
      </c>
      <c r="E12" s="23" t="s">
        <v>173</v>
      </c>
      <c r="F12" s="625">
        <f t="shared" si="0"/>
        <v>0</v>
      </c>
      <c r="G12" s="141">
        <f t="shared" si="1"/>
        <v>0</v>
      </c>
      <c r="H12" s="620"/>
    </row>
    <row r="13" spans="1:8">
      <c r="A13" s="29" t="s">
        <v>117</v>
      </c>
      <c r="B13" s="70">
        <v>252</v>
      </c>
      <c r="C13" s="70" t="s">
        <v>140</v>
      </c>
      <c r="D13" s="639">
        <v>-3150001.2920833393</v>
      </c>
      <c r="E13" s="23" t="s">
        <v>172</v>
      </c>
      <c r="F13" s="625">
        <f t="shared" si="0"/>
        <v>0</v>
      </c>
      <c r="G13" s="141">
        <f t="shared" si="1"/>
        <v>0</v>
      </c>
      <c r="H13" s="620"/>
    </row>
    <row r="14" spans="1:8">
      <c r="A14" s="29" t="s">
        <v>117</v>
      </c>
      <c r="B14" s="70">
        <v>252</v>
      </c>
      <c r="C14" s="70" t="s">
        <v>140</v>
      </c>
      <c r="D14" s="639">
        <v>-875588.43875000079</v>
      </c>
      <c r="E14" s="23" t="s">
        <v>517</v>
      </c>
      <c r="F14" s="625">
        <f t="shared" si="0"/>
        <v>0</v>
      </c>
      <c r="G14" s="141">
        <f t="shared" si="1"/>
        <v>0</v>
      </c>
      <c r="H14" s="620"/>
    </row>
    <row r="15" spans="1:8">
      <c r="A15" s="29" t="s">
        <v>117</v>
      </c>
      <c r="B15" s="70">
        <v>252</v>
      </c>
      <c r="C15" s="70" t="s">
        <v>140</v>
      </c>
      <c r="D15" s="639">
        <v>3.0279999999999997E-8</v>
      </c>
      <c r="E15" s="23" t="s">
        <v>152</v>
      </c>
      <c r="F15" s="626">
        <f t="shared" si="0"/>
        <v>6.9173575695716499E-2</v>
      </c>
      <c r="G15" s="141">
        <f t="shared" si="1"/>
        <v>2.0945758720662955E-9</v>
      </c>
      <c r="H15" s="620"/>
    </row>
    <row r="16" spans="1:8">
      <c r="A16" s="29" t="s">
        <v>117</v>
      </c>
      <c r="B16" s="70">
        <v>252</v>
      </c>
      <c r="C16" s="70" t="s">
        <v>140</v>
      </c>
      <c r="D16" s="639">
        <v>-4176220.9033333324</v>
      </c>
      <c r="E16" s="23" t="s">
        <v>146</v>
      </c>
      <c r="F16" s="626">
        <f t="shared" si="0"/>
        <v>7.9057273540331513E-2</v>
      </c>
      <c r="G16" s="141">
        <f t="shared" si="1"/>
        <v>-330160.63831967366</v>
      </c>
      <c r="H16" s="620"/>
    </row>
    <row r="17" spans="1:8">
      <c r="A17" s="29" t="s">
        <v>117</v>
      </c>
      <c r="B17" s="70">
        <v>252</v>
      </c>
      <c r="C17" s="70" t="s">
        <v>140</v>
      </c>
      <c r="D17" s="639">
        <v>4804662.7404166535</v>
      </c>
      <c r="E17" s="23" t="s">
        <v>214</v>
      </c>
      <c r="F17" s="626">
        <f t="shared" si="0"/>
        <v>0</v>
      </c>
      <c r="G17" s="141">
        <f t="shared" si="1"/>
        <v>0</v>
      </c>
      <c r="H17" s="620"/>
    </row>
    <row r="18" spans="1:8">
      <c r="A18" s="29" t="s">
        <v>117</v>
      </c>
      <c r="B18" s="70">
        <v>252</v>
      </c>
      <c r="C18" s="70" t="s">
        <v>140</v>
      </c>
      <c r="D18" s="639">
        <v>0</v>
      </c>
      <c r="E18" s="23" t="s">
        <v>203</v>
      </c>
      <c r="F18" s="626">
        <f t="shared" si="0"/>
        <v>0.23084885646883446</v>
      </c>
      <c r="G18" s="141">
        <f t="shared" si="1"/>
        <v>0</v>
      </c>
      <c r="H18" s="620"/>
    </row>
    <row r="19" spans="1:8" ht="13.5" thickBot="1">
      <c r="A19" s="29"/>
      <c r="B19" s="70"/>
      <c r="C19" s="627"/>
      <c r="D19" s="628">
        <f>SUM(D9:D18)</f>
        <v>5.8333343826234341E-2</v>
      </c>
      <c r="E19" s="23"/>
      <c r="F19" s="182"/>
      <c r="G19" s="628">
        <f>SUM(G9:G18)</f>
        <v>-481414.22831967159</v>
      </c>
      <c r="H19" s="23"/>
    </row>
    <row r="20" spans="1:8">
      <c r="A20" s="29"/>
      <c r="B20" s="70"/>
      <c r="C20" s="627"/>
      <c r="D20" s="35"/>
      <c r="E20" s="23"/>
      <c r="F20" s="629"/>
      <c r="G20" s="156"/>
    </row>
    <row r="21" spans="1:8">
      <c r="D21" s="144"/>
      <c r="F21" s="629"/>
      <c r="G21" s="144"/>
    </row>
    <row r="22" spans="1:8">
      <c r="D22" s="144"/>
      <c r="F22" s="629"/>
      <c r="G22" s="144"/>
    </row>
    <row r="23" spans="1:8">
      <c r="A23" s="248" t="s">
        <v>145</v>
      </c>
      <c r="D23" s="144"/>
      <c r="F23" s="629"/>
      <c r="G23" s="144"/>
    </row>
    <row r="24" spans="1:8">
      <c r="A24" s="1413" t="s">
        <v>1075</v>
      </c>
      <c r="B24" s="1413"/>
      <c r="C24" s="1413"/>
      <c r="D24" s="1413"/>
      <c r="E24" s="1413"/>
      <c r="F24" s="1413"/>
      <c r="G24" s="1413"/>
      <c r="H24" s="43"/>
    </row>
    <row r="25" spans="1:8">
      <c r="A25" s="1413"/>
      <c r="B25" s="1413"/>
      <c r="C25" s="1413"/>
      <c r="D25" s="1413"/>
      <c r="E25" s="1413"/>
      <c r="F25" s="1413"/>
      <c r="G25" s="1413"/>
    </row>
    <row r="26" spans="1:8">
      <c r="A26" s="1413"/>
      <c r="B26" s="1413"/>
      <c r="C26" s="1413"/>
      <c r="D26" s="1413"/>
      <c r="E26" s="1413"/>
      <c r="F26" s="1413"/>
      <c r="G26" s="1413"/>
    </row>
    <row r="27" spans="1:8" s="29" customFormat="1">
      <c r="A27" s="1413"/>
      <c r="B27" s="1413"/>
      <c r="C27" s="1413"/>
      <c r="D27" s="1413"/>
      <c r="E27" s="1413"/>
      <c r="F27" s="1413"/>
      <c r="G27" s="1413"/>
    </row>
    <row r="28" spans="1:8" s="29" customFormat="1">
      <c r="A28" s="1413"/>
      <c r="B28" s="1413"/>
      <c r="C28" s="1413"/>
      <c r="D28" s="1413"/>
      <c r="E28" s="1413"/>
      <c r="F28" s="1413"/>
      <c r="G28" s="1413"/>
    </row>
    <row r="29" spans="1:8" s="29" customFormat="1"/>
    <row r="30" spans="1:8" s="29" customFormat="1"/>
    <row r="31" spans="1:8" s="29" customFormat="1"/>
    <row r="32" spans="1:8" s="29" customFormat="1"/>
    <row r="33" spans="4:4" s="29" customFormat="1"/>
    <row r="34" spans="4:4" s="29" customFormat="1"/>
    <row r="35" spans="4:4" s="29" customFormat="1"/>
    <row r="36" spans="4:4" s="29" customFormat="1">
      <c r="D36" s="279"/>
    </row>
    <row r="37" spans="4:4" s="29" customFormat="1"/>
    <row r="38" spans="4:4" s="29"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H25"/>
  <sheetViews>
    <sheetView workbookViewId="0">
      <selection activeCell="F16" sqref="F16"/>
    </sheetView>
  </sheetViews>
  <sheetFormatPr defaultColWidth="9.140625" defaultRowHeight="12.75"/>
  <cols>
    <col min="1" max="1" width="3" style="23" bestFit="1" customWidth="1"/>
    <col min="2" max="2" width="40.140625" style="1" bestFit="1" customWidth="1"/>
    <col min="3" max="3" width="11.28515625" style="1" bestFit="1" customWidth="1"/>
    <col min="4" max="4" width="7" style="1" bestFit="1" customWidth="1"/>
    <col min="5" max="5" width="12.28515625" style="1" bestFit="1" customWidth="1"/>
    <col min="6" max="6" width="8.5703125" style="1" bestFit="1" customWidth="1"/>
    <col min="7" max="7" width="16.42578125" style="1" customWidth="1"/>
    <col min="8" max="8" width="19.85546875" style="1" bestFit="1" customWidth="1"/>
    <col min="9" max="16384" width="9.140625" style="1"/>
  </cols>
  <sheetData>
    <row r="1" spans="1:6">
      <c r="A1" s="1378" t="str">
        <f>RevReqSummary!A1</f>
        <v>PacifiCorp General Rate Case UE-140617</v>
      </c>
      <c r="B1" s="1378"/>
      <c r="C1" s="1378"/>
      <c r="D1" s="1378"/>
      <c r="E1" s="1378"/>
      <c r="F1" s="1378"/>
    </row>
    <row r="2" spans="1:6">
      <c r="A2" s="1378" t="str">
        <f>RevReqSummary!A2</f>
        <v>For The Twelve Months Ended December 2013 - Staff Revenue Requirement</v>
      </c>
      <c r="B2" s="1378"/>
      <c r="C2" s="1378"/>
      <c r="D2" s="1378"/>
      <c r="E2" s="1378"/>
      <c r="F2" s="1378"/>
    </row>
    <row r="3" spans="1:6">
      <c r="A3" s="1390" t="s">
        <v>83</v>
      </c>
      <c r="B3" s="1390"/>
      <c r="C3" s="1390"/>
      <c r="D3" s="1390"/>
      <c r="E3" s="1390"/>
      <c r="F3" s="1390"/>
    </row>
    <row r="4" spans="1:6" ht="13.5" thickBot="1"/>
    <row r="5" spans="1:6" ht="13.5" thickBot="1">
      <c r="B5" s="1391" t="s">
        <v>1040</v>
      </c>
      <c r="C5" s="1392"/>
      <c r="D5" s="1392"/>
      <c r="E5" s="1392"/>
      <c r="F5" s="1393"/>
    </row>
    <row r="6" spans="1:6">
      <c r="B6" s="1309"/>
      <c r="C6" s="1309"/>
      <c r="D6" s="1309"/>
      <c r="E6" s="1309"/>
      <c r="F6" s="1309"/>
    </row>
    <row r="7" spans="1:6">
      <c r="A7" s="23">
        <v>1</v>
      </c>
      <c r="B7" s="26" t="s">
        <v>88</v>
      </c>
      <c r="C7" s="26" t="s">
        <v>73</v>
      </c>
      <c r="D7" s="26" t="s">
        <v>637</v>
      </c>
      <c r="E7" s="26" t="s">
        <v>74</v>
      </c>
      <c r="F7" s="26" t="s">
        <v>87</v>
      </c>
    </row>
    <row r="8" spans="1:6">
      <c r="A8" s="23">
        <f>A7+1</f>
        <v>2</v>
      </c>
      <c r="B8" s="1014" t="s">
        <v>75</v>
      </c>
      <c r="C8" s="1267">
        <v>0.48250000000000004</v>
      </c>
      <c r="D8" s="1268">
        <v>5.1799999999999999E-2</v>
      </c>
      <c r="E8" s="1269">
        <f>D8*C8</f>
        <v>2.4993500000000002E-2</v>
      </c>
      <c r="F8" s="348"/>
    </row>
    <row r="9" spans="1:6">
      <c r="A9" s="23">
        <f t="shared" ref="A9:A15" si="0">A8+1</f>
        <v>3</v>
      </c>
      <c r="B9" s="140" t="s">
        <v>76</v>
      </c>
      <c r="C9" s="1270">
        <v>0</v>
      </c>
      <c r="D9" s="1201">
        <v>0</v>
      </c>
      <c r="E9" s="1271">
        <f>D9*C9</f>
        <v>0</v>
      </c>
      <c r="F9" s="1277">
        <f>E9+E8</f>
        <v>2.4993500000000002E-2</v>
      </c>
    </row>
    <row r="10" spans="1:6">
      <c r="A10" s="23">
        <f t="shared" si="0"/>
        <v>4</v>
      </c>
      <c r="B10" s="1014" t="s">
        <v>89</v>
      </c>
      <c r="C10" s="1270">
        <v>2.0000000000000001E-4</v>
      </c>
      <c r="D10" s="1201">
        <v>6.7500000000000004E-2</v>
      </c>
      <c r="E10" s="1271">
        <f>D10*C10</f>
        <v>1.3500000000000001E-5</v>
      </c>
      <c r="F10" s="1277"/>
    </row>
    <row r="11" spans="1:6">
      <c r="A11" s="23">
        <f t="shared" si="0"/>
        <v>5</v>
      </c>
      <c r="B11" s="1015" t="s">
        <v>90</v>
      </c>
      <c r="C11" s="1270">
        <v>0.51729999999999998</v>
      </c>
      <c r="D11" s="1201">
        <v>0.1</v>
      </c>
      <c r="E11" s="1271">
        <f>D11*C11</f>
        <v>5.1729999999999998E-2</v>
      </c>
      <c r="F11" s="1277"/>
    </row>
    <row r="12" spans="1:6">
      <c r="A12" s="23">
        <f t="shared" si="0"/>
        <v>6</v>
      </c>
      <c r="B12" s="1016" t="s">
        <v>83</v>
      </c>
      <c r="C12" s="1272">
        <f>SUM(C8:C11)</f>
        <v>1</v>
      </c>
      <c r="D12" s="1204"/>
      <c r="E12" s="1273">
        <f>ROUND(SUM(E8:E11),4)</f>
        <v>7.6700000000000004E-2</v>
      </c>
      <c r="F12" s="1278"/>
    </row>
    <row r="13" spans="1:6">
      <c r="A13" s="23">
        <f t="shared" si="0"/>
        <v>7</v>
      </c>
      <c r="C13" s="4"/>
      <c r="D13" s="4"/>
      <c r="F13" s="629"/>
    </row>
    <row r="14" spans="1:6" ht="13.5" thickBot="1">
      <c r="A14" s="23">
        <f t="shared" si="0"/>
        <v>8</v>
      </c>
      <c r="C14" s="4"/>
      <c r="D14" s="4"/>
      <c r="F14" s="629"/>
    </row>
    <row r="15" spans="1:6" ht="13.5" thickBot="1">
      <c r="A15" s="23">
        <f t="shared" si="0"/>
        <v>9</v>
      </c>
      <c r="B15" s="1391" t="s">
        <v>116</v>
      </c>
      <c r="C15" s="1392"/>
      <c r="D15" s="1392"/>
      <c r="E15" s="1392"/>
      <c r="F15" s="1393"/>
    </row>
    <row r="16" spans="1:6">
      <c r="A16" s="23">
        <f t="shared" ref="A16:A22" si="1">A15+1</f>
        <v>10</v>
      </c>
      <c r="B16" s="1309"/>
      <c r="C16" s="1309"/>
      <c r="D16" s="1309"/>
      <c r="E16" s="1309"/>
      <c r="F16" s="1309"/>
    </row>
    <row r="17" spans="1:8">
      <c r="A17" s="23">
        <f t="shared" si="1"/>
        <v>11</v>
      </c>
      <c r="B17" s="26" t="s">
        <v>88</v>
      </c>
      <c r="C17" s="1266" t="s">
        <v>73</v>
      </c>
      <c r="D17" s="1266" t="s">
        <v>637</v>
      </c>
      <c r="E17" s="26" t="s">
        <v>74</v>
      </c>
      <c r="F17" s="1279" t="s">
        <v>87</v>
      </c>
    </row>
    <row r="18" spans="1:8">
      <c r="A18" s="23">
        <f t="shared" si="1"/>
        <v>12</v>
      </c>
      <c r="B18" s="1014" t="s">
        <v>75</v>
      </c>
      <c r="C18" s="1267">
        <v>0.50619999999999998</v>
      </c>
      <c r="D18" s="1274">
        <v>5.1799999999999999E-2</v>
      </c>
      <c r="E18" s="1367">
        <v>2.6221159999999997E-2</v>
      </c>
      <c r="F18" s="1280"/>
    </row>
    <row r="19" spans="1:8">
      <c r="A19" s="23">
        <f t="shared" si="1"/>
        <v>13</v>
      </c>
      <c r="B19" s="140" t="s">
        <v>76</v>
      </c>
      <c r="C19" s="1270">
        <v>0</v>
      </c>
      <c r="D19" s="1275">
        <v>0</v>
      </c>
      <c r="E19" s="1368">
        <v>0</v>
      </c>
      <c r="F19" s="1277">
        <f>E19+E18</f>
        <v>2.6221159999999997E-2</v>
      </c>
    </row>
    <row r="20" spans="1:8">
      <c r="A20" s="23">
        <f t="shared" si="1"/>
        <v>14</v>
      </c>
      <c r="B20" s="1014" t="s">
        <v>89</v>
      </c>
      <c r="C20" s="1270">
        <v>2.8E-3</v>
      </c>
      <c r="D20" s="1275">
        <v>5.4300000000000001E-2</v>
      </c>
      <c r="E20" s="1368">
        <v>1.5204000000000001E-4</v>
      </c>
      <c r="F20" s="1281"/>
    </row>
    <row r="21" spans="1:8">
      <c r="A21" s="23">
        <f t="shared" si="1"/>
        <v>15</v>
      </c>
      <c r="B21" s="1015" t="s">
        <v>90</v>
      </c>
      <c r="C21" s="1270">
        <v>0.49099999999999999</v>
      </c>
      <c r="D21" s="1275">
        <v>0.09</v>
      </c>
      <c r="E21" s="1368">
        <v>4.419E-2</v>
      </c>
      <c r="F21" s="349"/>
    </row>
    <row r="22" spans="1:8">
      <c r="A22" s="23">
        <f t="shared" si="1"/>
        <v>16</v>
      </c>
      <c r="B22" s="1016" t="s">
        <v>83</v>
      </c>
      <c r="C22" s="1272">
        <f>SUM(C18:C21)</f>
        <v>1</v>
      </c>
      <c r="D22" s="1204"/>
      <c r="E22" s="1276">
        <f>ROUND(SUM(E18:E21),4)</f>
        <v>7.0599999999999996E-2</v>
      </c>
      <c r="F22" s="350"/>
    </row>
    <row r="23" spans="1:8">
      <c r="C23" s="4"/>
      <c r="D23" s="4"/>
    </row>
    <row r="25" spans="1:8">
      <c r="F25" s="122"/>
      <c r="H25" s="43"/>
    </row>
  </sheetData>
  <mergeCells count="5">
    <mergeCell ref="A1:F1"/>
    <mergeCell ref="A2:F2"/>
    <mergeCell ref="A3:F3"/>
    <mergeCell ref="B15:F15"/>
    <mergeCell ref="B5:F5"/>
  </mergeCells>
  <phoneticPr fontId="0" type="noConversion"/>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J370"/>
  <sheetViews>
    <sheetView workbookViewId="0">
      <selection activeCell="F16" sqref="F16"/>
    </sheetView>
  </sheetViews>
  <sheetFormatPr defaultColWidth="8.85546875" defaultRowHeight="12.75"/>
  <cols>
    <col min="1" max="1" width="27.140625" style="1" customWidth="1"/>
    <col min="2" max="2" width="9.7109375" style="1" bestFit="1" customWidth="1"/>
    <col min="3" max="3" width="5.42578125" style="1" bestFit="1" customWidth="1"/>
    <col min="4" max="4" width="12.28515625" style="1" bestFit="1" customWidth="1"/>
    <col min="5" max="5" width="8" style="1" bestFit="1" customWidth="1"/>
    <col min="6" max="6" width="10" style="1" bestFit="1" customWidth="1"/>
    <col min="7" max="7" width="13.28515625" style="1" bestFit="1" customWidth="1"/>
    <col min="8" max="8" width="9.28515625" style="1" bestFit="1" customWidth="1"/>
    <col min="9" max="16384" width="8.85546875" style="1"/>
  </cols>
  <sheetData>
    <row r="1" spans="1:10">
      <c r="A1" s="17" t="str">
        <f>RevReqSummary!A1</f>
        <v>PacifiCorp General Rate Case UE-140617</v>
      </c>
      <c r="B1" s="232"/>
      <c r="C1" s="232"/>
      <c r="D1" s="232"/>
      <c r="E1" s="232"/>
      <c r="F1" s="603"/>
      <c r="G1" s="232"/>
      <c r="H1" s="484"/>
      <c r="I1" s="602"/>
      <c r="J1" s="602"/>
    </row>
    <row r="2" spans="1:10">
      <c r="A2" s="17" t="str">
        <f>RevReqSummary!A2</f>
        <v>For The Twelve Months Ended December 2013 - Staff Revenue Requirement</v>
      </c>
      <c r="B2" s="232"/>
      <c r="C2" s="232"/>
      <c r="D2" s="232"/>
      <c r="E2" s="232"/>
      <c r="F2" s="603"/>
      <c r="G2" s="232"/>
      <c r="H2" s="484"/>
      <c r="I2" s="602"/>
      <c r="J2" s="602"/>
    </row>
    <row r="3" spans="1:10">
      <c r="A3" s="235" t="s">
        <v>418</v>
      </c>
      <c r="B3" s="232"/>
      <c r="C3" s="232"/>
      <c r="D3" s="232"/>
      <c r="E3" s="232"/>
      <c r="F3" s="603"/>
      <c r="G3" s="232"/>
      <c r="H3" s="484"/>
      <c r="I3" s="602"/>
      <c r="J3" s="602"/>
    </row>
    <row r="4" spans="1:10">
      <c r="A4" s="604" t="s">
        <v>659</v>
      </c>
      <c r="B4" s="232"/>
      <c r="C4" s="232"/>
      <c r="D4" s="232"/>
      <c r="E4" s="232"/>
      <c r="F4" s="603"/>
      <c r="G4" s="232"/>
      <c r="H4" s="484"/>
      <c r="I4" s="602"/>
      <c r="J4" s="602"/>
    </row>
    <row r="5" spans="1:10">
      <c r="A5" s="602"/>
      <c r="B5" s="232"/>
      <c r="C5" s="232"/>
      <c r="D5" s="232"/>
      <c r="E5" s="232"/>
      <c r="F5" s="603"/>
      <c r="G5" s="232"/>
      <c r="H5" s="484"/>
      <c r="I5" s="602"/>
      <c r="J5" s="602"/>
    </row>
    <row r="6" spans="1:10">
      <c r="A6" s="602"/>
      <c r="B6" s="23"/>
      <c r="C6" s="23"/>
      <c r="D6" s="23" t="s">
        <v>131</v>
      </c>
      <c r="E6" s="23"/>
      <c r="F6" s="23"/>
      <c r="G6" s="23" t="s">
        <v>236</v>
      </c>
      <c r="H6" s="484"/>
      <c r="I6" s="602"/>
      <c r="J6" s="602"/>
    </row>
    <row r="7" spans="1:10">
      <c r="A7" s="602"/>
      <c r="B7" s="26" t="s">
        <v>132</v>
      </c>
      <c r="C7" s="26" t="s">
        <v>660</v>
      </c>
      <c r="D7" s="26" t="s">
        <v>134</v>
      </c>
      <c r="E7" s="26" t="s">
        <v>135</v>
      </c>
      <c r="F7" s="26" t="s">
        <v>136</v>
      </c>
      <c r="G7" s="26" t="s">
        <v>137</v>
      </c>
      <c r="H7" s="486"/>
      <c r="I7" s="602"/>
      <c r="J7" s="602"/>
    </row>
    <row r="8" spans="1:10">
      <c r="A8" s="240"/>
      <c r="B8" s="241"/>
      <c r="C8" s="241"/>
      <c r="D8" s="241"/>
      <c r="E8" s="241"/>
      <c r="F8" s="532"/>
      <c r="G8" s="31"/>
      <c r="H8" s="484"/>
      <c r="I8" s="602"/>
      <c r="J8" s="602"/>
    </row>
    <row r="9" spans="1:10">
      <c r="A9" s="240" t="s">
        <v>222</v>
      </c>
      <c r="B9" s="605"/>
      <c r="C9" s="163"/>
      <c r="D9" s="262"/>
      <c r="E9" s="606"/>
      <c r="F9" s="607"/>
      <c r="G9" s="608"/>
      <c r="H9" s="484"/>
      <c r="I9" s="609"/>
      <c r="J9" s="602"/>
    </row>
    <row r="10" spans="1:10">
      <c r="A10" s="609" t="s">
        <v>17</v>
      </c>
      <c r="B10" s="610">
        <v>312</v>
      </c>
      <c r="C10" s="163" t="s">
        <v>398</v>
      </c>
      <c r="D10" s="639">
        <v>11092551.17</v>
      </c>
      <c r="E10" s="242" t="s">
        <v>231</v>
      </c>
      <c r="F10" s="457">
        <f t="shared" ref="F10:F17" si="0">INDEX(WCAAllocations,IFERROR(MATCH(E10,WCAFactors,0),2),IFERROR(MATCH(E10,WCAStates,0),4))</f>
        <v>0.22953887558714423</v>
      </c>
      <c r="G10" s="608">
        <f>D10*F10</f>
        <v>2546171.7229546611</v>
      </c>
      <c r="H10" s="611"/>
      <c r="I10" s="609"/>
      <c r="J10" s="602"/>
    </row>
    <row r="11" spans="1:10">
      <c r="A11" s="609" t="s">
        <v>17</v>
      </c>
      <c r="B11" s="610">
        <v>312</v>
      </c>
      <c r="C11" s="163" t="s">
        <v>398</v>
      </c>
      <c r="D11" s="639">
        <v>250000</v>
      </c>
      <c r="E11" s="242" t="s">
        <v>203</v>
      </c>
      <c r="F11" s="457">
        <f t="shared" si="0"/>
        <v>0.23084885646883446</v>
      </c>
      <c r="G11" s="608">
        <f t="shared" ref="G11:G17" si="1">D11*F11</f>
        <v>57712.214117208612</v>
      </c>
      <c r="H11" s="611"/>
      <c r="I11" s="609"/>
      <c r="J11" s="602"/>
    </row>
    <row r="12" spans="1:10">
      <c r="A12" s="609" t="s">
        <v>19</v>
      </c>
      <c r="B12" s="610">
        <v>332</v>
      </c>
      <c r="C12" s="163" t="s">
        <v>398</v>
      </c>
      <c r="D12" s="639">
        <v>74403587.800000012</v>
      </c>
      <c r="E12" s="242" t="s">
        <v>203</v>
      </c>
      <c r="F12" s="457">
        <f t="shared" si="0"/>
        <v>0.23084885646883446</v>
      </c>
      <c r="G12" s="608">
        <f t="shared" si="1"/>
        <v>17175983.160808526</v>
      </c>
      <c r="H12" s="611"/>
      <c r="I12" s="609"/>
      <c r="J12" s="602"/>
    </row>
    <row r="13" spans="1:10">
      <c r="A13" s="609" t="s">
        <v>21</v>
      </c>
      <c r="B13" s="610">
        <v>355</v>
      </c>
      <c r="C13" s="163" t="s">
        <v>398</v>
      </c>
      <c r="D13" s="639">
        <v>3359988.65</v>
      </c>
      <c r="E13" s="242" t="s">
        <v>231</v>
      </c>
      <c r="F13" s="457">
        <f t="shared" si="0"/>
        <v>0.22953887558714423</v>
      </c>
      <c r="G13" s="608">
        <f t="shared" si="1"/>
        <v>771248.01670656668</v>
      </c>
      <c r="H13" s="611"/>
      <c r="I13" s="609"/>
      <c r="J13" s="602"/>
    </row>
    <row r="14" spans="1:10">
      <c r="A14" s="609" t="s">
        <v>21</v>
      </c>
      <c r="B14" s="610">
        <v>355</v>
      </c>
      <c r="C14" s="163" t="s">
        <v>398</v>
      </c>
      <c r="D14" s="639">
        <v>19538849.989999998</v>
      </c>
      <c r="E14" s="242" t="s">
        <v>203</v>
      </c>
      <c r="F14" s="457">
        <f t="shared" si="0"/>
        <v>0.23084885646883446</v>
      </c>
      <c r="G14" s="608">
        <f t="shared" si="1"/>
        <v>4510521.1769075971</v>
      </c>
      <c r="H14" s="611"/>
      <c r="I14" s="609"/>
      <c r="J14" s="602"/>
    </row>
    <row r="15" spans="1:10">
      <c r="A15" s="609" t="s">
        <v>757</v>
      </c>
      <c r="B15" s="610">
        <v>397</v>
      </c>
      <c r="C15" s="163" t="s">
        <v>398</v>
      </c>
      <c r="D15" s="639">
        <v>4414551</v>
      </c>
      <c r="E15" s="242" t="s">
        <v>130</v>
      </c>
      <c r="F15" s="457">
        <f t="shared" si="0"/>
        <v>6.8539355270203509E-2</v>
      </c>
      <c r="G15" s="608">
        <f t="shared" si="1"/>
        <v>302570.47934743215</v>
      </c>
      <c r="H15" s="611"/>
      <c r="I15" s="609"/>
      <c r="J15" s="602"/>
    </row>
    <row r="16" spans="1:10">
      <c r="A16" s="609" t="s">
        <v>757</v>
      </c>
      <c r="B16" s="610">
        <v>397</v>
      </c>
      <c r="C16" s="163" t="s">
        <v>398</v>
      </c>
      <c r="D16" s="639">
        <v>1418280.8099999996</v>
      </c>
      <c r="E16" s="242" t="s">
        <v>203</v>
      </c>
      <c r="F16" s="457">
        <f t="shared" si="0"/>
        <v>0.23084885646883446</v>
      </c>
      <c r="G16" s="608">
        <f t="shared" si="1"/>
        <v>327408.50314019219</v>
      </c>
      <c r="H16" s="611"/>
      <c r="I16" s="609"/>
      <c r="J16" s="602"/>
    </row>
    <row r="17" spans="1:10">
      <c r="A17" s="609"/>
      <c r="B17" s="610">
        <v>360</v>
      </c>
      <c r="C17" s="163" t="s">
        <v>398</v>
      </c>
      <c r="D17" s="639">
        <v>14732967</v>
      </c>
      <c r="E17" s="242" t="s">
        <v>141</v>
      </c>
      <c r="F17" s="457">
        <f t="shared" si="0"/>
        <v>1</v>
      </c>
      <c r="G17" s="608">
        <f t="shared" si="1"/>
        <v>14732967</v>
      </c>
      <c r="H17" s="611"/>
      <c r="I17" s="609"/>
      <c r="J17" s="602"/>
    </row>
    <row r="18" spans="1:10">
      <c r="A18" s="612" t="s">
        <v>586</v>
      </c>
      <c r="B18" s="610"/>
      <c r="C18" s="163"/>
      <c r="D18" s="242">
        <f>SUM(D10:D17)</f>
        <v>129210776.42000002</v>
      </c>
      <c r="E18" s="242"/>
      <c r="F18" s="607"/>
      <c r="G18" s="613">
        <f>SUM(G10:G17)</f>
        <v>40424582.27398219</v>
      </c>
      <c r="H18" s="484"/>
      <c r="I18" s="609"/>
      <c r="J18" s="602"/>
    </row>
    <row r="19" spans="1:10">
      <c r="A19" s="609"/>
      <c r="B19" s="610"/>
      <c r="C19" s="163"/>
      <c r="D19" s="242"/>
      <c r="E19" s="242"/>
      <c r="F19" s="607"/>
      <c r="G19" s="608"/>
      <c r="H19" s="611"/>
      <c r="I19" s="609"/>
      <c r="J19" s="602"/>
    </row>
    <row r="20" spans="1:10">
      <c r="A20" s="244" t="s">
        <v>587</v>
      </c>
      <c r="B20" s="610" t="s">
        <v>178</v>
      </c>
      <c r="C20" s="163" t="s">
        <v>398</v>
      </c>
      <c r="D20" s="639">
        <v>-269127.44585082645</v>
      </c>
      <c r="E20" s="242" t="s">
        <v>231</v>
      </c>
      <c r="F20" s="457">
        <f t="shared" ref="F20:F27" si="2">INDEX(WCAAllocations,IFERROR(MATCH(E20,WCAFactors,0),2),IFERROR(MATCH(E20,WCAStates,0),4))</f>
        <v>0.22953887558714423</v>
      </c>
      <c r="G20" s="608">
        <f>D20*F20</f>
        <v>-61775.211310238745</v>
      </c>
      <c r="H20" s="611"/>
      <c r="I20" s="609"/>
      <c r="J20" s="602"/>
    </row>
    <row r="21" spans="1:10">
      <c r="A21" s="244" t="s">
        <v>587</v>
      </c>
      <c r="B21" s="610" t="s">
        <v>175</v>
      </c>
      <c r="C21" s="163" t="s">
        <v>398</v>
      </c>
      <c r="D21" s="639">
        <v>-7748.2076689387459</v>
      </c>
      <c r="E21" s="242" t="s">
        <v>203</v>
      </c>
      <c r="F21" s="457">
        <f t="shared" si="2"/>
        <v>0.23084885646883446</v>
      </c>
      <c r="G21" s="608">
        <f t="shared" ref="G21:G26" si="3">D21*F21</f>
        <v>-1788.6648800575631</v>
      </c>
      <c r="H21" s="611"/>
      <c r="I21" s="609"/>
      <c r="J21" s="602"/>
    </row>
    <row r="22" spans="1:10">
      <c r="A22" s="244" t="s">
        <v>587</v>
      </c>
      <c r="B22" s="610" t="s">
        <v>175</v>
      </c>
      <c r="C22" s="163" t="s">
        <v>398</v>
      </c>
      <c r="D22" s="639">
        <v>-1757654.4159605077</v>
      </c>
      <c r="E22" s="242" t="s">
        <v>203</v>
      </c>
      <c r="F22" s="457">
        <f t="shared" si="2"/>
        <v>0.23084885646883446</v>
      </c>
      <c r="G22" s="608">
        <f t="shared" si="3"/>
        <v>-405752.51199188031</v>
      </c>
      <c r="H22" s="611"/>
      <c r="I22" s="609"/>
      <c r="J22" s="602"/>
    </row>
    <row r="23" spans="1:10">
      <c r="A23" s="244" t="s">
        <v>587</v>
      </c>
      <c r="B23" s="610" t="s">
        <v>179</v>
      </c>
      <c r="C23" s="163" t="s">
        <v>398</v>
      </c>
      <c r="D23" s="639">
        <v>-35463.145456496655</v>
      </c>
      <c r="E23" s="242" t="s">
        <v>231</v>
      </c>
      <c r="F23" s="457">
        <f t="shared" si="2"/>
        <v>0.22953887558714423</v>
      </c>
      <c r="G23" s="608">
        <f t="shared" si="3"/>
        <v>-8140.1705328675844</v>
      </c>
      <c r="H23" s="611"/>
      <c r="I23" s="609"/>
      <c r="J23" s="602"/>
    </row>
    <row r="24" spans="1:10">
      <c r="A24" s="244" t="s">
        <v>587</v>
      </c>
      <c r="B24" s="610" t="s">
        <v>179</v>
      </c>
      <c r="C24" s="163" t="s">
        <v>398</v>
      </c>
      <c r="D24" s="639">
        <v>-197466.9216401552</v>
      </c>
      <c r="E24" s="242" t="s">
        <v>203</v>
      </c>
      <c r="F24" s="457">
        <f t="shared" si="2"/>
        <v>0.23084885646883446</v>
      </c>
      <c r="G24" s="608">
        <f t="shared" si="3"/>
        <v>-45585.013051050766</v>
      </c>
      <c r="H24" s="611"/>
      <c r="I24" s="609"/>
      <c r="J24" s="602"/>
    </row>
    <row r="25" spans="1:10">
      <c r="A25" s="244" t="s">
        <v>587</v>
      </c>
      <c r="B25" s="610" t="s">
        <v>174</v>
      </c>
      <c r="C25" s="163" t="s">
        <v>398</v>
      </c>
      <c r="D25" s="639">
        <v>-276552.05257003935</v>
      </c>
      <c r="E25" s="242" t="s">
        <v>130</v>
      </c>
      <c r="F25" s="457">
        <f t="shared" si="2"/>
        <v>6.8539355270203509E-2</v>
      </c>
      <c r="G25" s="608">
        <f t="shared" si="3"/>
        <v>-18954.699381801925</v>
      </c>
      <c r="H25" s="611"/>
      <c r="I25" s="609"/>
      <c r="J25" s="602"/>
    </row>
    <row r="26" spans="1:10">
      <c r="A26" s="244" t="s">
        <v>587</v>
      </c>
      <c r="B26" s="610" t="s">
        <v>174</v>
      </c>
      <c r="C26" s="163" t="s">
        <v>398</v>
      </c>
      <c r="D26" s="639">
        <v>-16327.449055494604</v>
      </c>
      <c r="E26" s="242" t="s">
        <v>203</v>
      </c>
      <c r="F26" s="457">
        <f t="shared" si="2"/>
        <v>0.23084885646883446</v>
      </c>
      <c r="G26" s="608">
        <f t="shared" si="3"/>
        <v>-3769.1729435140805</v>
      </c>
      <c r="H26" s="611"/>
      <c r="I26" s="609"/>
      <c r="J26" s="602"/>
    </row>
    <row r="27" spans="1:10">
      <c r="A27" s="244" t="s">
        <v>587</v>
      </c>
      <c r="B27" s="232">
        <v>108360</v>
      </c>
      <c r="C27" s="163" t="s">
        <v>398</v>
      </c>
      <c r="D27" s="639">
        <v>-219675.64674810809</v>
      </c>
      <c r="E27" s="242" t="s">
        <v>141</v>
      </c>
      <c r="F27" s="457">
        <f t="shared" si="2"/>
        <v>1</v>
      </c>
      <c r="G27" s="608">
        <f>D27*F27</f>
        <v>-219675.64674810809</v>
      </c>
      <c r="H27" s="484"/>
      <c r="I27" s="609"/>
      <c r="J27" s="602"/>
    </row>
    <row r="28" spans="1:10">
      <c r="A28" s="248" t="s">
        <v>588</v>
      </c>
      <c r="B28" s="232"/>
      <c r="C28" s="163"/>
      <c r="D28" s="249">
        <f>SUM(D20:D27)</f>
        <v>-2780015.2849505674</v>
      </c>
      <c r="E28" s="242"/>
      <c r="F28" s="607"/>
      <c r="G28" s="614">
        <f>SUM(G20:G27)</f>
        <v>-765441.09083951905</v>
      </c>
      <c r="H28" s="484"/>
      <c r="I28" s="609"/>
      <c r="J28" s="602"/>
    </row>
    <row r="29" spans="1:10">
      <c r="A29" s="244"/>
      <c r="B29" s="610"/>
      <c r="C29" s="615"/>
      <c r="D29" s="242"/>
      <c r="E29" s="242"/>
      <c r="F29" s="607"/>
      <c r="G29" s="608"/>
      <c r="H29" s="484"/>
    </row>
    <row r="30" spans="1:10">
      <c r="A30" s="248" t="s">
        <v>199</v>
      </c>
      <c r="B30" s="610"/>
      <c r="C30" s="615"/>
      <c r="D30" s="242"/>
      <c r="E30" s="242"/>
      <c r="F30" s="607"/>
      <c r="G30" s="608"/>
      <c r="H30" s="484"/>
    </row>
    <row r="31" spans="1:10">
      <c r="A31" s="244" t="s">
        <v>467</v>
      </c>
      <c r="B31" s="610" t="s">
        <v>186</v>
      </c>
      <c r="C31" s="163" t="s">
        <v>398</v>
      </c>
      <c r="D31" s="639">
        <v>269127.44585082645</v>
      </c>
      <c r="E31" s="242" t="s">
        <v>231</v>
      </c>
      <c r="F31" s="457">
        <f t="shared" ref="F31:F38" si="4">INDEX(WCAAllocations,IFERROR(MATCH(E31,WCAFactors,0),2),IFERROR(MATCH(E31,WCAStates,0),4))</f>
        <v>0.22953887558714423</v>
      </c>
      <c r="G31" s="608">
        <f>D31*F31</f>
        <v>61775.211310238745</v>
      </c>
      <c r="H31" s="484"/>
    </row>
    <row r="32" spans="1:10">
      <c r="A32" s="244" t="s">
        <v>467</v>
      </c>
      <c r="B32" s="610" t="s">
        <v>186</v>
      </c>
      <c r="C32" s="163" t="s">
        <v>398</v>
      </c>
      <c r="D32" s="639">
        <v>6887.2957057233298</v>
      </c>
      <c r="E32" s="242" t="s">
        <v>203</v>
      </c>
      <c r="F32" s="457">
        <f t="shared" si="4"/>
        <v>0.23084885646883446</v>
      </c>
      <c r="G32" s="608">
        <f t="shared" ref="G32:G37" si="5">D32*F32</f>
        <v>1589.924337828945</v>
      </c>
      <c r="H32" s="484"/>
    </row>
    <row r="33" spans="1:8">
      <c r="A33" s="244" t="s">
        <v>467</v>
      </c>
      <c r="B33" s="610" t="s">
        <v>184</v>
      </c>
      <c r="C33" s="163" t="s">
        <v>398</v>
      </c>
      <c r="D33" s="639">
        <v>1683568.466923015</v>
      </c>
      <c r="E33" s="242" t="s">
        <v>203</v>
      </c>
      <c r="F33" s="457">
        <f t="shared" si="4"/>
        <v>0.23084885646883446</v>
      </c>
      <c r="G33" s="608">
        <f t="shared" si="5"/>
        <v>388649.85537616676</v>
      </c>
      <c r="H33" s="484"/>
    </row>
    <row r="34" spans="1:8">
      <c r="A34" s="244" t="s">
        <v>467</v>
      </c>
      <c r="B34" s="610" t="s">
        <v>187</v>
      </c>
      <c r="C34" s="163" t="s">
        <v>398</v>
      </c>
      <c r="D34" s="639">
        <v>35463.145456496655</v>
      </c>
      <c r="E34" s="242" t="s">
        <v>231</v>
      </c>
      <c r="F34" s="457">
        <f t="shared" si="4"/>
        <v>0.22953887558714423</v>
      </c>
      <c r="G34" s="608">
        <f t="shared" si="5"/>
        <v>8140.1705328675844</v>
      </c>
      <c r="H34" s="484"/>
    </row>
    <row r="35" spans="1:8">
      <c r="A35" s="244" t="s">
        <v>467</v>
      </c>
      <c r="B35" s="610" t="s">
        <v>187</v>
      </c>
      <c r="C35" s="163" t="s">
        <v>398</v>
      </c>
      <c r="D35" s="639">
        <v>186480.78177964874</v>
      </c>
      <c r="E35" s="358" t="s">
        <v>203</v>
      </c>
      <c r="F35" s="457">
        <f t="shared" si="4"/>
        <v>0.23084885646883446</v>
      </c>
      <c r="G35" s="608">
        <f t="shared" si="5"/>
        <v>43048.875227246172</v>
      </c>
      <c r="H35" s="484"/>
    </row>
    <row r="36" spans="1:8">
      <c r="A36" s="244" t="s">
        <v>467</v>
      </c>
      <c r="B36" s="610" t="s">
        <v>183</v>
      </c>
      <c r="C36" s="163" t="s">
        <v>398</v>
      </c>
      <c r="D36" s="639">
        <v>265489.97046723781</v>
      </c>
      <c r="E36" s="242" t="s">
        <v>130</v>
      </c>
      <c r="F36" s="457">
        <f t="shared" si="4"/>
        <v>6.8539355270203509E-2</v>
      </c>
      <c r="G36" s="608">
        <f t="shared" si="5"/>
        <v>18196.511406529851</v>
      </c>
      <c r="H36" s="484"/>
    </row>
    <row r="37" spans="1:8">
      <c r="A37" s="244" t="s">
        <v>467</v>
      </c>
      <c r="B37" s="610" t="s">
        <v>183</v>
      </c>
      <c r="C37" s="163" t="s">
        <v>398</v>
      </c>
      <c r="D37" s="639">
        <v>16327.449055494604</v>
      </c>
      <c r="E37" s="242" t="s">
        <v>203</v>
      </c>
      <c r="F37" s="457">
        <f t="shared" si="4"/>
        <v>0.23084885646883446</v>
      </c>
      <c r="G37" s="608">
        <f t="shared" si="5"/>
        <v>3769.1729435140805</v>
      </c>
      <c r="H37" s="484"/>
    </row>
    <row r="38" spans="1:8">
      <c r="A38" s="244" t="s">
        <v>467</v>
      </c>
      <c r="B38" s="610">
        <v>403360</v>
      </c>
      <c r="C38" s="163" t="s">
        <v>398</v>
      </c>
      <c r="D38" s="639">
        <v>219675.64674810809</v>
      </c>
      <c r="E38" s="242" t="s">
        <v>141</v>
      </c>
      <c r="F38" s="457">
        <f t="shared" si="4"/>
        <v>1</v>
      </c>
      <c r="G38" s="608">
        <f>D38*F38</f>
        <v>219675.64674810809</v>
      </c>
      <c r="H38" s="484"/>
    </row>
    <row r="39" spans="1:8">
      <c r="A39" s="248" t="s">
        <v>589</v>
      </c>
      <c r="B39" s="610"/>
      <c r="C39" s="163"/>
      <c r="D39" s="242">
        <f>SUM(D31:D38)</f>
        <v>2683020.2019865504</v>
      </c>
      <c r="E39" s="242"/>
      <c r="F39" s="607"/>
      <c r="G39" s="613">
        <f>SUM(G31:G38)</f>
        <v>744845.36788250029</v>
      </c>
      <c r="H39" s="484"/>
    </row>
    <row r="40" spans="1:8">
      <c r="A40" s="244"/>
      <c r="B40" s="610"/>
      <c r="C40" s="163"/>
      <c r="D40" s="242"/>
      <c r="E40" s="242"/>
      <c r="F40" s="607"/>
      <c r="G40" s="608"/>
      <c r="H40" s="484"/>
    </row>
    <row r="41" spans="1:8" s="153" customFormat="1">
      <c r="A41" s="506" t="s">
        <v>234</v>
      </c>
      <c r="B41" s="610"/>
      <c r="C41" s="610"/>
      <c r="D41" s="242"/>
      <c r="E41" s="261"/>
      <c r="F41" s="607"/>
      <c r="G41" s="262"/>
      <c r="H41" s="611"/>
    </row>
    <row r="42" spans="1:8" s="153" customFormat="1">
      <c r="A42" s="510" t="s">
        <v>758</v>
      </c>
      <c r="B42" s="616" t="s">
        <v>191</v>
      </c>
      <c r="C42" s="616" t="s">
        <v>398</v>
      </c>
      <c r="D42" s="639">
        <v>304590.59130732319</v>
      </c>
      <c r="E42" s="242" t="s">
        <v>231</v>
      </c>
      <c r="F42" s="457">
        <f>INDEX(WCAAllocations,IFERROR(MATCH(E42,WCAFactors,0),2),IFERROR(MATCH(E42,WCAStates,0),4))</f>
        <v>0.22953887558714423</v>
      </c>
      <c r="G42" s="608">
        <f>D42*F42</f>
        <v>69915.381843106356</v>
      </c>
      <c r="H42" s="611"/>
    </row>
    <row r="43" spans="1:8" s="153" customFormat="1">
      <c r="A43" s="510" t="s">
        <v>758</v>
      </c>
      <c r="B43" s="511" t="s">
        <v>193</v>
      </c>
      <c r="C43" s="511" t="s">
        <v>398</v>
      </c>
      <c r="D43" s="639">
        <v>717971</v>
      </c>
      <c r="E43" s="242" t="s">
        <v>231</v>
      </c>
      <c r="F43" s="457">
        <f>INDEX(WCAAllocations,IFERROR(MATCH(E43,WCAFactors,0),2),IFERROR(MATCH(E43,WCAStates,0),4))</f>
        <v>0.22953887558714423</v>
      </c>
      <c r="G43" s="608">
        <f>D43*F43</f>
        <v>164802.25604417751</v>
      </c>
      <c r="H43" s="611"/>
    </row>
    <row r="44" spans="1:8" s="153" customFormat="1">
      <c r="A44" s="510" t="s">
        <v>341</v>
      </c>
      <c r="B44" s="616">
        <v>41010</v>
      </c>
      <c r="C44" s="616" t="s">
        <v>398</v>
      </c>
      <c r="D44" s="639">
        <v>156882</v>
      </c>
      <c r="E44" s="242" t="s">
        <v>231</v>
      </c>
      <c r="F44" s="457">
        <f>INDEX(WCAAllocations,IFERROR(MATCH(E44,WCAFactors,0),2),IFERROR(MATCH(E44,WCAStates,0),4))</f>
        <v>0.22953887558714423</v>
      </c>
      <c r="G44" s="608">
        <f>D44*F44</f>
        <v>36010.51787986236</v>
      </c>
      <c r="H44" s="611"/>
    </row>
    <row r="45" spans="1:8" s="153" customFormat="1">
      <c r="A45" s="490" t="s">
        <v>759</v>
      </c>
      <c r="B45" s="610">
        <v>282</v>
      </c>
      <c r="C45" s="610" t="s">
        <v>398</v>
      </c>
      <c r="D45" s="639">
        <v>-212284</v>
      </c>
      <c r="E45" s="242" t="s">
        <v>231</v>
      </c>
      <c r="F45" s="457">
        <f>INDEX(WCAAllocations,IFERROR(MATCH(E45,WCAFactors,0),2),IFERROR(MATCH(E45,WCAStates,0),4))</f>
        <v>0.22953887558714423</v>
      </c>
      <c r="G45" s="608">
        <f>D45*F45</f>
        <v>-48727.430665141328</v>
      </c>
      <c r="H45" s="611"/>
    </row>
    <row r="46" spans="1:8" s="153" customFormat="1">
      <c r="A46" s="606"/>
      <c r="B46" s="616"/>
      <c r="C46" s="616"/>
      <c r="D46" s="617"/>
      <c r="E46" s="608"/>
      <c r="F46" s="608"/>
      <c r="G46" s="608"/>
      <c r="H46" s="611"/>
    </row>
    <row r="47" spans="1:8" s="153" customFormat="1">
      <c r="A47" s="490" t="s">
        <v>758</v>
      </c>
      <c r="B47" s="511" t="s">
        <v>191</v>
      </c>
      <c r="C47" s="511" t="s">
        <v>398</v>
      </c>
      <c r="D47" s="639">
        <v>1893263.9934638818</v>
      </c>
      <c r="E47" s="242" t="s">
        <v>203</v>
      </c>
      <c r="F47" s="457">
        <f>INDEX(WCAAllocations,IFERROR(MATCH(E47,WCAFactors,0),2),IFERROR(MATCH(E47,WCAStates,0),4))</f>
        <v>0.23084885646883446</v>
      </c>
      <c r="G47" s="608">
        <f>D47*F47</f>
        <v>437057.82788475597</v>
      </c>
      <c r="H47" s="611"/>
    </row>
    <row r="48" spans="1:8" s="153" customFormat="1">
      <c r="A48" s="490" t="s">
        <v>758</v>
      </c>
      <c r="B48" s="616" t="s">
        <v>193</v>
      </c>
      <c r="C48" s="616" t="s">
        <v>398</v>
      </c>
      <c r="D48" s="639">
        <v>21266885</v>
      </c>
      <c r="E48" s="242" t="s">
        <v>203</v>
      </c>
      <c r="F48" s="457">
        <f>INDEX(WCAAllocations,IFERROR(MATCH(E48,WCAFactors,0),2),IFERROR(MATCH(E48,WCAStates,0),4))</f>
        <v>0.23084885646883446</v>
      </c>
      <c r="G48" s="608">
        <f>D48*F48</f>
        <v>4909436.0829042085</v>
      </c>
      <c r="H48" s="611"/>
    </row>
    <row r="49" spans="1:8" s="153" customFormat="1">
      <c r="A49" s="490" t="s">
        <v>341</v>
      </c>
      <c r="B49" s="511">
        <v>41010</v>
      </c>
      <c r="C49" s="511" t="s">
        <v>398</v>
      </c>
      <c r="D49" s="639">
        <v>7352488</v>
      </c>
      <c r="E49" s="242" t="s">
        <v>203</v>
      </c>
      <c r="F49" s="457">
        <f>INDEX(WCAAllocations,IFERROR(MATCH(E49,WCAFactors,0),2),IFERROR(MATCH(E49,WCAStates,0),4))</f>
        <v>0.23084885646883446</v>
      </c>
      <c r="G49" s="608">
        <f>D49*F49</f>
        <v>1697313.4470008279</v>
      </c>
      <c r="H49" s="611"/>
    </row>
    <row r="50" spans="1:8" s="153" customFormat="1">
      <c r="A50" s="490" t="s">
        <v>759</v>
      </c>
      <c r="B50" s="616">
        <v>282</v>
      </c>
      <c r="C50" s="616" t="s">
        <v>398</v>
      </c>
      <c r="D50" s="639">
        <v>-9823226</v>
      </c>
      <c r="E50" s="242" t="s">
        <v>203</v>
      </c>
      <c r="F50" s="457">
        <f>INDEX(WCAAllocations,IFERROR(MATCH(E50,WCAFactors,0),2),IFERROR(MATCH(E50,WCAStates,0),4))</f>
        <v>0.23084885646883446</v>
      </c>
      <c r="G50" s="608">
        <f>D50*F50</f>
        <v>-2267680.488934923</v>
      </c>
      <c r="H50" s="611"/>
    </row>
    <row r="51" spans="1:8" s="153" customFormat="1">
      <c r="A51" s="490"/>
      <c r="B51" s="616"/>
      <c r="C51" s="616"/>
      <c r="D51" s="242"/>
      <c r="E51" s="608"/>
      <c r="F51" s="608"/>
      <c r="G51" s="608"/>
      <c r="H51" s="611"/>
    </row>
    <row r="52" spans="1:8" s="153" customFormat="1">
      <c r="A52" s="490" t="s">
        <v>758</v>
      </c>
      <c r="B52" s="616" t="s">
        <v>191</v>
      </c>
      <c r="C52" s="616" t="s">
        <v>398</v>
      </c>
      <c r="D52" s="639">
        <v>219675.64674810809</v>
      </c>
      <c r="E52" s="242" t="s">
        <v>141</v>
      </c>
      <c r="F52" s="457">
        <f>INDEX(WCAAllocations,IFERROR(MATCH(E52,WCAFactors,0),2),IFERROR(MATCH(E52,WCAStates,0),4))</f>
        <v>1</v>
      </c>
      <c r="G52" s="608">
        <f t="shared" ref="G52:G60" si="6">D52*F52</f>
        <v>219675.64674810809</v>
      </c>
      <c r="H52" s="611"/>
    </row>
    <row r="53" spans="1:8" s="153" customFormat="1">
      <c r="A53" s="490" t="s">
        <v>758</v>
      </c>
      <c r="B53" s="616" t="s">
        <v>193</v>
      </c>
      <c r="C53" s="616" t="s">
        <v>398</v>
      </c>
      <c r="D53" s="639">
        <v>680260</v>
      </c>
      <c r="E53" s="242" t="s">
        <v>141</v>
      </c>
      <c r="F53" s="457">
        <f>INDEX(WCAAllocations,IFERROR(MATCH(E53,WCAFactors,0),2),IFERROR(MATCH(E53,WCAStates,0),4))</f>
        <v>1</v>
      </c>
      <c r="G53" s="608">
        <f t="shared" si="6"/>
        <v>680260</v>
      </c>
      <c r="H53" s="611"/>
    </row>
    <row r="54" spans="1:8" s="153" customFormat="1">
      <c r="A54" s="490" t="s">
        <v>341</v>
      </c>
      <c r="B54" s="616">
        <v>41010</v>
      </c>
      <c r="C54" s="616" t="s">
        <v>398</v>
      </c>
      <c r="D54" s="639">
        <v>174796</v>
      </c>
      <c r="E54" s="242" t="s">
        <v>141</v>
      </c>
      <c r="F54" s="457">
        <f>INDEX(WCAAllocations,IFERROR(MATCH(E54,WCAFactors,0),2),IFERROR(MATCH(E54,WCAStates,0),4))</f>
        <v>1</v>
      </c>
      <c r="G54" s="608">
        <f t="shared" si="6"/>
        <v>174796</v>
      </c>
      <c r="H54" s="611"/>
    </row>
    <row r="55" spans="1:8" s="153" customFormat="1">
      <c r="A55" s="490" t="s">
        <v>759</v>
      </c>
      <c r="B55" s="616">
        <v>282</v>
      </c>
      <c r="C55" s="616" t="s">
        <v>398</v>
      </c>
      <c r="D55" s="639">
        <v>-227222</v>
      </c>
      <c r="E55" s="242" t="s">
        <v>141</v>
      </c>
      <c r="F55" s="457">
        <f>INDEX(WCAAllocations,IFERROR(MATCH(E55,WCAFactors,0),2),IFERROR(MATCH(E55,WCAStates,0),4))</f>
        <v>1</v>
      </c>
      <c r="G55" s="608">
        <f t="shared" si="6"/>
        <v>-227222</v>
      </c>
      <c r="H55" s="611"/>
    </row>
    <row r="56" spans="1:8" s="153" customFormat="1">
      <c r="A56" s="490"/>
      <c r="B56" s="616"/>
      <c r="C56" s="616"/>
      <c r="D56" s="608"/>
      <c r="E56" s="608"/>
      <c r="F56" s="608"/>
      <c r="G56" s="608"/>
      <c r="H56" s="611"/>
    </row>
    <row r="57" spans="1:8" s="153" customFormat="1">
      <c r="A57" s="490" t="s">
        <v>758</v>
      </c>
      <c r="B57" s="616" t="s">
        <v>191</v>
      </c>
      <c r="C57" s="616" t="s">
        <v>398</v>
      </c>
      <c r="D57" s="639">
        <v>265489.97046723776</v>
      </c>
      <c r="E57" s="242" t="s">
        <v>130</v>
      </c>
      <c r="F57" s="457">
        <f>INDEX(WCAAllocations,IFERROR(MATCH(E57,WCAFactors,0),2),IFERROR(MATCH(E57,WCAStates,0),4))</f>
        <v>6.8539355270203509E-2</v>
      </c>
      <c r="G57" s="608">
        <f t="shared" si="6"/>
        <v>18196.511406529848</v>
      </c>
      <c r="H57" s="611"/>
    </row>
    <row r="58" spans="1:8" s="153" customFormat="1">
      <c r="A58" s="490" t="s">
        <v>758</v>
      </c>
      <c r="B58" s="616" t="s">
        <v>193</v>
      </c>
      <c r="C58" s="616" t="s">
        <v>398</v>
      </c>
      <c r="D58" s="639">
        <v>743411</v>
      </c>
      <c r="E58" s="242" t="s">
        <v>130</v>
      </c>
      <c r="F58" s="457">
        <f>INDEX(WCAAllocations,IFERROR(MATCH(E58,WCAFactors,0),2),IFERROR(MATCH(E58,WCAStates,0),4))</f>
        <v>6.8539355270203509E-2</v>
      </c>
      <c r="G58" s="608">
        <f t="shared" si="6"/>
        <v>50952.910640777263</v>
      </c>
      <c r="H58" s="611"/>
    </row>
    <row r="59" spans="1:8" s="153" customFormat="1">
      <c r="A59" s="490" t="s">
        <v>341</v>
      </c>
      <c r="B59" s="616">
        <v>41010</v>
      </c>
      <c r="C59" s="616" t="s">
        <v>398</v>
      </c>
      <c r="D59" s="639">
        <v>181376</v>
      </c>
      <c r="E59" s="242" t="s">
        <v>130</v>
      </c>
      <c r="F59" s="457">
        <f>INDEX(WCAAllocations,IFERROR(MATCH(E59,WCAFactors,0),2),IFERROR(MATCH(E59,WCAStates,0),4))</f>
        <v>6.8539355270203509E-2</v>
      </c>
      <c r="G59" s="608">
        <f t="shared" si="6"/>
        <v>12431.394101488431</v>
      </c>
      <c r="H59" s="611"/>
    </row>
    <row r="60" spans="1:8" s="153" customFormat="1">
      <c r="A60" s="490" t="s">
        <v>759</v>
      </c>
      <c r="B60" s="616">
        <v>282</v>
      </c>
      <c r="C60" s="616" t="s">
        <v>398</v>
      </c>
      <c r="D60" s="639">
        <v>-237026</v>
      </c>
      <c r="E60" s="242" t="s">
        <v>130</v>
      </c>
      <c r="F60" s="457">
        <f>INDEX(WCAAllocations,IFERROR(MATCH(E60,WCAFactors,0),2),IFERROR(MATCH(E60,WCAStates,0),4))</f>
        <v>6.8539355270203509E-2</v>
      </c>
      <c r="G60" s="608">
        <f t="shared" si="6"/>
        <v>-16245.609222275258</v>
      </c>
      <c r="H60" s="611"/>
    </row>
    <row r="61" spans="1:8" s="153" customFormat="1">
      <c r="A61" s="606"/>
      <c r="B61" s="606"/>
      <c r="C61" s="606"/>
      <c r="D61" s="606"/>
      <c r="E61" s="616"/>
      <c r="F61" s="607"/>
      <c r="G61" s="608"/>
      <c r="H61" s="611"/>
    </row>
    <row r="62" spans="1:8" s="153" customFormat="1">
      <c r="A62" s="248" t="s">
        <v>145</v>
      </c>
      <c r="B62" s="618"/>
      <c r="C62" s="241"/>
      <c r="D62" s="241"/>
      <c r="E62" s="241"/>
      <c r="F62" s="532"/>
      <c r="G62" s="241"/>
      <c r="H62" s="542"/>
    </row>
    <row r="63" spans="1:8">
      <c r="A63" s="1402" t="s">
        <v>1076</v>
      </c>
      <c r="B63" s="1402"/>
      <c r="C63" s="1402"/>
      <c r="D63" s="1402"/>
      <c r="E63" s="1402"/>
      <c r="F63" s="1402"/>
      <c r="G63" s="1402"/>
      <c r="H63" s="241"/>
    </row>
    <row r="64" spans="1:8">
      <c r="A64" s="1402"/>
      <c r="B64" s="1402"/>
      <c r="C64" s="1402"/>
      <c r="D64" s="1402"/>
      <c r="E64" s="1402"/>
      <c r="F64" s="1402"/>
      <c r="G64" s="1402"/>
    </row>
    <row r="65" spans="1:7">
      <c r="A65" s="1402"/>
      <c r="B65" s="1402"/>
      <c r="C65" s="1402"/>
      <c r="D65" s="1402"/>
      <c r="E65" s="1402"/>
      <c r="F65" s="1402"/>
      <c r="G65" s="1402"/>
    </row>
    <row r="66" spans="1:7">
      <c r="A66" s="1402"/>
      <c r="B66" s="1402"/>
      <c r="C66" s="1402"/>
      <c r="D66" s="1402"/>
      <c r="E66" s="1402"/>
      <c r="F66" s="1402"/>
      <c r="G66" s="1402"/>
    </row>
    <row r="67" spans="1:7">
      <c r="A67" s="1402"/>
      <c r="B67" s="1402"/>
      <c r="C67" s="1402"/>
      <c r="D67" s="1402"/>
      <c r="E67" s="1402"/>
      <c r="F67" s="1402"/>
      <c r="G67" s="1402"/>
    </row>
    <row r="68" spans="1:7">
      <c r="A68" s="1402"/>
      <c r="B68" s="1402"/>
      <c r="C68" s="1402"/>
      <c r="D68" s="1402"/>
      <c r="E68" s="1402"/>
      <c r="F68" s="1402"/>
      <c r="G68" s="1402"/>
    </row>
    <row r="69" spans="1:7">
      <c r="A69" s="1402"/>
      <c r="B69" s="1402"/>
      <c r="C69" s="1402"/>
      <c r="D69" s="1402"/>
      <c r="E69" s="1402"/>
      <c r="F69" s="1402"/>
      <c r="G69" s="1402"/>
    </row>
    <row r="70" spans="1:7">
      <c r="B70" s="495"/>
    </row>
    <row r="71" spans="1:7">
      <c r="B71" s="495"/>
    </row>
    <row r="72" spans="1:7">
      <c r="B72" s="495"/>
    </row>
    <row r="73" spans="1:7">
      <c r="B73" s="495"/>
    </row>
    <row r="74" spans="1:7">
      <c r="A74" s="1322"/>
      <c r="B74" s="495"/>
    </row>
    <row r="75" spans="1:7">
      <c r="B75" s="495"/>
    </row>
    <row r="76" spans="1:7">
      <c r="B76" s="495"/>
    </row>
    <row r="77" spans="1:7">
      <c r="B77" s="495"/>
    </row>
    <row r="78" spans="1:7">
      <c r="B78" s="495"/>
    </row>
    <row r="79" spans="1:7">
      <c r="B79" s="495"/>
    </row>
    <row r="80" spans="1:7">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workbookViewId="0">
      <selection activeCell="F16" sqref="F16"/>
    </sheetView>
  </sheetViews>
  <sheetFormatPr defaultColWidth="9.140625" defaultRowHeight="12.75"/>
  <cols>
    <col min="1" max="1" width="34.28515625" style="122" bestFit="1" customWidth="1"/>
    <col min="2" max="2" width="11.28515625" style="123" bestFit="1" customWidth="1"/>
    <col min="3" max="3" width="5.42578125" style="356" bestFit="1" customWidth="1"/>
    <col min="4" max="4" width="12.85546875" style="123" customWidth="1"/>
    <col min="5" max="5" width="8.140625" style="123" bestFit="1" customWidth="1"/>
    <col min="6" max="6" width="10" style="568" bestFit="1" customWidth="1"/>
    <col min="7" max="7" width="13.28515625" style="123" bestFit="1" customWidth="1"/>
    <col min="8" max="8" width="13.140625" style="123" bestFit="1" customWidth="1"/>
    <col min="9" max="10" width="10.5703125" style="123" bestFit="1" customWidth="1"/>
    <col min="11" max="58" width="9.140625" style="123"/>
    <col min="59" max="16384" width="9.140625" style="122"/>
  </cols>
  <sheetData>
    <row r="1" spans="1:58">
      <c r="A1" s="17" t="str">
        <f>RevReqSummary!A1</f>
        <v>PacifiCorp General Rate Case UE-140617</v>
      </c>
      <c r="B1" s="134"/>
      <c r="C1" s="569"/>
      <c r="F1" s="123"/>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row>
    <row r="2" spans="1:58">
      <c r="A2" s="17" t="str">
        <f>RevReqSummary!A2</f>
        <v>For The Twelve Months Ended December 2013 - Staff Revenue Requirement</v>
      </c>
      <c r="B2" s="134"/>
      <c r="C2" s="569"/>
      <c r="F2" s="123"/>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row>
    <row r="3" spans="1:58">
      <c r="A3" s="570" t="s">
        <v>221</v>
      </c>
      <c r="B3" s="134"/>
      <c r="C3" s="30"/>
      <c r="D3" s="356"/>
      <c r="F3" s="123"/>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row>
    <row r="4" spans="1:58">
      <c r="A4" s="28" t="s">
        <v>645</v>
      </c>
      <c r="B4" s="571"/>
      <c r="C4" s="571"/>
      <c r="D4" s="571"/>
      <c r="E4" s="356"/>
      <c r="F4" s="123"/>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row>
    <row r="5" spans="1:58">
      <c r="A5" s="134"/>
      <c r="B5" s="23"/>
      <c r="C5" s="23"/>
      <c r="D5" s="23" t="s">
        <v>131</v>
      </c>
      <c r="E5" s="23"/>
      <c r="F5" s="23"/>
      <c r="G5" s="23" t="s">
        <v>236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row>
    <row r="6" spans="1:58">
      <c r="A6" s="126"/>
      <c r="B6" s="26" t="s">
        <v>132</v>
      </c>
      <c r="C6" s="26" t="s">
        <v>660</v>
      </c>
      <c r="D6" s="26" t="s">
        <v>134</v>
      </c>
      <c r="E6" s="26" t="s">
        <v>135</v>
      </c>
      <c r="F6" s="26" t="s">
        <v>136</v>
      </c>
      <c r="G6" s="26" t="s">
        <v>137</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c r="A7" s="128" t="s">
        <v>222</v>
      </c>
      <c r="B7" s="569"/>
      <c r="C7" s="569"/>
      <c r="D7" s="572"/>
      <c r="E7" s="572"/>
      <c r="F7" s="572"/>
      <c r="G7" s="57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row>
    <row r="8" spans="1:58">
      <c r="A8" s="573" t="s">
        <v>223</v>
      </c>
      <c r="B8" s="575"/>
      <c r="C8" s="576"/>
      <c r="D8" s="575"/>
      <c r="F8" s="555"/>
      <c r="G8" s="556"/>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row>
    <row r="9" spans="1:58">
      <c r="A9" s="577" t="s">
        <v>224</v>
      </c>
      <c r="B9" s="578" t="s">
        <v>189</v>
      </c>
      <c r="C9" s="241" t="s">
        <v>140</v>
      </c>
      <c r="D9" s="639">
        <v>-42209224.504165031</v>
      </c>
      <c r="E9" s="578" t="s">
        <v>130</v>
      </c>
      <c r="F9" s="558">
        <f t="shared" ref="F9:F17" si="0">INDEX(WCAAllocations,IFERROR(MATCH(E9,WCAFactors,0),2),IFERROR(MATCH(E9,WCAStates,0),4))</f>
        <v>6.8539355270203509E-2</v>
      </c>
      <c r="G9" s="556">
        <f t="shared" ref="G9:G17" si="1">+D9*F9</f>
        <v>-2892993.0339707467</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row>
    <row r="10" spans="1:58">
      <c r="A10" s="577" t="s">
        <v>225</v>
      </c>
      <c r="B10" s="578" t="s">
        <v>190</v>
      </c>
      <c r="C10" s="241" t="s">
        <v>140</v>
      </c>
      <c r="D10" s="639">
        <v>6628149.340000052</v>
      </c>
      <c r="E10" s="578" t="s">
        <v>130</v>
      </c>
      <c r="F10" s="558">
        <f t="shared" si="0"/>
        <v>6.8539355270203509E-2</v>
      </c>
      <c r="G10" s="556">
        <f t="shared" si="1"/>
        <v>454289.08239822846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row>
    <row r="11" spans="1:58">
      <c r="A11" s="577" t="s">
        <v>225</v>
      </c>
      <c r="B11" s="578" t="s">
        <v>190</v>
      </c>
      <c r="C11" s="241" t="s">
        <v>140</v>
      </c>
      <c r="D11" s="639">
        <v>2354375.8683333597</v>
      </c>
      <c r="E11" s="578" t="s">
        <v>261</v>
      </c>
      <c r="F11" s="558">
        <f t="shared" si="0"/>
        <v>0</v>
      </c>
      <c r="G11" s="556">
        <f t="shared" si="1"/>
        <v>0</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58">
      <c r="A12" s="577" t="s">
        <v>225</v>
      </c>
      <c r="B12" s="578" t="s">
        <v>190</v>
      </c>
      <c r="C12" s="241" t="s">
        <v>140</v>
      </c>
      <c r="D12" s="639">
        <v>77171.166666666802</v>
      </c>
      <c r="E12" s="578" t="s">
        <v>214</v>
      </c>
      <c r="F12" s="558">
        <f t="shared" si="0"/>
        <v>0</v>
      </c>
      <c r="G12" s="556">
        <f t="shared" si="1"/>
        <v>0</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row>
    <row r="13" spans="1:58">
      <c r="A13" s="577" t="s">
        <v>225</v>
      </c>
      <c r="B13" s="578" t="s">
        <v>190</v>
      </c>
      <c r="C13" s="241" t="s">
        <v>140</v>
      </c>
      <c r="D13" s="639">
        <v>53033</v>
      </c>
      <c r="E13" s="578" t="s">
        <v>171</v>
      </c>
      <c r="F13" s="558">
        <f t="shared" si="0"/>
        <v>0</v>
      </c>
      <c r="G13" s="556">
        <f t="shared" si="1"/>
        <v>0</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row>
    <row r="14" spans="1:58">
      <c r="A14" s="577" t="s">
        <v>372</v>
      </c>
      <c r="B14" s="578" t="s">
        <v>590</v>
      </c>
      <c r="C14" s="241" t="s">
        <v>140</v>
      </c>
      <c r="D14" s="639">
        <v>5847337.1341666719</v>
      </c>
      <c r="E14" s="578" t="s">
        <v>261</v>
      </c>
      <c r="F14" s="558">
        <f t="shared" si="0"/>
        <v>0</v>
      </c>
      <c r="G14" s="556">
        <f t="shared" si="1"/>
        <v>0</v>
      </c>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row>
    <row r="15" spans="1:58">
      <c r="A15" s="577" t="s">
        <v>373</v>
      </c>
      <c r="B15" s="578" t="s">
        <v>195</v>
      </c>
      <c r="C15" s="241" t="s">
        <v>140</v>
      </c>
      <c r="D15" s="639">
        <v>6288129.9725000001</v>
      </c>
      <c r="E15" s="578" t="s">
        <v>261</v>
      </c>
      <c r="F15" s="558">
        <f t="shared" si="0"/>
        <v>0</v>
      </c>
      <c r="G15" s="556">
        <f t="shared" si="1"/>
        <v>0</v>
      </c>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row>
    <row r="16" spans="1:58">
      <c r="A16" s="577" t="s">
        <v>374</v>
      </c>
      <c r="B16" s="578" t="s">
        <v>375</v>
      </c>
      <c r="C16" s="241" t="s">
        <v>140</v>
      </c>
      <c r="D16" s="639">
        <v>993713.60166668007</v>
      </c>
      <c r="E16" s="578" t="s">
        <v>261</v>
      </c>
      <c r="F16" s="558">
        <f t="shared" si="0"/>
        <v>0</v>
      </c>
      <c r="G16" s="556">
        <f t="shared" si="1"/>
        <v>0</v>
      </c>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row>
    <row r="17" spans="1:58">
      <c r="A17" s="577" t="s">
        <v>374</v>
      </c>
      <c r="B17" s="578" t="s">
        <v>375</v>
      </c>
      <c r="C17" s="241" t="s">
        <v>140</v>
      </c>
      <c r="D17" s="639">
        <v>19802.830000000002</v>
      </c>
      <c r="E17" s="578" t="s">
        <v>214</v>
      </c>
      <c r="F17" s="558">
        <f t="shared" si="0"/>
        <v>0</v>
      </c>
      <c r="G17" s="556">
        <f t="shared" si="1"/>
        <v>0</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row>
    <row r="18" spans="1:58">
      <c r="A18" s="123"/>
      <c r="B18" s="576"/>
      <c r="C18" s="576"/>
      <c r="D18" s="579">
        <f>SUM(D9:D17)</f>
        <v>-19947511.590831596</v>
      </c>
      <c r="E18" s="563"/>
      <c r="F18" s="552"/>
      <c r="G18" s="580">
        <f>SUM(G9:G17)</f>
        <v>-2438703.9515725183</v>
      </c>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row>
    <row r="19" spans="1:58">
      <c r="G19" s="359"/>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row>
    <row r="20" spans="1:58">
      <c r="A20" s="581" t="s">
        <v>414</v>
      </c>
      <c r="G20" s="359"/>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122" t="s">
        <v>591</v>
      </c>
      <c r="B21" s="356">
        <v>151</v>
      </c>
      <c r="C21" s="356" t="s">
        <v>140</v>
      </c>
      <c r="D21" s="639">
        <v>-235090252.45958349</v>
      </c>
      <c r="E21" s="123" t="s">
        <v>261</v>
      </c>
      <c r="F21" s="558">
        <f>INDEX(WCAAllocations,IFERROR(MATCH(E21,WCAFactors,0),2),IFERROR(MATCH(E21,WCAStates,0),4))</f>
        <v>0</v>
      </c>
      <c r="G21" s="582">
        <f>D21*F21</f>
        <v>0</v>
      </c>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c r="A22" s="122" t="s">
        <v>591</v>
      </c>
      <c r="B22" s="356">
        <v>151</v>
      </c>
      <c r="C22" s="356" t="s">
        <v>140</v>
      </c>
      <c r="D22" s="639">
        <v>-2167697.4124999791</v>
      </c>
      <c r="E22" s="123" t="s">
        <v>207</v>
      </c>
      <c r="F22" s="558">
        <f>INDEX(WCAAllocations,IFERROR(MATCH(E22,WCAFactors,0),2),IFERROR(MATCH(E22,WCAStates,0),4))</f>
        <v>0.22741372946461591</v>
      </c>
      <c r="G22" s="582">
        <f>D22*F22</f>
        <v>-492964.15292741818</v>
      </c>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c r="A23" s="122" t="s">
        <v>591</v>
      </c>
      <c r="B23" s="356">
        <v>151</v>
      </c>
      <c r="C23" s="356" t="s">
        <v>140</v>
      </c>
      <c r="D23" s="639">
        <v>-28396835.161666662</v>
      </c>
      <c r="E23" s="123" t="s">
        <v>232</v>
      </c>
      <c r="F23" s="558">
        <f>INDEX(WCAAllocations,IFERROR(MATCH(E23,WCAFactors,0),2),IFERROR(MATCH(E23,WCAStates,0),4))</f>
        <v>0.22612324164332259</v>
      </c>
      <c r="G23" s="582">
        <f>D23*F23</f>
        <v>-6421184.4191671498</v>
      </c>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row>
    <row r="24" spans="1:58">
      <c r="A24" s="122" t="s">
        <v>591</v>
      </c>
      <c r="B24" s="356">
        <v>151</v>
      </c>
      <c r="C24" s="356" t="s">
        <v>140</v>
      </c>
      <c r="D24" s="639">
        <v>0</v>
      </c>
      <c r="E24" s="123" t="s">
        <v>148</v>
      </c>
      <c r="F24" s="558">
        <f>INDEX(WCAAllocations,IFERROR(MATCH(E24,WCAFactors,0),2),IFERROR(MATCH(E24,WCAStates,0),4))</f>
        <v>7.5697931989234163E-2</v>
      </c>
      <c r="G24" s="582">
        <f>D24*F24</f>
        <v>0</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c r="D25" s="583">
        <f>SUM(D21:D24)</f>
        <v>-265654785.03375015</v>
      </c>
      <c r="G25" s="584">
        <f>SUM(G21:G24)</f>
        <v>-6914148.5720945681</v>
      </c>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c r="D26" s="568"/>
      <c r="G26" s="359"/>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c r="A27" s="585" t="s">
        <v>591</v>
      </c>
      <c r="B27" s="492">
        <v>154</v>
      </c>
      <c r="C27" s="241" t="s">
        <v>140</v>
      </c>
      <c r="D27" s="639">
        <v>-102361108.93374975</v>
      </c>
      <c r="E27" s="578" t="s">
        <v>214</v>
      </c>
      <c r="F27" s="558">
        <f t="shared" ref="F27:F40" si="2">INDEX(WCAAllocations,IFERROR(MATCH(E27,WCAFactors,0),2),IFERROR(MATCH(E27,WCAStates,0),4))</f>
        <v>0</v>
      </c>
      <c r="G27" s="582">
        <f>D27*F27</f>
        <v>0</v>
      </c>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c r="A28" s="585" t="s">
        <v>591</v>
      </c>
      <c r="B28" s="492">
        <v>154</v>
      </c>
      <c r="C28" s="241" t="s">
        <v>140</v>
      </c>
      <c r="D28" s="639">
        <v>-9814233.2541666552</v>
      </c>
      <c r="E28" s="578" t="s">
        <v>715</v>
      </c>
      <c r="F28" s="558">
        <f t="shared" si="2"/>
        <v>1</v>
      </c>
      <c r="G28" s="582">
        <f>0</f>
        <v>0</v>
      </c>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c r="A29" s="585" t="s">
        <v>591</v>
      </c>
      <c r="B29" s="492">
        <v>154</v>
      </c>
      <c r="C29" s="241" t="s">
        <v>140</v>
      </c>
      <c r="D29" s="639">
        <v>-1272889.5074999987</v>
      </c>
      <c r="E29" s="578" t="s">
        <v>715</v>
      </c>
      <c r="F29" s="558">
        <f t="shared" si="2"/>
        <v>1</v>
      </c>
      <c r="G29" s="582">
        <f>0</f>
        <v>0</v>
      </c>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c r="A30" s="585" t="s">
        <v>591</v>
      </c>
      <c r="B30" s="492">
        <v>154</v>
      </c>
      <c r="C30" s="241" t="s">
        <v>140</v>
      </c>
      <c r="D30" s="639">
        <v>-6011962.3004166689</v>
      </c>
      <c r="E30" s="578" t="s">
        <v>231</v>
      </c>
      <c r="F30" s="558">
        <f t="shared" si="2"/>
        <v>0.22953887558714423</v>
      </c>
      <c r="G30" s="582">
        <f>D30*F30</f>
        <v>-1379979.0665099432</v>
      </c>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c r="A31" s="585" t="s">
        <v>591</v>
      </c>
      <c r="B31" s="492">
        <v>154</v>
      </c>
      <c r="C31" s="241" t="s">
        <v>140</v>
      </c>
      <c r="D31" s="639">
        <v>-29052284.102499977</v>
      </c>
      <c r="E31" s="578" t="s">
        <v>171</v>
      </c>
      <c r="F31" s="558">
        <f t="shared" si="2"/>
        <v>0</v>
      </c>
      <c r="G31" s="582">
        <f>0</f>
        <v>0</v>
      </c>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c r="A32" s="585" t="s">
        <v>591</v>
      </c>
      <c r="B32" s="492">
        <v>154</v>
      </c>
      <c r="C32" s="241" t="s">
        <v>140</v>
      </c>
      <c r="D32" s="639">
        <v>-38369072.385833248</v>
      </c>
      <c r="E32" s="578" t="s">
        <v>172</v>
      </c>
      <c r="F32" s="558">
        <f t="shared" si="2"/>
        <v>0</v>
      </c>
      <c r="G32" s="582">
        <f>0</f>
        <v>0</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c r="A33" s="585" t="s">
        <v>591</v>
      </c>
      <c r="B33" s="492">
        <v>154</v>
      </c>
      <c r="C33" s="241" t="s">
        <v>140</v>
      </c>
      <c r="D33" s="639">
        <v>-6570975.6170833185</v>
      </c>
      <c r="E33" s="578" t="s">
        <v>203</v>
      </c>
      <c r="F33" s="558">
        <f t="shared" si="2"/>
        <v>0.23084885646883446</v>
      </c>
      <c r="G33" s="582">
        <f>D33*F33</f>
        <v>-1516902.2070882779</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c r="A34" s="585" t="s">
        <v>591</v>
      </c>
      <c r="B34" s="492">
        <v>154</v>
      </c>
      <c r="C34" s="241" t="s">
        <v>140</v>
      </c>
      <c r="D34" s="639">
        <v>-1384855.9279166665</v>
      </c>
      <c r="E34" s="578" t="s">
        <v>170</v>
      </c>
      <c r="F34" s="558">
        <f t="shared" si="2"/>
        <v>0</v>
      </c>
      <c r="G34" s="582">
        <f>0</f>
        <v>0</v>
      </c>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c r="A35" s="585" t="s">
        <v>591</v>
      </c>
      <c r="B35" s="492">
        <v>154</v>
      </c>
      <c r="C35" s="241" t="s">
        <v>140</v>
      </c>
      <c r="D35" s="639">
        <v>-4070974.1520833261</v>
      </c>
      <c r="E35" s="357" t="s">
        <v>141</v>
      </c>
      <c r="F35" s="558">
        <f t="shared" si="2"/>
        <v>1</v>
      </c>
      <c r="G35" s="582">
        <f>D35</f>
        <v>-4070974.1520833261</v>
      </c>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c r="A36" s="585" t="s">
        <v>591</v>
      </c>
      <c r="B36" s="492">
        <v>154</v>
      </c>
      <c r="C36" s="241" t="s">
        <v>140</v>
      </c>
      <c r="D36" s="639">
        <v>-4986587.4783333233</v>
      </c>
      <c r="E36" s="578" t="s">
        <v>173</v>
      </c>
      <c r="F36" s="558">
        <f t="shared" si="2"/>
        <v>0</v>
      </c>
      <c r="G36" s="582">
        <f>0</f>
        <v>0</v>
      </c>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c r="A37" s="585" t="s">
        <v>591</v>
      </c>
      <c r="B37" s="492">
        <v>154</v>
      </c>
      <c r="C37" s="241" t="s">
        <v>140</v>
      </c>
      <c r="D37" s="639">
        <v>1954894.2311215601</v>
      </c>
      <c r="E37" s="578" t="s">
        <v>151</v>
      </c>
      <c r="F37" s="558">
        <f t="shared" si="2"/>
        <v>6.2803307592478125E-2</v>
      </c>
      <c r="G37" s="582">
        <f>D37*F37</f>
        <v>122773.82370788835</v>
      </c>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c r="A38" s="585" t="s">
        <v>591</v>
      </c>
      <c r="B38" s="492">
        <v>154</v>
      </c>
      <c r="C38" s="241" t="s">
        <v>140</v>
      </c>
      <c r="D38" s="639">
        <v>-94251.952499995532</v>
      </c>
      <c r="E38" s="578" t="s">
        <v>130</v>
      </c>
      <c r="F38" s="558">
        <f t="shared" si="2"/>
        <v>6.8539355270203509E-2</v>
      </c>
      <c r="G38" s="582">
        <f>D38*F38</f>
        <v>-6459.9680573075393</v>
      </c>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c r="A39" s="585" t="s">
        <v>591</v>
      </c>
      <c r="B39" s="492">
        <v>154</v>
      </c>
      <c r="C39" s="241" t="s">
        <v>140</v>
      </c>
      <c r="D39" s="639">
        <v>-7109973.6308333315</v>
      </c>
      <c r="E39" s="578" t="s">
        <v>261</v>
      </c>
      <c r="F39" s="558">
        <f t="shared" si="2"/>
        <v>0</v>
      </c>
      <c r="G39" s="582">
        <f>D39*F39</f>
        <v>0</v>
      </c>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c r="A40" s="585" t="s">
        <v>591</v>
      </c>
      <c r="B40" s="492">
        <v>154</v>
      </c>
      <c r="C40" s="241" t="s">
        <v>140</v>
      </c>
      <c r="D40" s="639">
        <v>-953022.45124999899</v>
      </c>
      <c r="E40" s="578" t="s">
        <v>146</v>
      </c>
      <c r="F40" s="558">
        <f t="shared" si="2"/>
        <v>7.9057273540331513E-2</v>
      </c>
      <c r="G40" s="582">
        <f>D40*F40</f>
        <v>-75343.356618548423</v>
      </c>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c r="D41" s="583">
        <f>SUM(D27:D40)</f>
        <v>-210097297.46304464</v>
      </c>
      <c r="F41" s="555"/>
      <c r="G41" s="586">
        <f>SUM(G27:G40)</f>
        <v>-6926884.9266495155</v>
      </c>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c r="A42" s="551" t="s">
        <v>226</v>
      </c>
      <c r="B42" s="576"/>
      <c r="C42" s="576"/>
      <c r="D42" s="587"/>
      <c r="E42" s="563"/>
      <c r="F42" s="552"/>
      <c r="G42" s="560"/>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c r="A43" s="533" t="s">
        <v>227</v>
      </c>
      <c r="B43" s="241">
        <v>165</v>
      </c>
      <c r="C43" s="241" t="s">
        <v>140</v>
      </c>
      <c r="D43" s="639">
        <v>-5286998.79583338</v>
      </c>
      <c r="E43" s="492" t="s">
        <v>130</v>
      </c>
      <c r="F43" s="588">
        <f t="shared" ref="F43:F56" si="3">INDEX(WCAAllocations,IFERROR(MATCH(E43,WCAFactors,0),2),IFERROR(MATCH(E43,WCAStates,0),4))</f>
        <v>6.8539355270203509E-2</v>
      </c>
      <c r="G43" s="556">
        <f t="shared" ref="G43:G56" si="4">+D43*F43</f>
        <v>-362367.48878076219</v>
      </c>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c r="A44" s="533" t="s">
        <v>228</v>
      </c>
      <c r="B44" s="241">
        <v>165</v>
      </c>
      <c r="C44" s="241" t="s">
        <v>140</v>
      </c>
      <c r="D44" s="639">
        <v>-4565170.2341666594</v>
      </c>
      <c r="E44" s="492" t="s">
        <v>149</v>
      </c>
      <c r="F44" s="588">
        <f t="shared" si="3"/>
        <v>6.8539355270203509E-2</v>
      </c>
      <c r="G44" s="556">
        <f t="shared" si="4"/>
        <v>-312893.82454850682</v>
      </c>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c r="A45" s="533" t="s">
        <v>228</v>
      </c>
      <c r="B45" s="241">
        <v>165</v>
      </c>
      <c r="C45" s="241" t="s">
        <v>140</v>
      </c>
      <c r="D45" s="639">
        <v>-305495.57833333709</v>
      </c>
      <c r="E45" s="492" t="s">
        <v>130</v>
      </c>
      <c r="F45" s="588">
        <f t="shared" si="3"/>
        <v>6.8539355270203509E-2</v>
      </c>
      <c r="G45" s="363">
        <f t="shared" si="4"/>
        <v>-20938.469976864875</v>
      </c>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c r="A46" s="577" t="s">
        <v>229</v>
      </c>
      <c r="B46" s="241">
        <v>165</v>
      </c>
      <c r="C46" s="241" t="s">
        <v>140</v>
      </c>
      <c r="D46" s="639">
        <v>-10216116.179583315</v>
      </c>
      <c r="E46" s="578" t="s">
        <v>130</v>
      </c>
      <c r="F46" s="588">
        <f t="shared" si="3"/>
        <v>6.8539355270203509E-2</v>
      </c>
      <c r="G46" s="363">
        <f t="shared" si="4"/>
        <v>-700206.01631413505</v>
      </c>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c r="A47" s="533" t="s">
        <v>229</v>
      </c>
      <c r="B47" s="241">
        <v>165</v>
      </c>
      <c r="C47" s="241" t="s">
        <v>140</v>
      </c>
      <c r="D47" s="639">
        <v>-1711837.3912499996</v>
      </c>
      <c r="E47" s="492" t="s">
        <v>146</v>
      </c>
      <c r="F47" s="588">
        <f t="shared" si="3"/>
        <v>7.9057273540331513E-2</v>
      </c>
      <c r="G47" s="363">
        <f>D47*F47</f>
        <v>-135333.19689661873</v>
      </c>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c r="A48" s="488" t="s">
        <v>229</v>
      </c>
      <c r="B48" s="241">
        <v>165</v>
      </c>
      <c r="C48" s="241" t="s">
        <v>140</v>
      </c>
      <c r="D48" s="639">
        <v>-138088.1508333316</v>
      </c>
      <c r="E48" s="241" t="s">
        <v>149</v>
      </c>
      <c r="F48" s="588">
        <f t="shared" si="3"/>
        <v>6.8539355270203509E-2</v>
      </c>
      <c r="G48" s="363">
        <f t="shared" si="4"/>
        <v>-9464.4728285711626</v>
      </c>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c r="A49" s="488" t="s">
        <v>229</v>
      </c>
      <c r="B49" s="241">
        <v>165</v>
      </c>
      <c r="C49" s="241" t="s">
        <v>140</v>
      </c>
      <c r="D49" s="639">
        <v>-2749235.7666666601</v>
      </c>
      <c r="E49" s="241" t="s">
        <v>172</v>
      </c>
      <c r="F49" s="588">
        <f t="shared" si="3"/>
        <v>0</v>
      </c>
      <c r="G49" s="363">
        <f t="shared" si="4"/>
        <v>0</v>
      </c>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c r="A50" s="488" t="s">
        <v>229</v>
      </c>
      <c r="B50" s="241">
        <v>165</v>
      </c>
      <c r="C50" s="241" t="s">
        <v>140</v>
      </c>
      <c r="D50" s="639">
        <v>-214355.525416666</v>
      </c>
      <c r="E50" s="578" t="s">
        <v>173</v>
      </c>
      <c r="F50" s="588">
        <f t="shared" si="3"/>
        <v>0</v>
      </c>
      <c r="G50" s="363">
        <f t="shared" si="4"/>
        <v>0</v>
      </c>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c r="A51" s="488" t="s">
        <v>229</v>
      </c>
      <c r="B51" s="241">
        <v>165</v>
      </c>
      <c r="C51" s="241" t="s">
        <v>140</v>
      </c>
      <c r="D51" s="639">
        <v>-1759157.8041666602</v>
      </c>
      <c r="E51" s="578" t="s">
        <v>171</v>
      </c>
      <c r="F51" s="588">
        <f t="shared" si="3"/>
        <v>0</v>
      </c>
      <c r="G51" s="363">
        <f t="shared" si="4"/>
        <v>0</v>
      </c>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c r="A52" s="488" t="s">
        <v>229</v>
      </c>
      <c r="B52" s="241">
        <v>165</v>
      </c>
      <c r="C52" s="241" t="s">
        <v>140</v>
      </c>
      <c r="D52" s="639">
        <v>-127145.1275</v>
      </c>
      <c r="E52" s="578" t="s">
        <v>517</v>
      </c>
      <c r="F52" s="588">
        <f t="shared" si="3"/>
        <v>0</v>
      </c>
      <c r="G52" s="363">
        <f t="shared" si="4"/>
        <v>0</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c r="A53" s="488" t="s">
        <v>229</v>
      </c>
      <c r="B53" s="241">
        <v>165</v>
      </c>
      <c r="C53" s="241" t="s">
        <v>140</v>
      </c>
      <c r="D53" s="639">
        <v>-451530.39749999897</v>
      </c>
      <c r="E53" s="578" t="s">
        <v>214</v>
      </c>
      <c r="F53" s="588">
        <f t="shared" si="3"/>
        <v>0</v>
      </c>
      <c r="G53" s="363">
        <f t="shared" si="4"/>
        <v>0</v>
      </c>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c r="A54" s="488" t="s">
        <v>229</v>
      </c>
      <c r="B54" s="241">
        <v>165</v>
      </c>
      <c r="C54" s="241" t="s">
        <v>140</v>
      </c>
      <c r="D54" s="639">
        <v>-3448227.1824999829</v>
      </c>
      <c r="E54" s="578" t="s">
        <v>261</v>
      </c>
      <c r="F54" s="588">
        <f t="shared" si="3"/>
        <v>0</v>
      </c>
      <c r="G54" s="363">
        <f t="shared" si="4"/>
        <v>0</v>
      </c>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c r="A55" s="488" t="s">
        <v>229</v>
      </c>
      <c r="B55" s="241">
        <v>165</v>
      </c>
      <c r="C55" s="241" t="s">
        <v>140</v>
      </c>
      <c r="D55" s="639">
        <v>-4054.8400000000006</v>
      </c>
      <c r="E55" s="578" t="s">
        <v>207</v>
      </c>
      <c r="F55" s="588">
        <f t="shared" si="3"/>
        <v>0.22741372946461591</v>
      </c>
      <c r="G55" s="363">
        <f t="shared" si="4"/>
        <v>-922.12628678230328</v>
      </c>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c r="A56" s="488" t="s">
        <v>229</v>
      </c>
      <c r="B56" s="241">
        <v>165</v>
      </c>
      <c r="C56" s="241" t="s">
        <v>140</v>
      </c>
      <c r="D56" s="639">
        <v>-871362.87333333434</v>
      </c>
      <c r="E56" s="578" t="s">
        <v>203</v>
      </c>
      <c r="F56" s="588">
        <f t="shared" si="3"/>
        <v>0.23084885646883446</v>
      </c>
      <c r="G56" s="363">
        <f t="shared" si="4"/>
        <v>-201153.12287839808</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c r="A57" s="126"/>
      <c r="B57" s="576"/>
      <c r="C57" s="576"/>
      <c r="D57" s="589">
        <f>SUM(D43:D56)</f>
        <v>-31848775.847083319</v>
      </c>
      <c r="E57" s="563"/>
      <c r="F57" s="590"/>
      <c r="G57" s="591">
        <f>SUM(G43:G56)</f>
        <v>-1743278.7185106392</v>
      </c>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c r="A58" s="126"/>
      <c r="B58" s="576"/>
      <c r="C58" s="576"/>
      <c r="D58" s="592"/>
      <c r="E58" s="563"/>
      <c r="F58" s="590"/>
      <c r="G58" s="363"/>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c r="A59" s="240" t="s">
        <v>592</v>
      </c>
      <c r="B59" s="593"/>
      <c r="C59" s="241"/>
      <c r="D59" s="395"/>
      <c r="E59" s="594"/>
      <c r="F59" s="590"/>
      <c r="G59" s="363"/>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c r="A60" s="533" t="s">
        <v>230</v>
      </c>
      <c r="B60" s="241" t="s">
        <v>182</v>
      </c>
      <c r="C60" s="241" t="s">
        <v>140</v>
      </c>
      <c r="D60" s="639">
        <v>-17229598.55083333</v>
      </c>
      <c r="E60" s="492" t="s">
        <v>146</v>
      </c>
      <c r="F60" s="588">
        <f>INDEX(WCAAllocations,IFERROR(MATCH(E60,WCAFactors,0),2),IFERROR(MATCH(E60,WCAStates,0),4))</f>
        <v>7.9057273540331513E-2</v>
      </c>
      <c r="G60" s="363">
        <f>D60*F60</f>
        <v>-1362125.08562333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c r="A61" s="533" t="s">
        <v>230</v>
      </c>
      <c r="B61" s="241" t="s">
        <v>182</v>
      </c>
      <c r="C61" s="241" t="s">
        <v>140</v>
      </c>
      <c r="D61" s="639">
        <v>-146719.98416666262</v>
      </c>
      <c r="E61" s="492" t="s">
        <v>130</v>
      </c>
      <c r="F61" s="588">
        <f>INDEX(WCAAllocations,IFERROR(MATCH(E61,WCAFactors,0),2),IFERROR(MATCH(E61,WCAStates,0),4))</f>
        <v>6.8539355270203509E-2</v>
      </c>
      <c r="G61" s="363">
        <f>D61*F61</f>
        <v>-10056.093120037523</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c r="A62" s="533" t="s">
        <v>230</v>
      </c>
      <c r="B62" s="241" t="s">
        <v>182</v>
      </c>
      <c r="C62" s="241" t="s">
        <v>140</v>
      </c>
      <c r="D62" s="639">
        <v>-15144521.865833331</v>
      </c>
      <c r="E62" s="492" t="s">
        <v>261</v>
      </c>
      <c r="F62" s="588">
        <f>INDEX(WCAAllocations,IFERROR(MATCH(E62,WCAFactors,0),2),IFERROR(MATCH(E62,WCAStates,0),4))</f>
        <v>0</v>
      </c>
      <c r="G62" s="363">
        <f>D62*F62</f>
        <v>0</v>
      </c>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c r="A63" s="533" t="s">
        <v>230</v>
      </c>
      <c r="B63" s="241" t="s">
        <v>182</v>
      </c>
      <c r="C63" s="241" t="s">
        <v>140</v>
      </c>
      <c r="D63" s="639">
        <v>-15261705.083333289</v>
      </c>
      <c r="E63" s="492" t="s">
        <v>203</v>
      </c>
      <c r="F63" s="588">
        <f>INDEX(WCAAllocations,IFERROR(MATCH(E63,WCAFactors,0),2),IFERROR(MATCH(E63,WCAStates,0),4))</f>
        <v>0.23084885646883446</v>
      </c>
      <c r="G63" s="363">
        <f>D63*F63</f>
        <v>-3523147.1662520878</v>
      </c>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c r="A64" s="533" t="s">
        <v>230</v>
      </c>
      <c r="B64" s="241" t="s">
        <v>182</v>
      </c>
      <c r="C64" s="241" t="s">
        <v>140</v>
      </c>
      <c r="D64" s="639">
        <v>-23095834.389166571</v>
      </c>
      <c r="E64" s="492" t="s">
        <v>214</v>
      </c>
      <c r="F64" s="588">
        <f>INDEX(WCAAllocations,IFERROR(MATCH(E64,WCAFactors,0),2),IFERROR(MATCH(E64,WCAStates,0),4))</f>
        <v>0</v>
      </c>
      <c r="G64" s="363">
        <f>D64*F64</f>
        <v>0</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c r="A65" s="126"/>
      <c r="B65" s="576"/>
      <c r="C65" s="576"/>
      <c r="D65" s="589">
        <f>SUM(D60:D64)</f>
        <v>-70878379.873333186</v>
      </c>
      <c r="E65" s="563"/>
      <c r="F65" s="590"/>
      <c r="G65" s="591">
        <f>SUM(G60:G64)</f>
        <v>-4895328.3449954558</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c r="A66" s="126"/>
      <c r="B66" s="576"/>
      <c r="C66" s="576"/>
      <c r="D66" s="592"/>
      <c r="E66" s="563"/>
      <c r="F66" s="590"/>
      <c r="G66" s="363"/>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c r="A67" s="240" t="s">
        <v>593</v>
      </c>
      <c r="B67" s="593"/>
      <c r="C67" s="241"/>
      <c r="D67" s="395"/>
      <c r="E67" s="594"/>
      <c r="F67" s="590"/>
      <c r="G67" s="363"/>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c r="A68" s="533" t="s">
        <v>221</v>
      </c>
      <c r="B68" s="578" t="s">
        <v>181</v>
      </c>
      <c r="C68" s="241" t="s">
        <v>140</v>
      </c>
      <c r="D68" s="639">
        <v>0</v>
      </c>
      <c r="E68" s="578" t="s">
        <v>170</v>
      </c>
      <c r="F68" s="588">
        <f t="shared" ref="F68:F81" si="5">INDEX(WCAAllocations,IFERROR(MATCH(E68,WCAFactors,0),2),IFERROR(MATCH(E68,WCAStates,0),4))</f>
        <v>0</v>
      </c>
      <c r="G68" s="363">
        <f>D68*F68</f>
        <v>0</v>
      </c>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c r="A69" s="533" t="s">
        <v>221</v>
      </c>
      <c r="B69" s="578" t="s">
        <v>181</v>
      </c>
      <c r="C69" s="241" t="s">
        <v>140</v>
      </c>
      <c r="D69" s="639">
        <v>0</v>
      </c>
      <c r="E69" s="578" t="s">
        <v>141</v>
      </c>
      <c r="F69" s="588">
        <f t="shared" si="5"/>
        <v>1</v>
      </c>
      <c r="G69" s="363">
        <f t="shared" ref="G69:G81" si="6">D69*F69</f>
        <v>0</v>
      </c>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c r="A70" s="533" t="s">
        <v>221</v>
      </c>
      <c r="B70" s="578" t="s">
        <v>181</v>
      </c>
      <c r="C70" s="241" t="s">
        <v>140</v>
      </c>
      <c r="D70" s="639">
        <v>10608208.819999902</v>
      </c>
      <c r="E70" s="578" t="s">
        <v>261</v>
      </c>
      <c r="F70" s="588">
        <f t="shared" si="5"/>
        <v>0</v>
      </c>
      <c r="G70" s="363">
        <f t="shared" si="6"/>
        <v>0</v>
      </c>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c r="A71" s="533" t="s">
        <v>221</v>
      </c>
      <c r="B71" s="578" t="s">
        <v>181</v>
      </c>
      <c r="C71" s="241" t="s">
        <v>140</v>
      </c>
      <c r="D71" s="639">
        <v>-4583235.5799999991</v>
      </c>
      <c r="E71" s="578" t="s">
        <v>214</v>
      </c>
      <c r="F71" s="588">
        <f t="shared" si="5"/>
        <v>0</v>
      </c>
      <c r="G71" s="363">
        <f t="shared" si="6"/>
        <v>0</v>
      </c>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c r="A72" s="533" t="s">
        <v>221</v>
      </c>
      <c r="B72" s="578" t="s">
        <v>181</v>
      </c>
      <c r="C72" s="241" t="s">
        <v>140</v>
      </c>
      <c r="D72" s="639">
        <v>83319.6133333334</v>
      </c>
      <c r="E72" s="578" t="s">
        <v>173</v>
      </c>
      <c r="F72" s="588">
        <f t="shared" si="5"/>
        <v>0</v>
      </c>
      <c r="G72" s="363">
        <f t="shared" si="6"/>
        <v>0</v>
      </c>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c r="A73" s="533" t="s">
        <v>221</v>
      </c>
      <c r="B73" s="578" t="s">
        <v>181</v>
      </c>
      <c r="C73" s="241" t="s">
        <v>140</v>
      </c>
      <c r="D73" s="639">
        <v>219736.91999999998</v>
      </c>
      <c r="E73" s="578" t="s">
        <v>171</v>
      </c>
      <c r="F73" s="588">
        <f t="shared" si="5"/>
        <v>0</v>
      </c>
      <c r="G73" s="363">
        <f t="shared" si="6"/>
        <v>0</v>
      </c>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c r="A74" s="533" t="s">
        <v>221</v>
      </c>
      <c r="B74" s="578" t="s">
        <v>181</v>
      </c>
      <c r="C74" s="241" t="s">
        <v>140</v>
      </c>
      <c r="D74" s="639">
        <v>-10608208.82</v>
      </c>
      <c r="E74" s="578" t="s">
        <v>148</v>
      </c>
      <c r="F74" s="588">
        <f t="shared" si="5"/>
        <v>7.5697931989234163E-2</v>
      </c>
      <c r="G74" s="363">
        <f t="shared" si="6"/>
        <v>-803019.46978395397</v>
      </c>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c r="A75" s="533" t="s">
        <v>221</v>
      </c>
      <c r="B75" s="578" t="s">
        <v>181</v>
      </c>
      <c r="C75" s="241" t="s">
        <v>140</v>
      </c>
      <c r="D75" s="639">
        <v>-2194327.4658333329</v>
      </c>
      <c r="E75" s="578" t="s">
        <v>172</v>
      </c>
      <c r="F75" s="588">
        <f t="shared" si="5"/>
        <v>0</v>
      </c>
      <c r="G75" s="363">
        <f t="shared" si="6"/>
        <v>0</v>
      </c>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c r="A76" s="533" t="s">
        <v>221</v>
      </c>
      <c r="B76" s="578" t="s">
        <v>181</v>
      </c>
      <c r="C76" s="241" t="s">
        <v>140</v>
      </c>
      <c r="D76" s="639">
        <v>-2655793.5595833324</v>
      </c>
      <c r="E76" s="578" t="s">
        <v>517</v>
      </c>
      <c r="F76" s="588">
        <f t="shared" si="5"/>
        <v>0</v>
      </c>
      <c r="G76" s="363">
        <f t="shared" si="6"/>
        <v>0</v>
      </c>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c r="A77" s="533" t="s">
        <v>221</v>
      </c>
      <c r="B77" s="578" t="s">
        <v>181</v>
      </c>
      <c r="C77" s="241" t="s">
        <v>140</v>
      </c>
      <c r="D77" s="639">
        <v>-53081.875</v>
      </c>
      <c r="E77" s="578" t="s">
        <v>517</v>
      </c>
      <c r="F77" s="588">
        <f t="shared" si="5"/>
        <v>0</v>
      </c>
      <c r="G77" s="363">
        <f t="shared" si="6"/>
        <v>0</v>
      </c>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c r="A78" s="533" t="s">
        <v>221</v>
      </c>
      <c r="B78" s="578" t="s">
        <v>194</v>
      </c>
      <c r="C78" s="241" t="s">
        <v>140</v>
      </c>
      <c r="D78" s="639">
        <v>-2442147.3854166665</v>
      </c>
      <c r="E78" s="578" t="s">
        <v>173</v>
      </c>
      <c r="F78" s="588">
        <f t="shared" si="5"/>
        <v>0</v>
      </c>
      <c r="G78" s="363">
        <f t="shared" si="6"/>
        <v>0</v>
      </c>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c r="A79" s="533" t="s">
        <v>221</v>
      </c>
      <c r="B79" s="578" t="s">
        <v>194</v>
      </c>
      <c r="C79" s="241" t="s">
        <v>140</v>
      </c>
      <c r="D79" s="639">
        <v>0</v>
      </c>
      <c r="E79" s="578" t="s">
        <v>172</v>
      </c>
      <c r="F79" s="588">
        <f t="shared" si="5"/>
        <v>0</v>
      </c>
      <c r="G79" s="363">
        <f t="shared" si="6"/>
        <v>0</v>
      </c>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c r="A80" s="533" t="s">
        <v>221</v>
      </c>
      <c r="B80" s="578" t="s">
        <v>194</v>
      </c>
      <c r="C80" s="241" t="s">
        <v>140</v>
      </c>
      <c r="D80" s="639">
        <v>-62251.979999999996</v>
      </c>
      <c r="E80" s="578" t="s">
        <v>450</v>
      </c>
      <c r="F80" s="588">
        <f t="shared" si="5"/>
        <v>0</v>
      </c>
      <c r="G80" s="363">
        <f t="shared" si="6"/>
        <v>0</v>
      </c>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c r="A81" s="533" t="s">
        <v>221</v>
      </c>
      <c r="B81" s="578" t="s">
        <v>194</v>
      </c>
      <c r="C81" s="241" t="s">
        <v>140</v>
      </c>
      <c r="D81" s="639">
        <v>0</v>
      </c>
      <c r="E81" s="578" t="s">
        <v>573</v>
      </c>
      <c r="F81" s="588">
        <f t="shared" si="5"/>
        <v>1</v>
      </c>
      <c r="G81" s="363">
        <f t="shared" si="6"/>
        <v>0</v>
      </c>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c r="A82" s="126"/>
      <c r="B82" s="576"/>
      <c r="C82" s="576"/>
      <c r="D82" s="589">
        <f>SUM(D68:D81)</f>
        <v>-11687781.312500097</v>
      </c>
      <c r="E82" s="563"/>
      <c r="F82" s="590"/>
      <c r="G82" s="591">
        <f>SUM(G68:G81)</f>
        <v>-803019.46978395397</v>
      </c>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c r="A83" s="126"/>
      <c r="B83" s="576"/>
      <c r="C83" s="576"/>
      <c r="D83" s="592"/>
      <c r="E83" s="563"/>
      <c r="F83" s="590"/>
      <c r="G83" s="363"/>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c r="A84" s="595" t="s">
        <v>233</v>
      </c>
      <c r="B84" s="163">
        <v>25318</v>
      </c>
      <c r="C84" s="163" t="s">
        <v>140</v>
      </c>
      <c r="D84" s="639">
        <v>273000</v>
      </c>
      <c r="E84" s="163" t="s">
        <v>214</v>
      </c>
      <c r="F84" s="588">
        <f>INDEX(WCAAllocations,IFERROR(MATCH(E84,WCAFactors,0),2),IFERROR(MATCH(E84,WCAStates,0),4))</f>
        <v>0</v>
      </c>
      <c r="G84" s="363">
        <f>D84*F84</f>
        <v>0</v>
      </c>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c r="A85" s="126"/>
      <c r="B85" s="576"/>
      <c r="C85" s="576"/>
      <c r="D85" s="592"/>
      <c r="E85" s="563"/>
      <c r="F85" s="590"/>
      <c r="G85" s="363"/>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c r="A86" s="551" t="s">
        <v>212</v>
      </c>
      <c r="B86" s="574"/>
      <c r="C86" s="576"/>
      <c r="D86" s="596"/>
      <c r="E86" s="562"/>
      <c r="F86" s="123"/>
      <c r="G86" s="562"/>
      <c r="I86" s="36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ht="13.15" customHeight="1">
      <c r="A87" s="1416" t="s">
        <v>803</v>
      </c>
      <c r="B87" s="1416"/>
      <c r="C87" s="1416"/>
      <c r="D87" s="1416"/>
      <c r="E87" s="1416"/>
      <c r="F87" s="1416"/>
      <c r="G87" s="1416"/>
      <c r="H87" s="1331"/>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c r="A88" s="1416"/>
      <c r="B88" s="1416"/>
      <c r="C88" s="1416"/>
      <c r="D88" s="1416"/>
      <c r="E88" s="1416"/>
      <c r="F88" s="1416"/>
      <c r="G88" s="1416"/>
      <c r="H88" s="1331"/>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c r="A89" s="1416"/>
      <c r="B89" s="1416"/>
      <c r="C89" s="1416"/>
      <c r="D89" s="1416"/>
      <c r="E89" s="1416"/>
      <c r="F89" s="1416"/>
      <c r="G89" s="1416"/>
      <c r="H89" s="1331"/>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8:58">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8:58">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8:58">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8:58">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8:58">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8:58">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8:58">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8:58">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8:58">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8:58">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8:58">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8:58">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8:58">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8:58">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8:58">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8:58">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c r="A122" s="134"/>
      <c r="B122" s="127"/>
      <c r="C122" s="597"/>
      <c r="E122" s="567"/>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c r="A123" s="123"/>
      <c r="B123" s="127"/>
      <c r="C123" s="597"/>
      <c r="E123" s="567"/>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c r="A124" s="123"/>
      <c r="B124" s="598"/>
      <c r="C124" s="597"/>
      <c r="D124" s="599"/>
      <c r="E124" s="567"/>
      <c r="G124" s="568"/>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c r="A125" s="123"/>
      <c r="B125" s="598"/>
      <c r="C125" s="597"/>
      <c r="D125" s="599"/>
      <c r="E125" s="567"/>
      <c r="G125" s="568"/>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c r="A126" s="123"/>
      <c r="B126" s="598"/>
      <c r="C126" s="597"/>
      <c r="D126" s="599"/>
      <c r="E126" s="567"/>
      <c r="G126" s="568"/>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c r="A127" s="123"/>
      <c r="B127" s="598"/>
      <c r="C127" s="597"/>
      <c r="D127" s="599"/>
      <c r="E127" s="567"/>
      <c r="G127" s="568"/>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c r="A128" s="123"/>
      <c r="B128" s="567"/>
      <c r="C128" s="597"/>
      <c r="E128" s="567"/>
      <c r="F128" s="567"/>
      <c r="G128" s="567"/>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c r="A129" s="123"/>
      <c r="B129" s="567"/>
      <c r="C129" s="600"/>
      <c r="E129" s="567"/>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c r="A130" s="123"/>
      <c r="B130" s="567"/>
      <c r="E130" s="567"/>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c r="A131" s="123"/>
      <c r="B131" s="598"/>
      <c r="C131" s="597"/>
      <c r="D131" s="599"/>
      <c r="E131" s="567"/>
      <c r="G131" s="568"/>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c r="A132" s="123"/>
      <c r="B132" s="598"/>
      <c r="C132" s="597"/>
      <c r="D132" s="599"/>
      <c r="E132" s="568"/>
      <c r="G132" s="568"/>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c r="A133" s="123"/>
      <c r="B133" s="598"/>
      <c r="C133" s="597"/>
      <c r="D133" s="599"/>
      <c r="E133" s="568"/>
      <c r="G133" s="568"/>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c r="A134" s="123"/>
      <c r="B134" s="363"/>
      <c r="E134" s="363"/>
      <c r="F134" s="363"/>
      <c r="G134" s="363"/>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c r="A135" s="134"/>
      <c r="G135" s="568"/>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c r="A136" s="123"/>
      <c r="B136" s="363"/>
      <c r="E136" s="363"/>
      <c r="F136" s="363"/>
      <c r="G136" s="363"/>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c r="A137" s="601"/>
      <c r="B137" s="127"/>
      <c r="C137" s="597"/>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c r="A138" s="134"/>
      <c r="B138" s="127"/>
      <c r="C138" s="597"/>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c r="A139" s="126"/>
      <c r="B139" s="598"/>
      <c r="C139" s="597"/>
      <c r="D139" s="599"/>
      <c r="E139" s="568"/>
      <c r="G139" s="568"/>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c r="A140" s="126"/>
      <c r="B140" s="598"/>
      <c r="C140" s="597"/>
      <c r="D140" s="599"/>
      <c r="E140" s="568"/>
      <c r="G140" s="568"/>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c r="A141" s="126"/>
      <c r="B141" s="598"/>
      <c r="C141" s="597"/>
      <c r="D141" s="599"/>
      <c r="E141" s="568"/>
      <c r="G141" s="568"/>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c r="A142" s="126"/>
      <c r="B142" s="363"/>
      <c r="E142" s="568"/>
      <c r="G142" s="568"/>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4" spans="1:58">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c r="A145" s="123"/>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c r="A146" s="123"/>
      <c r="B146" s="598"/>
      <c r="C146" s="597"/>
      <c r="D146" s="599"/>
      <c r="E146" s="568"/>
      <c r="G146" s="568"/>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c r="A147" s="123"/>
      <c r="B147" s="598"/>
      <c r="C147" s="597"/>
      <c r="D147" s="599"/>
      <c r="E147" s="568"/>
      <c r="G147" s="568"/>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c r="A148" s="123"/>
      <c r="B148" s="598"/>
      <c r="C148" s="597"/>
      <c r="D148" s="599"/>
      <c r="E148" s="568"/>
      <c r="G148" s="568"/>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c r="A149" s="123"/>
      <c r="B149" s="598"/>
      <c r="C149" s="597"/>
      <c r="D149" s="599"/>
      <c r="E149" s="568"/>
      <c r="G149" s="568"/>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c r="A150" s="123"/>
      <c r="B150" s="363"/>
      <c r="E150" s="568"/>
      <c r="G150" s="568"/>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c r="A151" s="123"/>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c r="A152" s="123"/>
      <c r="B152" s="598"/>
      <c r="C152" s="597"/>
      <c r="D152" s="599"/>
      <c r="E152" s="568"/>
      <c r="G152" s="568"/>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c r="A153" s="123"/>
      <c r="B153" s="598"/>
      <c r="C153" s="597"/>
      <c r="D153" s="599"/>
      <c r="E153" s="568"/>
      <c r="G153" s="568"/>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c r="A154" s="123"/>
      <c r="B154" s="598"/>
      <c r="C154" s="597"/>
      <c r="D154" s="599"/>
      <c r="E154" s="568"/>
      <c r="G154" s="568"/>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c r="A155" s="123"/>
      <c r="B155" s="363"/>
      <c r="E155" s="568"/>
      <c r="G155" s="568"/>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c r="A156" s="126"/>
      <c r="B156" s="598"/>
      <c r="C156" s="597"/>
      <c r="D156" s="599"/>
      <c r="E156" s="568"/>
      <c r="G156" s="568"/>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c r="A157" s="126"/>
      <c r="B157" s="598"/>
      <c r="C157" s="597"/>
      <c r="D157" s="599"/>
      <c r="E157" s="568"/>
      <c r="G157" s="568"/>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c r="A158" s="126"/>
      <c r="B158" s="598"/>
      <c r="C158" s="597"/>
      <c r="D158" s="599"/>
      <c r="E158" s="568"/>
      <c r="G158" s="568"/>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c r="A159" s="134"/>
      <c r="B159" s="363"/>
      <c r="E159" s="568"/>
      <c r="G159" s="568"/>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c r="A160" s="134"/>
      <c r="F160" s="567"/>
      <c r="G160" s="568"/>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c r="A161" s="134"/>
      <c r="B161" s="363"/>
      <c r="E161" s="568"/>
      <c r="G161" s="568"/>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4" spans="1:58">
      <c r="A164" s="123"/>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c r="A165" s="123"/>
      <c r="B165" s="598"/>
      <c r="C165" s="597"/>
      <c r="D165" s="599"/>
      <c r="E165" s="568"/>
      <c r="G165" s="568"/>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c r="A166" s="123"/>
      <c r="B166" s="598"/>
      <c r="C166" s="597"/>
      <c r="D166" s="599"/>
      <c r="E166" s="568"/>
      <c r="G166" s="568"/>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c r="A167" s="123"/>
      <c r="B167" s="598"/>
      <c r="C167" s="597"/>
      <c r="D167" s="599"/>
      <c r="E167" s="568"/>
      <c r="G167" s="568"/>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c r="A168" s="123"/>
      <c r="B168" s="598"/>
      <c r="C168" s="597"/>
      <c r="D168" s="599"/>
      <c r="E168" s="568"/>
      <c r="G168" s="568"/>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c r="A169" s="123"/>
      <c r="B169" s="363"/>
      <c r="E169" s="363"/>
      <c r="F169" s="363"/>
      <c r="G169" s="363"/>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c r="A170" s="123"/>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c r="A171" s="123"/>
      <c r="B171" s="598"/>
      <c r="C171" s="597"/>
      <c r="D171" s="599"/>
      <c r="E171" s="568"/>
      <c r="G171" s="568"/>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c r="A172" s="123"/>
      <c r="B172" s="598"/>
      <c r="C172" s="597"/>
      <c r="D172" s="599"/>
      <c r="E172" s="568"/>
      <c r="G172" s="568"/>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c r="A173" s="123"/>
      <c r="B173" s="598"/>
      <c r="C173" s="597"/>
      <c r="D173" s="599"/>
      <c r="E173" s="568"/>
      <c r="G173" s="568"/>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c r="A174" s="123"/>
      <c r="B174" s="363"/>
      <c r="E174" s="363"/>
      <c r="F174" s="363"/>
      <c r="G174" s="363"/>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c r="A175" s="126"/>
      <c r="B175" s="598"/>
      <c r="C175" s="597"/>
      <c r="D175" s="599"/>
      <c r="E175" s="568"/>
      <c r="G175" s="568"/>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c r="A176" s="126"/>
      <c r="B176" s="598"/>
      <c r="C176" s="597"/>
      <c r="D176" s="599"/>
      <c r="E176" s="568"/>
      <c r="G176" s="568"/>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c r="A177" s="126"/>
      <c r="B177" s="598"/>
      <c r="C177" s="597"/>
      <c r="D177" s="599"/>
      <c r="E177" s="568"/>
      <c r="G177" s="568"/>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c r="A178" s="134"/>
      <c r="B178" s="363"/>
      <c r="E178" s="363"/>
      <c r="F178" s="363"/>
      <c r="G178" s="363"/>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c r="A179" s="134"/>
      <c r="G179" s="568"/>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c r="B180" s="363"/>
      <c r="E180" s="363"/>
      <c r="F180" s="363"/>
      <c r="G180" s="363"/>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c r="G181" s="568"/>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36"/>
  <sheetViews>
    <sheetView workbookViewId="0">
      <selection activeCell="F16" sqref="F16"/>
    </sheetView>
  </sheetViews>
  <sheetFormatPr defaultColWidth="9.140625" defaultRowHeight="12.75"/>
  <cols>
    <col min="1" max="1" width="30.140625" style="123" customWidth="1"/>
    <col min="2" max="2" width="9.7109375" style="123" bestFit="1" customWidth="1"/>
    <col min="3" max="3" width="5.42578125" style="123" bestFit="1" customWidth="1"/>
    <col min="4" max="4" width="10.140625" style="123" bestFit="1" customWidth="1"/>
    <col min="5" max="5" width="8" style="123" bestFit="1" customWidth="1"/>
    <col min="6" max="6" width="10" style="123" bestFit="1" customWidth="1"/>
    <col min="7" max="7" width="13.28515625" style="123" bestFit="1" customWidth="1"/>
    <col min="8" max="8" width="9.7109375" style="123" customWidth="1"/>
    <col min="9" max="9" width="10.28515625" style="123" bestFit="1" customWidth="1"/>
    <col min="10" max="16384" width="9.140625" style="123"/>
  </cols>
  <sheetData>
    <row r="1" spans="1:11">
      <c r="A1" s="17" t="str">
        <f>RevReqSummary!A1</f>
        <v>PacifiCorp General Rate Case UE-140617</v>
      </c>
      <c r="H1" s="550"/>
    </row>
    <row r="2" spans="1:11">
      <c r="A2" s="17" t="str">
        <f>RevReqSummary!A2</f>
        <v>For The Twelve Months Ended December 2013 - Staff Revenue Requirement</v>
      </c>
    </row>
    <row r="3" spans="1:11">
      <c r="A3" s="551" t="s">
        <v>120</v>
      </c>
    </row>
    <row r="4" spans="1:11">
      <c r="A4" s="551" t="s">
        <v>511</v>
      </c>
      <c r="D4" s="356"/>
      <c r="E4" s="356"/>
    </row>
    <row r="5" spans="1:11">
      <c r="D5" s="356"/>
      <c r="E5" s="356"/>
    </row>
    <row r="6" spans="1:11">
      <c r="A6" s="551"/>
      <c r="B6" s="23"/>
      <c r="C6" s="23"/>
      <c r="D6" s="23" t="s">
        <v>131</v>
      </c>
      <c r="E6" s="23"/>
      <c r="F6" s="23"/>
      <c r="G6" s="23" t="s">
        <v>236</v>
      </c>
    </row>
    <row r="7" spans="1:11">
      <c r="B7" s="26" t="s">
        <v>132</v>
      </c>
      <c r="C7" s="26" t="s">
        <v>660</v>
      </c>
      <c r="D7" s="26" t="s">
        <v>134</v>
      </c>
      <c r="E7" s="26" t="s">
        <v>135</v>
      </c>
      <c r="F7" s="26" t="s">
        <v>136</v>
      </c>
      <c r="G7" s="26" t="s">
        <v>137</v>
      </c>
    </row>
    <row r="8" spans="1:11">
      <c r="A8" s="551" t="s">
        <v>376</v>
      </c>
      <c r="B8" s="535"/>
      <c r="C8" s="356"/>
      <c r="D8" s="363"/>
      <c r="E8" s="356"/>
      <c r="F8" s="555"/>
      <c r="G8" s="556"/>
      <c r="H8" s="557"/>
      <c r="I8" s="556"/>
      <c r="J8" s="359"/>
      <c r="K8" s="359"/>
    </row>
    <row r="9" spans="1:11">
      <c r="A9" s="123" t="s">
        <v>415</v>
      </c>
      <c r="B9" s="535">
        <v>407</v>
      </c>
      <c r="C9" s="356" t="s">
        <v>398</v>
      </c>
      <c r="D9" s="639">
        <v>356777.85250000004</v>
      </c>
      <c r="E9" s="356" t="s">
        <v>203</v>
      </c>
      <c r="F9" s="558">
        <f>INDEX(WCAAllocations,IFERROR(MATCH(E9,WCAFactors,0),2),IFERROR(MATCH(E9,WCAStates,0),4))</f>
        <v>0.23084885646883446</v>
      </c>
      <c r="G9" s="556">
        <f>D9*F9</f>
        <v>82361.759263031505</v>
      </c>
      <c r="H9" s="557"/>
      <c r="I9" s="556"/>
      <c r="J9" s="359"/>
      <c r="K9" s="359"/>
    </row>
    <row r="10" spans="1:11">
      <c r="A10" s="123" t="s">
        <v>760</v>
      </c>
      <c r="B10" s="535" t="s">
        <v>181</v>
      </c>
      <c r="C10" s="356" t="s">
        <v>398</v>
      </c>
      <c r="D10" s="639">
        <v>44597.231562502209</v>
      </c>
      <c r="E10" s="356" t="s">
        <v>203</v>
      </c>
      <c r="F10" s="558">
        <f>INDEX(WCAAllocations,IFERROR(MATCH(E10,WCAFactors,0),2),IFERROR(MATCH(E10,WCAStates,0),4))</f>
        <v>0.23084885646883446</v>
      </c>
      <c r="G10" s="556">
        <f>D10*F10</f>
        <v>10295.219907879447</v>
      </c>
      <c r="H10" s="557"/>
      <c r="I10" s="359"/>
      <c r="J10" s="359"/>
      <c r="K10" s="359"/>
    </row>
    <row r="11" spans="1:11">
      <c r="A11" s="123" t="s">
        <v>377</v>
      </c>
      <c r="B11" s="535" t="s">
        <v>181</v>
      </c>
      <c r="C11" s="356" t="s">
        <v>398</v>
      </c>
      <c r="D11" s="639">
        <v>0</v>
      </c>
      <c r="E11" s="356" t="s">
        <v>203</v>
      </c>
      <c r="F11" s="558">
        <f>INDEX(WCAAllocations,IFERROR(MATCH(E11,WCAFactors,0),2),IFERROR(MATCH(E11,WCAStates,0),4))</f>
        <v>0.23084885646883446</v>
      </c>
      <c r="G11" s="556">
        <f>D11*F11</f>
        <v>0</v>
      </c>
      <c r="H11" s="557"/>
      <c r="I11" s="359"/>
      <c r="J11" s="359"/>
      <c r="K11" s="359"/>
    </row>
    <row r="12" spans="1:11">
      <c r="A12" s="123" t="s">
        <v>416</v>
      </c>
      <c r="B12" s="356" t="s">
        <v>181</v>
      </c>
      <c r="C12" s="356" t="s">
        <v>398</v>
      </c>
      <c r="D12" s="639">
        <v>-212946.93000000002</v>
      </c>
      <c r="E12" s="356" t="s">
        <v>141</v>
      </c>
      <c r="F12" s="558">
        <f>INDEX(WCAAllocations,IFERROR(MATCH(E12,WCAFactors,0),2),IFERROR(MATCH(E12,WCAStates,0),4))</f>
        <v>1</v>
      </c>
      <c r="G12" s="556">
        <f>D12</f>
        <v>-212946.93000000002</v>
      </c>
      <c r="H12" s="554"/>
      <c r="I12" s="359"/>
      <c r="J12" s="359"/>
      <c r="K12" s="359"/>
    </row>
    <row r="13" spans="1:11">
      <c r="B13" s="356"/>
      <c r="C13" s="356"/>
      <c r="D13" s="355"/>
      <c r="E13" s="356"/>
      <c r="F13" s="552"/>
      <c r="G13" s="359"/>
      <c r="H13" s="554"/>
      <c r="I13" s="553"/>
      <c r="J13" s="359"/>
      <c r="K13" s="359"/>
    </row>
    <row r="14" spans="1:11">
      <c r="A14" s="123" t="s">
        <v>268</v>
      </c>
      <c r="B14" s="356" t="s">
        <v>191</v>
      </c>
      <c r="C14" s="356" t="s">
        <v>398</v>
      </c>
      <c r="D14" s="639">
        <v>356777.85250000004</v>
      </c>
      <c r="E14" s="356" t="s">
        <v>203</v>
      </c>
      <c r="F14" s="558">
        <v>0.23084885646883446</v>
      </c>
      <c r="G14" s="553">
        <f>D14*F14</f>
        <v>82361.759263031505</v>
      </c>
      <c r="H14" s="554"/>
      <c r="I14" s="359"/>
      <c r="J14" s="359"/>
      <c r="K14" s="556"/>
    </row>
    <row r="15" spans="1:11">
      <c r="A15" s="123" t="s">
        <v>761</v>
      </c>
      <c r="B15" s="356">
        <v>41110</v>
      </c>
      <c r="C15" s="356" t="s">
        <v>398</v>
      </c>
      <c r="D15" s="639">
        <v>-135401</v>
      </c>
      <c r="E15" s="356" t="s">
        <v>203</v>
      </c>
      <c r="F15" s="558">
        <v>0.23084885646883446</v>
      </c>
      <c r="G15" s="553">
        <f>D15*F15</f>
        <v>-31257.166014736657</v>
      </c>
      <c r="H15" s="554"/>
      <c r="I15" s="359"/>
      <c r="J15" s="359"/>
      <c r="K15" s="359"/>
    </row>
    <row r="16" spans="1:11">
      <c r="A16" s="123" t="s">
        <v>342</v>
      </c>
      <c r="B16" s="356">
        <v>283</v>
      </c>
      <c r="C16" s="356" t="s">
        <v>398</v>
      </c>
      <c r="D16" s="639">
        <v>-16925</v>
      </c>
      <c r="E16" s="356" t="s">
        <v>203</v>
      </c>
      <c r="F16" s="558">
        <v>0.23084885646883446</v>
      </c>
      <c r="G16" s="553">
        <f>D16*F16</f>
        <v>-3907.1168957350233</v>
      </c>
      <c r="H16" s="554"/>
      <c r="I16" s="359"/>
      <c r="J16" s="359"/>
      <c r="K16" s="359"/>
    </row>
    <row r="17" spans="1:11">
      <c r="B17" s="356"/>
      <c r="C17" s="356"/>
      <c r="D17" s="355"/>
      <c r="E17" s="356"/>
      <c r="F17" s="552"/>
      <c r="G17" s="553"/>
      <c r="H17" s="554"/>
      <c r="I17" s="359"/>
      <c r="J17" s="359"/>
      <c r="K17" s="359"/>
    </row>
    <row r="18" spans="1:11">
      <c r="A18" s="123" t="s">
        <v>762</v>
      </c>
      <c r="B18" s="356" t="s">
        <v>193</v>
      </c>
      <c r="C18" s="356" t="s">
        <v>398</v>
      </c>
      <c r="D18" s="639">
        <v>-164704</v>
      </c>
      <c r="E18" s="356" t="s">
        <v>203</v>
      </c>
      <c r="F18" s="558">
        <f>INDEX(WCAAllocations,IFERROR(MATCH(E18,WCAFactors,0),2),IFERROR(MATCH(E18,WCAStates,0),4))</f>
        <v>0.23084885646883446</v>
      </c>
      <c r="G18" s="553">
        <f>+F18*D18</f>
        <v>-38021.730055842912</v>
      </c>
      <c r="H18" s="554"/>
      <c r="I18" s="359"/>
      <c r="J18" s="359"/>
      <c r="K18" s="359"/>
    </row>
    <row r="19" spans="1:11">
      <c r="A19" s="123" t="s">
        <v>761</v>
      </c>
      <c r="B19" s="535">
        <v>41010</v>
      </c>
      <c r="C19" s="356" t="s">
        <v>398</v>
      </c>
      <c r="D19" s="639">
        <v>-62507</v>
      </c>
      <c r="E19" s="356" t="s">
        <v>203</v>
      </c>
      <c r="F19" s="558">
        <f>INDEX(WCAAllocations,IFERROR(MATCH(E19,WCAFactors,0),2),IFERROR(MATCH(E19,WCAStates,0),4))</f>
        <v>0.23084885646883446</v>
      </c>
      <c r="G19" s="553">
        <f>+F19*D19</f>
        <v>-14429.669471297435</v>
      </c>
      <c r="H19" s="557"/>
      <c r="I19" s="556"/>
      <c r="J19" s="359"/>
      <c r="K19" s="359"/>
    </row>
    <row r="20" spans="1:11">
      <c r="A20" s="123" t="s">
        <v>763</v>
      </c>
      <c r="B20" s="535">
        <v>283</v>
      </c>
      <c r="C20" s="356" t="s">
        <v>398</v>
      </c>
      <c r="D20" s="639">
        <v>938753</v>
      </c>
      <c r="E20" s="356" t="s">
        <v>203</v>
      </c>
      <c r="F20" s="558">
        <f>INDEX(WCAAllocations,IFERROR(MATCH(E20,WCAFactors,0),2),IFERROR(MATCH(E20,WCAStates,0),4))</f>
        <v>0.23084885646883446</v>
      </c>
      <c r="G20" s="553">
        <f>+F20*D20</f>
        <v>216710.05655668775</v>
      </c>
      <c r="H20" s="557"/>
      <c r="I20" s="359"/>
      <c r="J20" s="556"/>
      <c r="K20" s="359"/>
    </row>
    <row r="21" spans="1:11">
      <c r="B21" s="535"/>
      <c r="C21" s="356"/>
      <c r="D21" s="559"/>
      <c r="E21" s="356"/>
      <c r="F21" s="555"/>
      <c r="G21" s="560"/>
      <c r="H21" s="557"/>
      <c r="I21" s="359"/>
      <c r="J21" s="359"/>
      <c r="K21" s="359"/>
    </row>
    <row r="22" spans="1:11">
      <c r="B22" s="535"/>
      <c r="C22" s="356"/>
      <c r="D22" s="363"/>
      <c r="E22" s="356"/>
      <c r="F22" s="555"/>
      <c r="G22" s="556"/>
      <c r="H22" s="557"/>
      <c r="I22" s="359"/>
      <c r="J22" s="359"/>
      <c r="K22" s="359"/>
    </row>
    <row r="23" spans="1:11">
      <c r="A23" s="123" t="s">
        <v>764</v>
      </c>
      <c r="B23" s="535" t="s">
        <v>191</v>
      </c>
      <c r="C23" s="356" t="s">
        <v>398</v>
      </c>
      <c r="D23" s="639">
        <v>-283929</v>
      </c>
      <c r="E23" s="356" t="s">
        <v>141</v>
      </c>
      <c r="F23" s="558">
        <f>INDEX(WCAAllocations,IFERROR(MATCH(E23,WCAFactors,0),2),IFERROR(MATCH(E23,WCAStates,0),4))</f>
        <v>1</v>
      </c>
      <c r="G23" s="553">
        <f>D23</f>
        <v>-283929</v>
      </c>
      <c r="H23" s="1045"/>
      <c r="I23" s="359"/>
      <c r="J23" s="359"/>
      <c r="K23" s="359"/>
    </row>
    <row r="24" spans="1:11">
      <c r="A24" s="123" t="s">
        <v>761</v>
      </c>
      <c r="B24" s="356">
        <v>41110</v>
      </c>
      <c r="C24" s="356" t="s">
        <v>398</v>
      </c>
      <c r="D24" s="639">
        <v>107753.89479000001</v>
      </c>
      <c r="E24" s="356" t="s">
        <v>141</v>
      </c>
      <c r="F24" s="558">
        <f>INDEX(WCAAllocations,IFERROR(MATCH(E24,WCAFactors,0),2),IFERROR(MATCH(E24,WCAStates,0),4))</f>
        <v>1</v>
      </c>
      <c r="G24" s="553">
        <f>D24</f>
        <v>107753.89479000001</v>
      </c>
      <c r="H24" s="557"/>
      <c r="I24" s="556"/>
      <c r="J24" s="556"/>
      <c r="K24" s="359"/>
    </row>
    <row r="25" spans="1:11">
      <c r="A25" s="123" t="s">
        <v>763</v>
      </c>
      <c r="B25" s="356">
        <v>283</v>
      </c>
      <c r="C25" s="356" t="s">
        <v>398</v>
      </c>
      <c r="D25" s="639">
        <v>87549</v>
      </c>
      <c r="E25" s="356" t="s">
        <v>141</v>
      </c>
      <c r="F25" s="558">
        <f>INDEX(WCAAllocations,IFERROR(MATCH(E25,WCAFactors,0),2),IFERROR(MATCH(E25,WCAStates,0),4))</f>
        <v>1</v>
      </c>
      <c r="G25" s="553">
        <f>D25</f>
        <v>87549</v>
      </c>
      <c r="H25" s="557"/>
      <c r="I25" s="556"/>
      <c r="J25" s="359"/>
      <c r="K25" s="359"/>
    </row>
    <row r="26" spans="1:11">
      <c r="C26" s="561"/>
      <c r="D26" s="363"/>
      <c r="E26" s="356"/>
      <c r="F26" s="555"/>
      <c r="G26" s="556"/>
      <c r="H26" s="557"/>
      <c r="I26" s="359"/>
      <c r="J26" s="359"/>
      <c r="K26" s="359"/>
    </row>
    <row r="27" spans="1:11">
      <c r="C27" s="562"/>
      <c r="D27" s="559"/>
      <c r="E27" s="356"/>
      <c r="F27" s="555"/>
      <c r="G27" s="559"/>
      <c r="H27" s="563"/>
    </row>
    <row r="28" spans="1:11">
      <c r="B28" s="356"/>
      <c r="C28" s="356"/>
      <c r="D28" s="564"/>
      <c r="E28" s="356"/>
      <c r="F28" s="555"/>
      <c r="G28" s="355"/>
      <c r="H28" s="563"/>
    </row>
    <row r="29" spans="1:11">
      <c r="A29" s="551" t="s">
        <v>212</v>
      </c>
      <c r="B29" s="356"/>
      <c r="C29" s="565"/>
      <c r="D29" s="566"/>
      <c r="E29" s="563"/>
      <c r="F29" s="555"/>
      <c r="G29" s="363"/>
      <c r="H29" s="563"/>
    </row>
    <row r="30" spans="1:11">
      <c r="A30" s="1413" t="s">
        <v>1077</v>
      </c>
      <c r="B30" s="1413"/>
      <c r="C30" s="1413"/>
      <c r="D30" s="1413"/>
      <c r="E30" s="1413"/>
      <c r="F30" s="1413"/>
      <c r="G30" s="1413"/>
      <c r="H30" s="363"/>
      <c r="I30" s="363"/>
    </row>
    <row r="31" spans="1:11">
      <c r="A31" s="1402"/>
      <c r="B31" s="1413"/>
      <c r="C31" s="1413"/>
      <c r="D31" s="1413"/>
      <c r="E31" s="1413"/>
      <c r="F31" s="1413"/>
      <c r="G31" s="1413"/>
    </row>
    <row r="32" spans="1:11">
      <c r="A32" s="1413"/>
      <c r="B32" s="1413"/>
      <c r="C32" s="1413"/>
      <c r="D32" s="1413"/>
      <c r="E32" s="1413"/>
      <c r="F32" s="1413"/>
      <c r="G32" s="1413"/>
    </row>
    <row r="33" spans="1:7">
      <c r="A33" s="1413"/>
      <c r="B33" s="1413"/>
      <c r="C33" s="1413"/>
      <c r="D33" s="1413"/>
      <c r="E33" s="1413"/>
      <c r="F33" s="1413"/>
      <c r="G33" s="1413"/>
    </row>
    <row r="34" spans="1:7">
      <c r="A34" s="1413"/>
      <c r="B34" s="1413"/>
      <c r="C34" s="1413"/>
      <c r="D34" s="1413"/>
      <c r="E34" s="1413"/>
      <c r="F34" s="1413"/>
      <c r="G34" s="1413"/>
    </row>
    <row r="35" spans="1:7">
      <c r="A35" s="1413"/>
      <c r="B35" s="1413"/>
      <c r="C35" s="1413"/>
      <c r="D35" s="1413"/>
      <c r="E35" s="1413"/>
      <c r="F35" s="1413"/>
      <c r="G35" s="1413"/>
    </row>
    <row r="36" spans="1:7">
      <c r="A36" s="1413"/>
      <c r="B36" s="1413"/>
      <c r="C36" s="1413"/>
      <c r="D36" s="1413"/>
      <c r="E36" s="1413"/>
      <c r="F36" s="1413"/>
      <c r="G36" s="1413"/>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31"/>
  <sheetViews>
    <sheetView workbookViewId="0">
      <selection activeCell="F16" sqref="F16"/>
    </sheetView>
  </sheetViews>
  <sheetFormatPr defaultRowHeight="12.75"/>
  <cols>
    <col min="1" max="1" width="27" style="244" customWidth="1"/>
    <col min="2" max="2" width="9.7109375" style="244" bestFit="1" customWidth="1"/>
    <col min="3" max="3" width="5.42578125" style="244" customWidth="1"/>
    <col min="4" max="4" width="10.140625" style="244" bestFit="1" customWidth="1"/>
    <col min="5" max="5" width="8" style="244" bestFit="1" customWidth="1"/>
    <col min="6" max="6" width="10" style="244" bestFit="1" customWidth="1"/>
    <col min="7" max="7" width="13.28515625" style="244" bestFit="1" customWidth="1"/>
    <col min="8" max="253" width="10" style="244"/>
    <col min="254" max="254" width="2.5703125" style="244" customWidth="1"/>
    <col min="255" max="255" width="7.140625" style="244" customWidth="1"/>
    <col min="256" max="256" width="27.7109375" style="244" customWidth="1"/>
    <col min="257" max="257" width="9.7109375" style="244" customWidth="1"/>
    <col min="258" max="258" width="4.7109375" style="244" customWidth="1"/>
    <col min="259" max="259" width="14.42578125" style="244" customWidth="1"/>
    <col min="260" max="260" width="11.140625" style="244" customWidth="1"/>
    <col min="261" max="261" width="10.28515625" style="244" customWidth="1"/>
    <col min="262" max="262" width="13" style="244" customWidth="1"/>
    <col min="263" max="263" width="8.28515625" style="244" customWidth="1"/>
    <col min="264" max="509" width="10" style="244"/>
    <col min="510" max="510" width="2.5703125" style="244" customWidth="1"/>
    <col min="511" max="511" width="7.140625" style="244" customWidth="1"/>
    <col min="512" max="512" width="27.7109375" style="244" customWidth="1"/>
    <col min="513" max="513" width="9.7109375" style="244" customWidth="1"/>
    <col min="514" max="514" width="4.7109375" style="244" customWidth="1"/>
    <col min="515" max="515" width="14.42578125" style="244" customWidth="1"/>
    <col min="516" max="516" width="11.140625" style="244" customWidth="1"/>
    <col min="517" max="517" width="10.28515625" style="244" customWidth="1"/>
    <col min="518" max="518" width="13" style="244" customWidth="1"/>
    <col min="519" max="519" width="8.28515625" style="244" customWidth="1"/>
    <col min="520" max="765" width="10" style="244"/>
    <col min="766" max="766" width="2.5703125" style="244" customWidth="1"/>
    <col min="767" max="767" width="7.140625" style="244" customWidth="1"/>
    <col min="768" max="768" width="27.7109375" style="244" customWidth="1"/>
    <col min="769" max="769" width="9.7109375" style="244" customWidth="1"/>
    <col min="770" max="770" width="4.7109375" style="244" customWidth="1"/>
    <col min="771" max="771" width="14.42578125" style="244" customWidth="1"/>
    <col min="772" max="772" width="11.140625" style="244" customWidth="1"/>
    <col min="773" max="773" width="10.28515625" style="244" customWidth="1"/>
    <col min="774" max="774" width="13" style="244" customWidth="1"/>
    <col min="775" max="775" width="8.28515625" style="244" customWidth="1"/>
    <col min="776" max="1021" width="9.140625" style="244"/>
    <col min="1022" max="1022" width="2.5703125" style="244" customWidth="1"/>
    <col min="1023" max="1023" width="7.140625" style="244" customWidth="1"/>
    <col min="1024" max="1024" width="27.7109375" style="244" customWidth="1"/>
    <col min="1025" max="1025" width="9.7109375" style="244" customWidth="1"/>
    <col min="1026" max="1026" width="4.7109375" style="244" customWidth="1"/>
    <col min="1027" max="1027" width="14.42578125" style="244" customWidth="1"/>
    <col min="1028" max="1028" width="11.140625" style="244" customWidth="1"/>
    <col min="1029" max="1029" width="10.28515625" style="244" customWidth="1"/>
    <col min="1030" max="1030" width="13" style="244" customWidth="1"/>
    <col min="1031" max="1031" width="8.28515625" style="244" customWidth="1"/>
    <col min="1032" max="1277" width="10" style="244"/>
    <col min="1278" max="1278" width="2.5703125" style="244" customWidth="1"/>
    <col min="1279" max="1279" width="7.140625" style="244" customWidth="1"/>
    <col min="1280" max="1280" width="27.7109375" style="244" customWidth="1"/>
    <col min="1281" max="1281" width="9.7109375" style="244" customWidth="1"/>
    <col min="1282" max="1282" width="4.7109375" style="244" customWidth="1"/>
    <col min="1283" max="1283" width="14.42578125" style="244" customWidth="1"/>
    <col min="1284" max="1284" width="11.140625" style="244" customWidth="1"/>
    <col min="1285" max="1285" width="10.28515625" style="244" customWidth="1"/>
    <col min="1286" max="1286" width="13" style="244" customWidth="1"/>
    <col min="1287" max="1287" width="8.28515625" style="244" customWidth="1"/>
    <col min="1288" max="1533" width="10" style="244"/>
    <col min="1534" max="1534" width="2.5703125" style="244" customWidth="1"/>
    <col min="1535" max="1535" width="7.140625" style="244" customWidth="1"/>
    <col min="1536" max="1536" width="27.7109375" style="244" customWidth="1"/>
    <col min="1537" max="1537" width="9.7109375" style="244" customWidth="1"/>
    <col min="1538" max="1538" width="4.7109375" style="244" customWidth="1"/>
    <col min="1539" max="1539" width="14.42578125" style="244" customWidth="1"/>
    <col min="1540" max="1540" width="11.140625" style="244" customWidth="1"/>
    <col min="1541" max="1541" width="10.28515625" style="244" customWidth="1"/>
    <col min="1542" max="1542" width="13" style="244" customWidth="1"/>
    <col min="1543" max="1543" width="8.28515625" style="244" customWidth="1"/>
    <col min="1544" max="1789" width="10" style="244"/>
    <col min="1790" max="1790" width="2.5703125" style="244" customWidth="1"/>
    <col min="1791" max="1791" width="7.140625" style="244" customWidth="1"/>
    <col min="1792" max="1792" width="27.7109375" style="244" customWidth="1"/>
    <col min="1793" max="1793" width="9.7109375" style="244" customWidth="1"/>
    <col min="1794" max="1794" width="4.7109375" style="244" customWidth="1"/>
    <col min="1795" max="1795" width="14.42578125" style="244" customWidth="1"/>
    <col min="1796" max="1796" width="11.140625" style="244" customWidth="1"/>
    <col min="1797" max="1797" width="10.28515625" style="244" customWidth="1"/>
    <col min="1798" max="1798" width="13" style="244" customWidth="1"/>
    <col min="1799" max="1799" width="8.28515625" style="244" customWidth="1"/>
    <col min="1800" max="2045" width="9.140625" style="244"/>
    <col min="2046" max="2046" width="2.5703125" style="244" customWidth="1"/>
    <col min="2047" max="2047" width="7.140625" style="244" customWidth="1"/>
    <col min="2048" max="2048" width="27.7109375" style="244" customWidth="1"/>
    <col min="2049" max="2049" width="9.7109375" style="244" customWidth="1"/>
    <col min="2050" max="2050" width="4.7109375" style="244" customWidth="1"/>
    <col min="2051" max="2051" width="14.42578125" style="244" customWidth="1"/>
    <col min="2052" max="2052" width="11.140625" style="244" customWidth="1"/>
    <col min="2053" max="2053" width="10.28515625" style="244" customWidth="1"/>
    <col min="2054" max="2054" width="13" style="244" customWidth="1"/>
    <col min="2055" max="2055" width="8.28515625" style="244" customWidth="1"/>
    <col min="2056" max="2301" width="10" style="244"/>
    <col min="2302" max="2302" width="2.5703125" style="244" customWidth="1"/>
    <col min="2303" max="2303" width="7.140625" style="244" customWidth="1"/>
    <col min="2304" max="2304" width="27.7109375" style="244" customWidth="1"/>
    <col min="2305" max="2305" width="9.7109375" style="244" customWidth="1"/>
    <col min="2306" max="2306" width="4.7109375" style="244" customWidth="1"/>
    <col min="2307" max="2307" width="14.42578125" style="244" customWidth="1"/>
    <col min="2308" max="2308" width="11.140625" style="244" customWidth="1"/>
    <col min="2309" max="2309" width="10.28515625" style="244" customWidth="1"/>
    <col min="2310" max="2310" width="13" style="244" customWidth="1"/>
    <col min="2311" max="2311" width="8.28515625" style="244" customWidth="1"/>
    <col min="2312" max="2557" width="10" style="244"/>
    <col min="2558" max="2558" width="2.5703125" style="244" customWidth="1"/>
    <col min="2559" max="2559" width="7.140625" style="244" customWidth="1"/>
    <col min="2560" max="2560" width="27.7109375" style="244" customWidth="1"/>
    <col min="2561" max="2561" width="9.7109375" style="244" customWidth="1"/>
    <col min="2562" max="2562" width="4.7109375" style="244" customWidth="1"/>
    <col min="2563" max="2563" width="14.42578125" style="244" customWidth="1"/>
    <col min="2564" max="2564" width="11.140625" style="244" customWidth="1"/>
    <col min="2565" max="2565" width="10.28515625" style="244" customWidth="1"/>
    <col min="2566" max="2566" width="13" style="244" customWidth="1"/>
    <col min="2567" max="2567" width="8.28515625" style="244" customWidth="1"/>
    <col min="2568" max="2813" width="10" style="244"/>
    <col min="2814" max="2814" width="2.5703125" style="244" customWidth="1"/>
    <col min="2815" max="2815" width="7.140625" style="244" customWidth="1"/>
    <col min="2816" max="2816" width="27.7109375" style="244" customWidth="1"/>
    <col min="2817" max="2817" width="9.7109375" style="244" customWidth="1"/>
    <col min="2818" max="2818" width="4.7109375" style="244" customWidth="1"/>
    <col min="2819" max="2819" width="14.42578125" style="244" customWidth="1"/>
    <col min="2820" max="2820" width="11.140625" style="244" customWidth="1"/>
    <col min="2821" max="2821" width="10.28515625" style="244" customWidth="1"/>
    <col min="2822" max="2822" width="13" style="244" customWidth="1"/>
    <col min="2823" max="2823" width="8.28515625" style="244" customWidth="1"/>
    <col min="2824" max="3069" width="9.140625" style="244"/>
    <col min="3070" max="3070" width="2.5703125" style="244" customWidth="1"/>
    <col min="3071" max="3071" width="7.140625" style="244" customWidth="1"/>
    <col min="3072" max="3072" width="27.7109375" style="244" customWidth="1"/>
    <col min="3073" max="3073" width="9.7109375" style="244" customWidth="1"/>
    <col min="3074" max="3074" width="4.7109375" style="244" customWidth="1"/>
    <col min="3075" max="3075" width="14.42578125" style="244" customWidth="1"/>
    <col min="3076" max="3076" width="11.140625" style="244" customWidth="1"/>
    <col min="3077" max="3077" width="10.28515625" style="244" customWidth="1"/>
    <col min="3078" max="3078" width="13" style="244" customWidth="1"/>
    <col min="3079" max="3079" width="8.28515625" style="244" customWidth="1"/>
    <col min="3080" max="3325" width="10" style="244"/>
    <col min="3326" max="3326" width="2.5703125" style="244" customWidth="1"/>
    <col min="3327" max="3327" width="7.140625" style="244" customWidth="1"/>
    <col min="3328" max="3328" width="27.7109375" style="244" customWidth="1"/>
    <col min="3329" max="3329" width="9.7109375" style="244" customWidth="1"/>
    <col min="3330" max="3330" width="4.7109375" style="244" customWidth="1"/>
    <col min="3331" max="3331" width="14.42578125" style="244" customWidth="1"/>
    <col min="3332" max="3332" width="11.140625" style="244" customWidth="1"/>
    <col min="3333" max="3333" width="10.28515625" style="244" customWidth="1"/>
    <col min="3334" max="3334" width="13" style="244" customWidth="1"/>
    <col min="3335" max="3335" width="8.28515625" style="244" customWidth="1"/>
    <col min="3336" max="3581" width="10" style="244"/>
    <col min="3582" max="3582" width="2.5703125" style="244" customWidth="1"/>
    <col min="3583" max="3583" width="7.140625" style="244" customWidth="1"/>
    <col min="3584" max="3584" width="27.7109375" style="244" customWidth="1"/>
    <col min="3585" max="3585" width="9.7109375" style="244" customWidth="1"/>
    <col min="3586" max="3586" width="4.7109375" style="244" customWidth="1"/>
    <col min="3587" max="3587" width="14.42578125" style="244" customWidth="1"/>
    <col min="3588" max="3588" width="11.140625" style="244" customWidth="1"/>
    <col min="3589" max="3589" width="10.28515625" style="244" customWidth="1"/>
    <col min="3590" max="3590" width="13" style="244" customWidth="1"/>
    <col min="3591" max="3591" width="8.28515625" style="244" customWidth="1"/>
    <col min="3592" max="3837" width="10" style="244"/>
    <col min="3838" max="3838" width="2.5703125" style="244" customWidth="1"/>
    <col min="3839" max="3839" width="7.140625" style="244" customWidth="1"/>
    <col min="3840" max="3840" width="27.7109375" style="244" customWidth="1"/>
    <col min="3841" max="3841" width="9.7109375" style="244" customWidth="1"/>
    <col min="3842" max="3842" width="4.7109375" style="244" customWidth="1"/>
    <col min="3843" max="3843" width="14.42578125" style="244" customWidth="1"/>
    <col min="3844" max="3844" width="11.140625" style="244" customWidth="1"/>
    <col min="3845" max="3845" width="10.28515625" style="244" customWidth="1"/>
    <col min="3846" max="3846" width="13" style="244" customWidth="1"/>
    <col min="3847" max="3847" width="8.28515625" style="244" customWidth="1"/>
    <col min="3848" max="4093" width="9.140625" style="244"/>
    <col min="4094" max="4094" width="2.5703125" style="244" customWidth="1"/>
    <col min="4095" max="4095" width="7.140625" style="244" customWidth="1"/>
    <col min="4096" max="4096" width="27.7109375" style="244" customWidth="1"/>
    <col min="4097" max="4097" width="9.7109375" style="244" customWidth="1"/>
    <col min="4098" max="4098" width="4.7109375" style="244" customWidth="1"/>
    <col min="4099" max="4099" width="14.42578125" style="244" customWidth="1"/>
    <col min="4100" max="4100" width="11.140625" style="244" customWidth="1"/>
    <col min="4101" max="4101" width="10.28515625" style="244" customWidth="1"/>
    <col min="4102" max="4102" width="13" style="244" customWidth="1"/>
    <col min="4103" max="4103" width="8.28515625" style="244" customWidth="1"/>
    <col min="4104" max="4349" width="10" style="244"/>
    <col min="4350" max="4350" width="2.5703125" style="244" customWidth="1"/>
    <col min="4351" max="4351" width="7.140625" style="244" customWidth="1"/>
    <col min="4352" max="4352" width="27.7109375" style="244" customWidth="1"/>
    <col min="4353" max="4353" width="9.7109375" style="244" customWidth="1"/>
    <col min="4354" max="4354" width="4.7109375" style="244" customWidth="1"/>
    <col min="4355" max="4355" width="14.42578125" style="244" customWidth="1"/>
    <col min="4356" max="4356" width="11.140625" style="244" customWidth="1"/>
    <col min="4357" max="4357" width="10.28515625" style="244" customWidth="1"/>
    <col min="4358" max="4358" width="13" style="244" customWidth="1"/>
    <col min="4359" max="4359" width="8.28515625" style="244" customWidth="1"/>
    <col min="4360" max="4605" width="10" style="244"/>
    <col min="4606" max="4606" width="2.5703125" style="244" customWidth="1"/>
    <col min="4607" max="4607" width="7.140625" style="244" customWidth="1"/>
    <col min="4608" max="4608" width="27.7109375" style="244" customWidth="1"/>
    <col min="4609" max="4609" width="9.7109375" style="244" customWidth="1"/>
    <col min="4610" max="4610" width="4.7109375" style="244" customWidth="1"/>
    <col min="4611" max="4611" width="14.42578125" style="244" customWidth="1"/>
    <col min="4612" max="4612" width="11.140625" style="244" customWidth="1"/>
    <col min="4613" max="4613" width="10.28515625" style="244" customWidth="1"/>
    <col min="4614" max="4614" width="13" style="244" customWidth="1"/>
    <col min="4615" max="4615" width="8.28515625" style="244" customWidth="1"/>
    <col min="4616" max="4861" width="10" style="244"/>
    <col min="4862" max="4862" width="2.5703125" style="244" customWidth="1"/>
    <col min="4863" max="4863" width="7.140625" style="244" customWidth="1"/>
    <col min="4864" max="4864" width="27.7109375" style="244" customWidth="1"/>
    <col min="4865" max="4865" width="9.7109375" style="244" customWidth="1"/>
    <col min="4866" max="4866" width="4.7109375" style="244" customWidth="1"/>
    <col min="4867" max="4867" width="14.42578125" style="244" customWidth="1"/>
    <col min="4868" max="4868" width="11.140625" style="244" customWidth="1"/>
    <col min="4869" max="4869" width="10.28515625" style="244" customWidth="1"/>
    <col min="4870" max="4870" width="13" style="244" customWidth="1"/>
    <col min="4871" max="4871" width="8.28515625" style="244" customWidth="1"/>
    <col min="4872" max="5117" width="9.140625" style="244"/>
    <col min="5118" max="5118" width="2.5703125" style="244" customWidth="1"/>
    <col min="5119" max="5119" width="7.140625" style="244" customWidth="1"/>
    <col min="5120" max="5120" width="27.7109375" style="244" customWidth="1"/>
    <col min="5121" max="5121" width="9.7109375" style="244" customWidth="1"/>
    <col min="5122" max="5122" width="4.7109375" style="244" customWidth="1"/>
    <col min="5123" max="5123" width="14.42578125" style="244" customWidth="1"/>
    <col min="5124" max="5124" width="11.140625" style="244" customWidth="1"/>
    <col min="5125" max="5125" width="10.28515625" style="244" customWidth="1"/>
    <col min="5126" max="5126" width="13" style="244" customWidth="1"/>
    <col min="5127" max="5127" width="8.28515625" style="244" customWidth="1"/>
    <col min="5128" max="5373" width="10" style="244"/>
    <col min="5374" max="5374" width="2.5703125" style="244" customWidth="1"/>
    <col min="5375" max="5375" width="7.140625" style="244" customWidth="1"/>
    <col min="5376" max="5376" width="27.7109375" style="244" customWidth="1"/>
    <col min="5377" max="5377" width="9.7109375" style="244" customWidth="1"/>
    <col min="5378" max="5378" width="4.7109375" style="244" customWidth="1"/>
    <col min="5379" max="5379" width="14.42578125" style="244" customWidth="1"/>
    <col min="5380" max="5380" width="11.140625" style="244" customWidth="1"/>
    <col min="5381" max="5381" width="10.28515625" style="244" customWidth="1"/>
    <col min="5382" max="5382" width="13" style="244" customWidth="1"/>
    <col min="5383" max="5383" width="8.28515625" style="244" customWidth="1"/>
    <col min="5384" max="5629" width="10" style="244"/>
    <col min="5630" max="5630" width="2.5703125" style="244" customWidth="1"/>
    <col min="5631" max="5631" width="7.140625" style="244" customWidth="1"/>
    <col min="5632" max="5632" width="27.7109375" style="244" customWidth="1"/>
    <col min="5633" max="5633" width="9.7109375" style="244" customWidth="1"/>
    <col min="5634" max="5634" width="4.7109375" style="244" customWidth="1"/>
    <col min="5635" max="5635" width="14.42578125" style="244" customWidth="1"/>
    <col min="5636" max="5636" width="11.140625" style="244" customWidth="1"/>
    <col min="5637" max="5637" width="10.28515625" style="244" customWidth="1"/>
    <col min="5638" max="5638" width="13" style="244" customWidth="1"/>
    <col min="5639" max="5639" width="8.28515625" style="244" customWidth="1"/>
    <col min="5640" max="5885" width="10" style="244"/>
    <col min="5886" max="5886" width="2.5703125" style="244" customWidth="1"/>
    <col min="5887" max="5887" width="7.140625" style="244" customWidth="1"/>
    <col min="5888" max="5888" width="27.7109375" style="244" customWidth="1"/>
    <col min="5889" max="5889" width="9.7109375" style="244" customWidth="1"/>
    <col min="5890" max="5890" width="4.7109375" style="244" customWidth="1"/>
    <col min="5891" max="5891" width="14.42578125" style="244" customWidth="1"/>
    <col min="5892" max="5892" width="11.140625" style="244" customWidth="1"/>
    <col min="5893" max="5893" width="10.28515625" style="244" customWidth="1"/>
    <col min="5894" max="5894" width="13" style="244" customWidth="1"/>
    <col min="5895" max="5895" width="8.28515625" style="244" customWidth="1"/>
    <col min="5896" max="6141" width="9.140625" style="244"/>
    <col min="6142" max="6142" width="2.5703125" style="244" customWidth="1"/>
    <col min="6143" max="6143" width="7.140625" style="244" customWidth="1"/>
    <col min="6144" max="6144" width="27.7109375" style="244" customWidth="1"/>
    <col min="6145" max="6145" width="9.7109375" style="244" customWidth="1"/>
    <col min="6146" max="6146" width="4.7109375" style="244" customWidth="1"/>
    <col min="6147" max="6147" width="14.42578125" style="244" customWidth="1"/>
    <col min="6148" max="6148" width="11.140625" style="244" customWidth="1"/>
    <col min="6149" max="6149" width="10.28515625" style="244" customWidth="1"/>
    <col min="6150" max="6150" width="13" style="244" customWidth="1"/>
    <col min="6151" max="6151" width="8.28515625" style="244" customWidth="1"/>
    <col min="6152" max="6397" width="10" style="244"/>
    <col min="6398" max="6398" width="2.5703125" style="244" customWidth="1"/>
    <col min="6399" max="6399" width="7.140625" style="244" customWidth="1"/>
    <col min="6400" max="6400" width="27.7109375" style="244" customWidth="1"/>
    <col min="6401" max="6401" width="9.7109375" style="244" customWidth="1"/>
    <col min="6402" max="6402" width="4.7109375" style="244" customWidth="1"/>
    <col min="6403" max="6403" width="14.42578125" style="244" customWidth="1"/>
    <col min="6404" max="6404" width="11.140625" style="244" customWidth="1"/>
    <col min="6405" max="6405" width="10.28515625" style="244" customWidth="1"/>
    <col min="6406" max="6406" width="13" style="244" customWidth="1"/>
    <col min="6407" max="6407" width="8.28515625" style="244" customWidth="1"/>
    <col min="6408" max="6653" width="10" style="244"/>
    <col min="6654" max="6654" width="2.5703125" style="244" customWidth="1"/>
    <col min="6655" max="6655" width="7.140625" style="244" customWidth="1"/>
    <col min="6656" max="6656" width="27.7109375" style="244" customWidth="1"/>
    <col min="6657" max="6657" width="9.7109375" style="244" customWidth="1"/>
    <col min="6658" max="6658" width="4.7109375" style="244" customWidth="1"/>
    <col min="6659" max="6659" width="14.42578125" style="244" customWidth="1"/>
    <col min="6660" max="6660" width="11.140625" style="244" customWidth="1"/>
    <col min="6661" max="6661" width="10.28515625" style="244" customWidth="1"/>
    <col min="6662" max="6662" width="13" style="244" customWidth="1"/>
    <col min="6663" max="6663" width="8.28515625" style="244" customWidth="1"/>
    <col min="6664" max="6909" width="10" style="244"/>
    <col min="6910" max="6910" width="2.5703125" style="244" customWidth="1"/>
    <col min="6911" max="6911" width="7.140625" style="244" customWidth="1"/>
    <col min="6912" max="6912" width="27.7109375" style="244" customWidth="1"/>
    <col min="6913" max="6913" width="9.7109375" style="244" customWidth="1"/>
    <col min="6914" max="6914" width="4.7109375" style="244" customWidth="1"/>
    <col min="6915" max="6915" width="14.42578125" style="244" customWidth="1"/>
    <col min="6916" max="6916" width="11.140625" style="244" customWidth="1"/>
    <col min="6917" max="6917" width="10.28515625" style="244" customWidth="1"/>
    <col min="6918" max="6918" width="13" style="244" customWidth="1"/>
    <col min="6919" max="6919" width="8.28515625" style="244" customWidth="1"/>
    <col min="6920" max="7165" width="9.140625" style="244"/>
    <col min="7166" max="7166" width="2.5703125" style="244" customWidth="1"/>
    <col min="7167" max="7167" width="7.140625" style="244" customWidth="1"/>
    <col min="7168" max="7168" width="27.7109375" style="244" customWidth="1"/>
    <col min="7169" max="7169" width="9.7109375" style="244" customWidth="1"/>
    <col min="7170" max="7170" width="4.7109375" style="244" customWidth="1"/>
    <col min="7171" max="7171" width="14.42578125" style="244" customWidth="1"/>
    <col min="7172" max="7172" width="11.140625" style="244" customWidth="1"/>
    <col min="7173" max="7173" width="10.28515625" style="244" customWidth="1"/>
    <col min="7174" max="7174" width="13" style="244" customWidth="1"/>
    <col min="7175" max="7175" width="8.28515625" style="244" customWidth="1"/>
    <col min="7176" max="7421" width="10" style="244"/>
    <col min="7422" max="7422" width="2.5703125" style="244" customWidth="1"/>
    <col min="7423" max="7423" width="7.140625" style="244" customWidth="1"/>
    <col min="7424" max="7424" width="27.7109375" style="244" customWidth="1"/>
    <col min="7425" max="7425" width="9.7109375" style="244" customWidth="1"/>
    <col min="7426" max="7426" width="4.7109375" style="244" customWidth="1"/>
    <col min="7427" max="7427" width="14.42578125" style="244" customWidth="1"/>
    <col min="7428" max="7428" width="11.140625" style="244" customWidth="1"/>
    <col min="7429" max="7429" width="10.28515625" style="244" customWidth="1"/>
    <col min="7430" max="7430" width="13" style="244" customWidth="1"/>
    <col min="7431" max="7431" width="8.28515625" style="244" customWidth="1"/>
    <col min="7432" max="7677" width="10" style="244"/>
    <col min="7678" max="7678" width="2.5703125" style="244" customWidth="1"/>
    <col min="7679" max="7679" width="7.140625" style="244" customWidth="1"/>
    <col min="7680" max="7680" width="27.7109375" style="244" customWidth="1"/>
    <col min="7681" max="7681" width="9.7109375" style="244" customWidth="1"/>
    <col min="7682" max="7682" width="4.7109375" style="244" customWidth="1"/>
    <col min="7683" max="7683" width="14.42578125" style="244" customWidth="1"/>
    <col min="7684" max="7684" width="11.140625" style="244" customWidth="1"/>
    <col min="7685" max="7685" width="10.28515625" style="244" customWidth="1"/>
    <col min="7686" max="7686" width="13" style="244" customWidth="1"/>
    <col min="7687" max="7687" width="8.28515625" style="244" customWidth="1"/>
    <col min="7688" max="7933" width="10" style="244"/>
    <col min="7934" max="7934" width="2.5703125" style="244" customWidth="1"/>
    <col min="7935" max="7935" width="7.140625" style="244" customWidth="1"/>
    <col min="7936" max="7936" width="27.7109375" style="244" customWidth="1"/>
    <col min="7937" max="7937" width="9.7109375" style="244" customWidth="1"/>
    <col min="7938" max="7938" width="4.7109375" style="244" customWidth="1"/>
    <col min="7939" max="7939" width="14.42578125" style="244" customWidth="1"/>
    <col min="7940" max="7940" width="11.140625" style="244" customWidth="1"/>
    <col min="7941" max="7941" width="10.28515625" style="244" customWidth="1"/>
    <col min="7942" max="7942" width="13" style="244" customWidth="1"/>
    <col min="7943" max="7943" width="8.28515625" style="244" customWidth="1"/>
    <col min="7944" max="8189" width="9.140625" style="244"/>
    <col min="8190" max="8190" width="2.5703125" style="244" customWidth="1"/>
    <col min="8191" max="8191" width="7.140625" style="244" customWidth="1"/>
    <col min="8192" max="8192" width="27.7109375" style="244" customWidth="1"/>
    <col min="8193" max="8193" width="9.7109375" style="244" customWidth="1"/>
    <col min="8194" max="8194" width="4.7109375" style="244" customWidth="1"/>
    <col min="8195" max="8195" width="14.42578125" style="244" customWidth="1"/>
    <col min="8196" max="8196" width="11.140625" style="244" customWidth="1"/>
    <col min="8197" max="8197" width="10.28515625" style="244" customWidth="1"/>
    <col min="8198" max="8198" width="13" style="244" customWidth="1"/>
    <col min="8199" max="8199" width="8.28515625" style="244" customWidth="1"/>
    <col min="8200" max="8445" width="10" style="244"/>
    <col min="8446" max="8446" width="2.5703125" style="244" customWidth="1"/>
    <col min="8447" max="8447" width="7.140625" style="244" customWidth="1"/>
    <col min="8448" max="8448" width="27.7109375" style="244" customWidth="1"/>
    <col min="8449" max="8449" width="9.7109375" style="244" customWidth="1"/>
    <col min="8450" max="8450" width="4.7109375" style="244" customWidth="1"/>
    <col min="8451" max="8451" width="14.42578125" style="244" customWidth="1"/>
    <col min="8452" max="8452" width="11.140625" style="244" customWidth="1"/>
    <col min="8453" max="8453" width="10.28515625" style="244" customWidth="1"/>
    <col min="8454" max="8454" width="13" style="244" customWidth="1"/>
    <col min="8455" max="8455" width="8.28515625" style="244" customWidth="1"/>
    <col min="8456" max="8701" width="10" style="244"/>
    <col min="8702" max="8702" width="2.5703125" style="244" customWidth="1"/>
    <col min="8703" max="8703" width="7.140625" style="244" customWidth="1"/>
    <col min="8704" max="8704" width="27.7109375" style="244" customWidth="1"/>
    <col min="8705" max="8705" width="9.7109375" style="244" customWidth="1"/>
    <col min="8706" max="8706" width="4.7109375" style="244" customWidth="1"/>
    <col min="8707" max="8707" width="14.42578125" style="244" customWidth="1"/>
    <col min="8708" max="8708" width="11.140625" style="244" customWidth="1"/>
    <col min="8709" max="8709" width="10.28515625" style="244" customWidth="1"/>
    <col min="8710" max="8710" width="13" style="244" customWidth="1"/>
    <col min="8711" max="8711" width="8.28515625" style="244" customWidth="1"/>
    <col min="8712" max="8957" width="10" style="244"/>
    <col min="8958" max="8958" width="2.5703125" style="244" customWidth="1"/>
    <col min="8959" max="8959" width="7.140625" style="244" customWidth="1"/>
    <col min="8960" max="8960" width="27.7109375" style="244" customWidth="1"/>
    <col min="8961" max="8961" width="9.7109375" style="244" customWidth="1"/>
    <col min="8962" max="8962" width="4.7109375" style="244" customWidth="1"/>
    <col min="8963" max="8963" width="14.42578125" style="244" customWidth="1"/>
    <col min="8964" max="8964" width="11.140625" style="244" customWidth="1"/>
    <col min="8965" max="8965" width="10.28515625" style="244" customWidth="1"/>
    <col min="8966" max="8966" width="13" style="244" customWidth="1"/>
    <col min="8967" max="8967" width="8.28515625" style="244" customWidth="1"/>
    <col min="8968" max="9213" width="9.140625" style="244"/>
    <col min="9214" max="9214" width="2.5703125" style="244" customWidth="1"/>
    <col min="9215" max="9215" width="7.140625" style="244" customWidth="1"/>
    <col min="9216" max="9216" width="27.7109375" style="244" customWidth="1"/>
    <col min="9217" max="9217" width="9.7109375" style="244" customWidth="1"/>
    <col min="9218" max="9218" width="4.7109375" style="244" customWidth="1"/>
    <col min="9219" max="9219" width="14.42578125" style="244" customWidth="1"/>
    <col min="9220" max="9220" width="11.140625" style="244" customWidth="1"/>
    <col min="9221" max="9221" width="10.28515625" style="244" customWidth="1"/>
    <col min="9222" max="9222" width="13" style="244" customWidth="1"/>
    <col min="9223" max="9223" width="8.28515625" style="244" customWidth="1"/>
    <col min="9224" max="9469" width="10" style="244"/>
    <col min="9470" max="9470" width="2.5703125" style="244" customWidth="1"/>
    <col min="9471" max="9471" width="7.140625" style="244" customWidth="1"/>
    <col min="9472" max="9472" width="27.7109375" style="244" customWidth="1"/>
    <col min="9473" max="9473" width="9.7109375" style="244" customWidth="1"/>
    <col min="9474" max="9474" width="4.7109375" style="244" customWidth="1"/>
    <col min="9475" max="9475" width="14.42578125" style="244" customWidth="1"/>
    <col min="9476" max="9476" width="11.140625" style="244" customWidth="1"/>
    <col min="9477" max="9477" width="10.28515625" style="244" customWidth="1"/>
    <col min="9478" max="9478" width="13" style="244" customWidth="1"/>
    <col min="9479" max="9479" width="8.28515625" style="244" customWidth="1"/>
    <col min="9480" max="9725" width="10" style="244"/>
    <col min="9726" max="9726" width="2.5703125" style="244" customWidth="1"/>
    <col min="9727" max="9727" width="7.140625" style="244" customWidth="1"/>
    <col min="9728" max="9728" width="27.7109375" style="244" customWidth="1"/>
    <col min="9729" max="9729" width="9.7109375" style="244" customWidth="1"/>
    <col min="9730" max="9730" width="4.7109375" style="244" customWidth="1"/>
    <col min="9731" max="9731" width="14.42578125" style="244" customWidth="1"/>
    <col min="9732" max="9732" width="11.140625" style="244" customWidth="1"/>
    <col min="9733" max="9733" width="10.28515625" style="244" customWidth="1"/>
    <col min="9734" max="9734" width="13" style="244" customWidth="1"/>
    <col min="9735" max="9735" width="8.28515625" style="244" customWidth="1"/>
    <col min="9736" max="9981" width="10" style="244"/>
    <col min="9982" max="9982" width="2.5703125" style="244" customWidth="1"/>
    <col min="9983" max="9983" width="7.140625" style="244" customWidth="1"/>
    <col min="9984" max="9984" width="27.7109375" style="244" customWidth="1"/>
    <col min="9985" max="9985" width="9.7109375" style="244" customWidth="1"/>
    <col min="9986" max="9986" width="4.7109375" style="244" customWidth="1"/>
    <col min="9987" max="9987" width="14.42578125" style="244" customWidth="1"/>
    <col min="9988" max="9988" width="11.140625" style="244" customWidth="1"/>
    <col min="9989" max="9989" width="10.28515625" style="244" customWidth="1"/>
    <col min="9990" max="9990" width="13" style="244" customWidth="1"/>
    <col min="9991" max="9991" width="8.28515625" style="244" customWidth="1"/>
    <col min="9992" max="10237" width="9.140625" style="244"/>
    <col min="10238" max="10238" width="2.5703125" style="244" customWidth="1"/>
    <col min="10239" max="10239" width="7.140625" style="244" customWidth="1"/>
    <col min="10240" max="10240" width="27.7109375" style="244" customWidth="1"/>
    <col min="10241" max="10241" width="9.7109375" style="244" customWidth="1"/>
    <col min="10242" max="10242" width="4.7109375" style="244" customWidth="1"/>
    <col min="10243" max="10243" width="14.42578125" style="244" customWidth="1"/>
    <col min="10244" max="10244" width="11.140625" style="244" customWidth="1"/>
    <col min="10245" max="10245" width="10.28515625" style="244" customWidth="1"/>
    <col min="10246" max="10246" width="13" style="244" customWidth="1"/>
    <col min="10247" max="10247" width="8.28515625" style="244" customWidth="1"/>
    <col min="10248" max="10493" width="10" style="244"/>
    <col min="10494" max="10494" width="2.5703125" style="244" customWidth="1"/>
    <col min="10495" max="10495" width="7.140625" style="244" customWidth="1"/>
    <col min="10496" max="10496" width="27.7109375" style="244" customWidth="1"/>
    <col min="10497" max="10497" width="9.7109375" style="244" customWidth="1"/>
    <col min="10498" max="10498" width="4.7109375" style="244" customWidth="1"/>
    <col min="10499" max="10499" width="14.42578125" style="244" customWidth="1"/>
    <col min="10500" max="10500" width="11.140625" style="244" customWidth="1"/>
    <col min="10501" max="10501" width="10.28515625" style="244" customWidth="1"/>
    <col min="10502" max="10502" width="13" style="244" customWidth="1"/>
    <col min="10503" max="10503" width="8.28515625" style="244" customWidth="1"/>
    <col min="10504" max="10749" width="10" style="244"/>
    <col min="10750" max="10750" width="2.5703125" style="244" customWidth="1"/>
    <col min="10751" max="10751" width="7.140625" style="244" customWidth="1"/>
    <col min="10752" max="10752" width="27.7109375" style="244" customWidth="1"/>
    <col min="10753" max="10753" width="9.7109375" style="244" customWidth="1"/>
    <col min="10754" max="10754" width="4.7109375" style="244" customWidth="1"/>
    <col min="10755" max="10755" width="14.42578125" style="244" customWidth="1"/>
    <col min="10756" max="10756" width="11.140625" style="244" customWidth="1"/>
    <col min="10757" max="10757" width="10.28515625" style="244" customWidth="1"/>
    <col min="10758" max="10758" width="13" style="244" customWidth="1"/>
    <col min="10759" max="10759" width="8.28515625" style="244" customWidth="1"/>
    <col min="10760" max="11005" width="10" style="244"/>
    <col min="11006" max="11006" width="2.5703125" style="244" customWidth="1"/>
    <col min="11007" max="11007" width="7.140625" style="244" customWidth="1"/>
    <col min="11008" max="11008" width="27.7109375" style="244" customWidth="1"/>
    <col min="11009" max="11009" width="9.7109375" style="244" customWidth="1"/>
    <col min="11010" max="11010" width="4.7109375" style="244" customWidth="1"/>
    <col min="11011" max="11011" width="14.42578125" style="244" customWidth="1"/>
    <col min="11012" max="11012" width="11.140625" style="244" customWidth="1"/>
    <col min="11013" max="11013" width="10.28515625" style="244" customWidth="1"/>
    <col min="11014" max="11014" width="13" style="244" customWidth="1"/>
    <col min="11015" max="11015" width="8.28515625" style="244" customWidth="1"/>
    <col min="11016" max="11261" width="9.140625" style="244"/>
    <col min="11262" max="11262" width="2.5703125" style="244" customWidth="1"/>
    <col min="11263" max="11263" width="7.140625" style="244" customWidth="1"/>
    <col min="11264" max="11264" width="27.7109375" style="244" customWidth="1"/>
    <col min="11265" max="11265" width="9.7109375" style="244" customWidth="1"/>
    <col min="11266" max="11266" width="4.7109375" style="244" customWidth="1"/>
    <col min="11267" max="11267" width="14.42578125" style="244" customWidth="1"/>
    <col min="11268" max="11268" width="11.140625" style="244" customWidth="1"/>
    <col min="11269" max="11269" width="10.28515625" style="244" customWidth="1"/>
    <col min="11270" max="11270" width="13" style="244" customWidth="1"/>
    <col min="11271" max="11271" width="8.28515625" style="244" customWidth="1"/>
    <col min="11272" max="11517" width="10" style="244"/>
    <col min="11518" max="11518" width="2.5703125" style="244" customWidth="1"/>
    <col min="11519" max="11519" width="7.140625" style="244" customWidth="1"/>
    <col min="11520" max="11520" width="27.7109375" style="244" customWidth="1"/>
    <col min="11521" max="11521" width="9.7109375" style="244" customWidth="1"/>
    <col min="11522" max="11522" width="4.7109375" style="244" customWidth="1"/>
    <col min="11523" max="11523" width="14.42578125" style="244" customWidth="1"/>
    <col min="11524" max="11524" width="11.140625" style="244" customWidth="1"/>
    <col min="11525" max="11525" width="10.28515625" style="244" customWidth="1"/>
    <col min="11526" max="11526" width="13" style="244" customWidth="1"/>
    <col min="11527" max="11527" width="8.28515625" style="244" customWidth="1"/>
    <col min="11528" max="11773" width="10" style="244"/>
    <col min="11774" max="11774" width="2.5703125" style="244" customWidth="1"/>
    <col min="11775" max="11775" width="7.140625" style="244" customWidth="1"/>
    <col min="11776" max="11776" width="27.7109375" style="244" customWidth="1"/>
    <col min="11777" max="11777" width="9.7109375" style="244" customWidth="1"/>
    <col min="11778" max="11778" width="4.7109375" style="244" customWidth="1"/>
    <col min="11779" max="11779" width="14.42578125" style="244" customWidth="1"/>
    <col min="11780" max="11780" width="11.140625" style="244" customWidth="1"/>
    <col min="11781" max="11781" width="10.28515625" style="244" customWidth="1"/>
    <col min="11782" max="11782" width="13" style="244" customWidth="1"/>
    <col min="11783" max="11783" width="8.28515625" style="244" customWidth="1"/>
    <col min="11784" max="12029" width="10" style="244"/>
    <col min="12030" max="12030" width="2.5703125" style="244" customWidth="1"/>
    <col min="12031" max="12031" width="7.140625" style="244" customWidth="1"/>
    <col min="12032" max="12032" width="27.7109375" style="244" customWidth="1"/>
    <col min="12033" max="12033" width="9.7109375" style="244" customWidth="1"/>
    <col min="12034" max="12034" width="4.7109375" style="244" customWidth="1"/>
    <col min="12035" max="12035" width="14.42578125" style="244" customWidth="1"/>
    <col min="12036" max="12036" width="11.140625" style="244" customWidth="1"/>
    <col min="12037" max="12037" width="10.28515625" style="244" customWidth="1"/>
    <col min="12038" max="12038" width="13" style="244" customWidth="1"/>
    <col min="12039" max="12039" width="8.28515625" style="244" customWidth="1"/>
    <col min="12040" max="12285" width="9.140625" style="244"/>
    <col min="12286" max="12286" width="2.5703125" style="244" customWidth="1"/>
    <col min="12287" max="12287" width="7.140625" style="244" customWidth="1"/>
    <col min="12288" max="12288" width="27.7109375" style="244" customWidth="1"/>
    <col min="12289" max="12289" width="9.7109375" style="244" customWidth="1"/>
    <col min="12290" max="12290" width="4.7109375" style="244" customWidth="1"/>
    <col min="12291" max="12291" width="14.42578125" style="244" customWidth="1"/>
    <col min="12292" max="12292" width="11.140625" style="244" customWidth="1"/>
    <col min="12293" max="12293" width="10.28515625" style="244" customWidth="1"/>
    <col min="12294" max="12294" width="13" style="244" customWidth="1"/>
    <col min="12295" max="12295" width="8.28515625" style="244" customWidth="1"/>
    <col min="12296" max="12541" width="10" style="244"/>
    <col min="12542" max="12542" width="2.5703125" style="244" customWidth="1"/>
    <col min="12543" max="12543" width="7.140625" style="244" customWidth="1"/>
    <col min="12544" max="12544" width="27.7109375" style="244" customWidth="1"/>
    <col min="12545" max="12545" width="9.7109375" style="244" customWidth="1"/>
    <col min="12546" max="12546" width="4.7109375" style="244" customWidth="1"/>
    <col min="12547" max="12547" width="14.42578125" style="244" customWidth="1"/>
    <col min="12548" max="12548" width="11.140625" style="244" customWidth="1"/>
    <col min="12549" max="12549" width="10.28515625" style="244" customWidth="1"/>
    <col min="12550" max="12550" width="13" style="244" customWidth="1"/>
    <col min="12551" max="12551" width="8.28515625" style="244" customWidth="1"/>
    <col min="12552" max="12797" width="10" style="244"/>
    <col min="12798" max="12798" width="2.5703125" style="244" customWidth="1"/>
    <col min="12799" max="12799" width="7.140625" style="244" customWidth="1"/>
    <col min="12800" max="12800" width="27.7109375" style="244" customWidth="1"/>
    <col min="12801" max="12801" width="9.7109375" style="244" customWidth="1"/>
    <col min="12802" max="12802" width="4.7109375" style="244" customWidth="1"/>
    <col min="12803" max="12803" width="14.42578125" style="244" customWidth="1"/>
    <col min="12804" max="12804" width="11.140625" style="244" customWidth="1"/>
    <col min="12805" max="12805" width="10.28515625" style="244" customWidth="1"/>
    <col min="12806" max="12806" width="13" style="244" customWidth="1"/>
    <col min="12807" max="12807" width="8.28515625" style="244" customWidth="1"/>
    <col min="12808" max="13053" width="10" style="244"/>
    <col min="13054" max="13054" width="2.5703125" style="244" customWidth="1"/>
    <col min="13055" max="13055" width="7.140625" style="244" customWidth="1"/>
    <col min="13056" max="13056" width="27.7109375" style="244" customWidth="1"/>
    <col min="13057" max="13057" width="9.7109375" style="244" customWidth="1"/>
    <col min="13058" max="13058" width="4.7109375" style="244" customWidth="1"/>
    <col min="13059" max="13059" width="14.42578125" style="244" customWidth="1"/>
    <col min="13060" max="13060" width="11.140625" style="244" customWidth="1"/>
    <col min="13061" max="13061" width="10.28515625" style="244" customWidth="1"/>
    <col min="13062" max="13062" width="13" style="244" customWidth="1"/>
    <col min="13063" max="13063" width="8.28515625" style="244" customWidth="1"/>
    <col min="13064" max="13309" width="9.140625" style="244"/>
    <col min="13310" max="13310" width="2.5703125" style="244" customWidth="1"/>
    <col min="13311" max="13311" width="7.140625" style="244" customWidth="1"/>
    <col min="13312" max="13312" width="27.7109375" style="244" customWidth="1"/>
    <col min="13313" max="13313" width="9.7109375" style="244" customWidth="1"/>
    <col min="13314" max="13314" width="4.7109375" style="244" customWidth="1"/>
    <col min="13315" max="13315" width="14.42578125" style="244" customWidth="1"/>
    <col min="13316" max="13316" width="11.140625" style="244" customWidth="1"/>
    <col min="13317" max="13317" width="10.28515625" style="244" customWidth="1"/>
    <col min="13318" max="13318" width="13" style="244" customWidth="1"/>
    <col min="13319" max="13319" width="8.28515625" style="244" customWidth="1"/>
    <col min="13320" max="13565" width="10" style="244"/>
    <col min="13566" max="13566" width="2.5703125" style="244" customWidth="1"/>
    <col min="13567" max="13567" width="7.140625" style="244" customWidth="1"/>
    <col min="13568" max="13568" width="27.7109375" style="244" customWidth="1"/>
    <col min="13569" max="13569" width="9.7109375" style="244" customWidth="1"/>
    <col min="13570" max="13570" width="4.7109375" style="244" customWidth="1"/>
    <col min="13571" max="13571" width="14.42578125" style="244" customWidth="1"/>
    <col min="13572" max="13572" width="11.140625" style="244" customWidth="1"/>
    <col min="13573" max="13573" width="10.28515625" style="244" customWidth="1"/>
    <col min="13574" max="13574" width="13" style="244" customWidth="1"/>
    <col min="13575" max="13575" width="8.28515625" style="244" customWidth="1"/>
    <col min="13576" max="13821" width="10" style="244"/>
    <col min="13822" max="13822" width="2.5703125" style="244" customWidth="1"/>
    <col min="13823" max="13823" width="7.140625" style="244" customWidth="1"/>
    <col min="13824" max="13824" width="27.7109375" style="244" customWidth="1"/>
    <col min="13825" max="13825" width="9.7109375" style="244" customWidth="1"/>
    <col min="13826" max="13826" width="4.7109375" style="244" customWidth="1"/>
    <col min="13827" max="13827" width="14.42578125" style="244" customWidth="1"/>
    <col min="13828" max="13828" width="11.140625" style="244" customWidth="1"/>
    <col min="13829" max="13829" width="10.28515625" style="244" customWidth="1"/>
    <col min="13830" max="13830" width="13" style="244" customWidth="1"/>
    <col min="13831" max="13831" width="8.28515625" style="244" customWidth="1"/>
    <col min="13832" max="14077" width="10" style="244"/>
    <col min="14078" max="14078" width="2.5703125" style="244" customWidth="1"/>
    <col min="14079" max="14079" width="7.140625" style="244" customWidth="1"/>
    <col min="14080" max="14080" width="27.7109375" style="244" customWidth="1"/>
    <col min="14081" max="14081" width="9.7109375" style="244" customWidth="1"/>
    <col min="14082" max="14082" width="4.7109375" style="244" customWidth="1"/>
    <col min="14083" max="14083" width="14.42578125" style="244" customWidth="1"/>
    <col min="14084" max="14084" width="11.140625" style="244" customWidth="1"/>
    <col min="14085" max="14085" width="10.28515625" style="244" customWidth="1"/>
    <col min="14086" max="14086" width="13" style="244" customWidth="1"/>
    <col min="14087" max="14087" width="8.28515625" style="244" customWidth="1"/>
    <col min="14088" max="14333" width="9.140625" style="244"/>
    <col min="14334" max="14334" width="2.5703125" style="244" customWidth="1"/>
    <col min="14335" max="14335" width="7.140625" style="244" customWidth="1"/>
    <col min="14336" max="14336" width="27.7109375" style="244" customWidth="1"/>
    <col min="14337" max="14337" width="9.7109375" style="244" customWidth="1"/>
    <col min="14338" max="14338" width="4.7109375" style="244" customWidth="1"/>
    <col min="14339" max="14339" width="14.42578125" style="244" customWidth="1"/>
    <col min="14340" max="14340" width="11.140625" style="244" customWidth="1"/>
    <col min="14341" max="14341" width="10.28515625" style="244" customWidth="1"/>
    <col min="14342" max="14342" width="13" style="244" customWidth="1"/>
    <col min="14343" max="14343" width="8.28515625" style="244" customWidth="1"/>
    <col min="14344" max="14589" width="10" style="244"/>
    <col min="14590" max="14590" width="2.5703125" style="244" customWidth="1"/>
    <col min="14591" max="14591" width="7.140625" style="244" customWidth="1"/>
    <col min="14592" max="14592" width="27.7109375" style="244" customWidth="1"/>
    <col min="14593" max="14593" width="9.7109375" style="244" customWidth="1"/>
    <col min="14594" max="14594" width="4.7109375" style="244" customWidth="1"/>
    <col min="14595" max="14595" width="14.42578125" style="244" customWidth="1"/>
    <col min="14596" max="14596" width="11.140625" style="244" customWidth="1"/>
    <col min="14597" max="14597" width="10.28515625" style="244" customWidth="1"/>
    <col min="14598" max="14598" width="13" style="244" customWidth="1"/>
    <col min="14599" max="14599" width="8.28515625" style="244" customWidth="1"/>
    <col min="14600" max="14845" width="10" style="244"/>
    <col min="14846" max="14846" width="2.5703125" style="244" customWidth="1"/>
    <col min="14847" max="14847" width="7.140625" style="244" customWidth="1"/>
    <col min="14848" max="14848" width="27.7109375" style="244" customWidth="1"/>
    <col min="14849" max="14849" width="9.7109375" style="244" customWidth="1"/>
    <col min="14850" max="14850" width="4.7109375" style="244" customWidth="1"/>
    <col min="14851" max="14851" width="14.42578125" style="244" customWidth="1"/>
    <col min="14852" max="14852" width="11.140625" style="244" customWidth="1"/>
    <col min="14853" max="14853" width="10.28515625" style="244" customWidth="1"/>
    <col min="14854" max="14854" width="13" style="244" customWidth="1"/>
    <col min="14855" max="14855" width="8.28515625" style="244" customWidth="1"/>
    <col min="14856" max="15101" width="10" style="244"/>
    <col min="15102" max="15102" width="2.5703125" style="244" customWidth="1"/>
    <col min="15103" max="15103" width="7.140625" style="244" customWidth="1"/>
    <col min="15104" max="15104" width="27.7109375" style="244" customWidth="1"/>
    <col min="15105" max="15105" width="9.7109375" style="244" customWidth="1"/>
    <col min="15106" max="15106" width="4.7109375" style="244" customWidth="1"/>
    <col min="15107" max="15107" width="14.42578125" style="244" customWidth="1"/>
    <col min="15108" max="15108" width="11.140625" style="244" customWidth="1"/>
    <col min="15109" max="15109" width="10.28515625" style="244" customWidth="1"/>
    <col min="15110" max="15110" width="13" style="244" customWidth="1"/>
    <col min="15111" max="15111" width="8.28515625" style="244" customWidth="1"/>
    <col min="15112" max="15357" width="9.140625" style="244"/>
    <col min="15358" max="15358" width="2.5703125" style="244" customWidth="1"/>
    <col min="15359" max="15359" width="7.140625" style="244" customWidth="1"/>
    <col min="15360" max="15360" width="27.7109375" style="244" customWidth="1"/>
    <col min="15361" max="15361" width="9.7109375" style="244" customWidth="1"/>
    <col min="15362" max="15362" width="4.7109375" style="244" customWidth="1"/>
    <col min="15363" max="15363" width="14.42578125" style="244" customWidth="1"/>
    <col min="15364" max="15364" width="11.140625" style="244" customWidth="1"/>
    <col min="15365" max="15365" width="10.28515625" style="244" customWidth="1"/>
    <col min="15366" max="15366" width="13" style="244" customWidth="1"/>
    <col min="15367" max="15367" width="8.28515625" style="244" customWidth="1"/>
    <col min="15368" max="15613" width="10" style="244"/>
    <col min="15614" max="15614" width="2.5703125" style="244" customWidth="1"/>
    <col min="15615" max="15615" width="7.140625" style="244" customWidth="1"/>
    <col min="15616" max="15616" width="27.7109375" style="244" customWidth="1"/>
    <col min="15617" max="15617" width="9.7109375" style="244" customWidth="1"/>
    <col min="15618" max="15618" width="4.7109375" style="244" customWidth="1"/>
    <col min="15619" max="15619" width="14.42578125" style="244" customWidth="1"/>
    <col min="15620" max="15620" width="11.140625" style="244" customWidth="1"/>
    <col min="15621" max="15621" width="10.28515625" style="244" customWidth="1"/>
    <col min="15622" max="15622" width="13" style="244" customWidth="1"/>
    <col min="15623" max="15623" width="8.28515625" style="244" customWidth="1"/>
    <col min="15624" max="15869" width="10" style="244"/>
    <col min="15870" max="15870" width="2.5703125" style="244" customWidth="1"/>
    <col min="15871" max="15871" width="7.140625" style="244" customWidth="1"/>
    <col min="15872" max="15872" width="27.7109375" style="244" customWidth="1"/>
    <col min="15873" max="15873" width="9.7109375" style="244" customWidth="1"/>
    <col min="15874" max="15874" width="4.7109375" style="244" customWidth="1"/>
    <col min="15875" max="15875" width="14.42578125" style="244" customWidth="1"/>
    <col min="15876" max="15876" width="11.140625" style="244" customWidth="1"/>
    <col min="15877" max="15877" width="10.28515625" style="244" customWidth="1"/>
    <col min="15878" max="15878" width="13" style="244" customWidth="1"/>
    <col min="15879" max="15879" width="8.28515625" style="244" customWidth="1"/>
    <col min="15880" max="16125" width="10" style="244"/>
    <col min="16126" max="16126" width="2.5703125" style="244" customWidth="1"/>
    <col min="16127" max="16127" width="7.140625" style="244" customWidth="1"/>
    <col min="16128" max="16128" width="27.7109375" style="244" customWidth="1"/>
    <col min="16129" max="16129" width="9.7109375" style="244" customWidth="1"/>
    <col min="16130" max="16130" width="4.7109375" style="244" customWidth="1"/>
    <col min="16131" max="16131" width="14.42578125" style="244" customWidth="1"/>
    <col min="16132" max="16132" width="11.140625" style="244" customWidth="1"/>
    <col min="16133" max="16133" width="10.28515625" style="244" customWidth="1"/>
    <col min="16134" max="16134" width="13" style="244" customWidth="1"/>
    <col min="16135" max="16135" width="8.28515625" style="244" customWidth="1"/>
    <col min="16136" max="16381" width="9.140625" style="244"/>
    <col min="16382" max="16384" width="9.140625" style="244" customWidth="1"/>
  </cols>
  <sheetData>
    <row r="1" spans="1:9" ht="12" customHeight="1">
      <c r="A1" s="17" t="str">
        <f>RevReqSummary!A1</f>
        <v>PacifiCorp General Rate Case UE-140617</v>
      </c>
      <c r="B1" s="241"/>
      <c r="C1" s="241"/>
      <c r="D1" s="241"/>
      <c r="E1" s="241"/>
      <c r="F1" s="241"/>
      <c r="G1" s="241"/>
    </row>
    <row r="2" spans="1:9" ht="12" customHeight="1">
      <c r="A2" s="17" t="str">
        <f>RevReqSummary!A2</f>
        <v>For The Twelve Months Ended December 2013 - Staff Revenue Requirement</v>
      </c>
      <c r="B2" s="1044"/>
      <c r="C2" s="1044"/>
      <c r="D2" s="241"/>
      <c r="E2" s="241"/>
      <c r="F2" s="241"/>
      <c r="G2" s="241"/>
    </row>
    <row r="3" spans="1:9" ht="12" customHeight="1">
      <c r="A3" s="248" t="s">
        <v>1087</v>
      </c>
      <c r="B3" s="241"/>
      <c r="C3" s="241"/>
      <c r="D3" s="241"/>
      <c r="E3" s="241"/>
      <c r="F3" s="241"/>
      <c r="G3" s="241"/>
    </row>
    <row r="4" spans="1:9" ht="12" customHeight="1">
      <c r="A4" s="248" t="s">
        <v>512</v>
      </c>
      <c r="B4" s="241"/>
      <c r="C4" s="241"/>
      <c r="D4" s="241"/>
      <c r="E4" s="241"/>
      <c r="F4" s="241"/>
      <c r="G4" s="241"/>
    </row>
    <row r="5" spans="1:9" ht="12" customHeight="1">
      <c r="B5" s="241"/>
      <c r="C5" s="241"/>
      <c r="D5" s="241"/>
      <c r="E5" s="241"/>
      <c r="F5" s="241"/>
      <c r="G5" s="241"/>
    </row>
    <row r="6" spans="1:9" ht="12" customHeight="1">
      <c r="B6" s="23"/>
      <c r="C6" s="23"/>
      <c r="D6" s="23" t="s">
        <v>131</v>
      </c>
      <c r="E6" s="23"/>
      <c r="F6" s="23"/>
      <c r="G6" s="23" t="s">
        <v>236</v>
      </c>
    </row>
    <row r="7" spans="1:9" ht="12" customHeight="1">
      <c r="B7" s="26" t="s">
        <v>132</v>
      </c>
      <c r="C7" s="26" t="s">
        <v>660</v>
      </c>
      <c r="D7" s="26" t="s">
        <v>134</v>
      </c>
      <c r="E7" s="26" t="s">
        <v>135</v>
      </c>
      <c r="F7" s="26" t="s">
        <v>136</v>
      </c>
      <c r="G7" s="26" t="s">
        <v>137</v>
      </c>
    </row>
    <row r="8" spans="1:9" ht="12" customHeight="1">
      <c r="A8" s="240" t="s">
        <v>199</v>
      </c>
      <c r="B8" s="241"/>
      <c r="C8" s="241"/>
      <c r="D8" s="241"/>
      <c r="E8" s="241"/>
      <c r="F8" s="241"/>
      <c r="G8" s="535"/>
    </row>
    <row r="9" spans="1:9" ht="12" customHeight="1">
      <c r="A9" s="544" t="s">
        <v>28</v>
      </c>
      <c r="B9" s="241" t="s">
        <v>183</v>
      </c>
      <c r="C9" s="241" t="s">
        <v>140</v>
      </c>
      <c r="D9" s="639">
        <v>-17990.552800000001</v>
      </c>
      <c r="E9" s="241" t="s">
        <v>141</v>
      </c>
      <c r="F9" s="528">
        <f>INDEX(WCAAllocations,IFERROR(MATCH(E9,WCAFactors,0),2),IFERROR(MATCH(E9,WCAStates,0),4))</f>
        <v>1</v>
      </c>
      <c r="G9" s="31">
        <f>+D9</f>
        <v>-17990.552800000001</v>
      </c>
    </row>
    <row r="10" spans="1:9" ht="12" customHeight="1">
      <c r="A10" s="533"/>
      <c r="B10" s="30"/>
      <c r="C10" s="241"/>
      <c r="D10" s="31"/>
      <c r="E10" s="30"/>
      <c r="F10" s="543"/>
      <c r="G10" s="31"/>
      <c r="H10" s="37"/>
      <c r="I10" s="29"/>
    </row>
    <row r="11" spans="1:9" ht="12" customHeight="1">
      <c r="A11" s="533"/>
      <c r="B11" s="30"/>
      <c r="C11" s="241"/>
      <c r="D11" s="31"/>
      <c r="E11" s="30"/>
      <c r="F11" s="543"/>
      <c r="G11" s="31"/>
      <c r="H11" s="37"/>
      <c r="I11" s="29"/>
    </row>
    <row r="12" spans="1:9" ht="12" customHeight="1">
      <c r="A12" s="534" t="s">
        <v>234</v>
      </c>
      <c r="B12" s="30"/>
      <c r="C12" s="241"/>
      <c r="D12" s="31"/>
      <c r="E12" s="30"/>
      <c r="F12" s="543"/>
      <c r="G12" s="31"/>
      <c r="H12" s="37"/>
      <c r="I12" s="29"/>
    </row>
    <row r="13" spans="1:9" ht="12" customHeight="1">
      <c r="A13" s="530" t="s">
        <v>235</v>
      </c>
      <c r="B13" s="30" t="s">
        <v>193</v>
      </c>
      <c r="C13" s="241" t="s">
        <v>140</v>
      </c>
      <c r="D13" s="639">
        <v>17990.552800000001</v>
      </c>
      <c r="E13" s="535" t="s">
        <v>141</v>
      </c>
      <c r="F13" s="548">
        <f>INDEX(WCAAllocations,IFERROR(MATCH(E13,WCAFactors,0),2),IFERROR(MATCH(E13,WCAStates,0),4))</f>
        <v>1</v>
      </c>
      <c r="G13" s="31">
        <f>+D13</f>
        <v>17990.552800000001</v>
      </c>
      <c r="H13" s="37"/>
      <c r="I13" s="29"/>
    </row>
    <row r="14" spans="1:9" ht="12" customHeight="1">
      <c r="A14" s="533"/>
      <c r="B14" s="30"/>
      <c r="C14" s="241"/>
      <c r="D14" s="31"/>
      <c r="E14" s="535"/>
      <c r="F14" s="543"/>
      <c r="G14" s="31"/>
      <c r="H14" s="37"/>
      <c r="I14" s="29"/>
    </row>
    <row r="15" spans="1:9" ht="12" customHeight="1">
      <c r="A15" s="544"/>
      <c r="B15" s="30"/>
      <c r="C15" s="241"/>
      <c r="D15" s="226"/>
      <c r="E15" s="535"/>
      <c r="F15" s="155"/>
      <c r="G15" s="226"/>
      <c r="H15" s="37"/>
      <c r="I15" s="29"/>
    </row>
    <row r="16" spans="1:9" ht="12" customHeight="1">
      <c r="A16" s="240" t="s">
        <v>222</v>
      </c>
      <c r="B16" s="30"/>
      <c r="C16" s="241"/>
      <c r="D16" s="31"/>
      <c r="E16" s="535"/>
      <c r="F16" s="155"/>
      <c r="G16" s="31"/>
      <c r="H16" s="37"/>
      <c r="I16" s="29"/>
    </row>
    <row r="17" spans="1:7" ht="12" customHeight="1">
      <c r="A17" s="544" t="s">
        <v>765</v>
      </c>
      <c r="B17" s="241">
        <v>312</v>
      </c>
      <c r="C17" s="241" t="s">
        <v>140</v>
      </c>
      <c r="D17" s="639">
        <v>-360048.63899999904</v>
      </c>
      <c r="E17" s="30" t="s">
        <v>141</v>
      </c>
      <c r="F17" s="538">
        <f>INDEX(WCAAllocations,IFERROR(MATCH(E17,WCAFactors,0),2),IFERROR(MATCH(E17,WCAStates,0),4))</f>
        <v>1</v>
      </c>
      <c r="G17" s="31">
        <f>+D17</f>
        <v>-360048.63899999904</v>
      </c>
    </row>
    <row r="18" spans="1:7" ht="12" customHeight="1">
      <c r="A18" s="533"/>
      <c r="B18" s="241"/>
      <c r="C18" s="241"/>
      <c r="D18" s="35"/>
      <c r="E18" s="30"/>
      <c r="F18" s="540"/>
      <c r="G18" s="31"/>
    </row>
    <row r="19" spans="1:7" ht="12" customHeight="1">
      <c r="A19" s="533"/>
      <c r="B19" s="241"/>
      <c r="C19" s="241"/>
      <c r="D19" s="35"/>
      <c r="E19" s="30"/>
      <c r="F19" s="540"/>
      <c r="G19" s="31"/>
    </row>
    <row r="20" spans="1:7" ht="12" customHeight="1">
      <c r="A20" s="533"/>
      <c r="B20" s="241"/>
      <c r="C20" s="241"/>
      <c r="D20" s="35"/>
      <c r="E20" s="30"/>
      <c r="F20" s="540"/>
      <c r="G20" s="31"/>
    </row>
    <row r="21" spans="1:7" ht="12" customHeight="1">
      <c r="A21" s="248" t="s">
        <v>212</v>
      </c>
      <c r="B21" s="241"/>
      <c r="C21" s="241"/>
      <c r="D21" s="40"/>
      <c r="E21" s="241"/>
      <c r="F21" s="155"/>
      <c r="G21" s="31"/>
    </row>
    <row r="22" spans="1:7">
      <c r="A22" s="1413" t="s">
        <v>1078</v>
      </c>
      <c r="B22" s="1413"/>
      <c r="C22" s="1413"/>
      <c r="D22" s="1413"/>
      <c r="E22" s="1413"/>
      <c r="F22" s="1413"/>
      <c r="G22" s="1413"/>
    </row>
    <row r="23" spans="1:7">
      <c r="A23" s="1413"/>
      <c r="B23" s="1413"/>
      <c r="C23" s="1413"/>
      <c r="D23" s="1413"/>
      <c r="E23" s="1413"/>
      <c r="F23" s="1413"/>
      <c r="G23" s="1413"/>
    </row>
    <row r="24" spans="1:7">
      <c r="A24" s="1413"/>
      <c r="B24" s="1413"/>
      <c r="C24" s="1413"/>
      <c r="D24" s="1413"/>
      <c r="E24" s="1413"/>
      <c r="F24" s="1413"/>
      <c r="G24" s="1413"/>
    </row>
    <row r="25" spans="1:7">
      <c r="A25" s="1413"/>
      <c r="B25" s="1413"/>
      <c r="C25" s="1413"/>
      <c r="D25" s="1413"/>
      <c r="E25" s="1413"/>
      <c r="F25" s="1413"/>
      <c r="G25" s="1413"/>
    </row>
    <row r="26" spans="1:7">
      <c r="A26" s="1413"/>
      <c r="B26" s="1413"/>
      <c r="C26" s="1413"/>
      <c r="D26" s="1413"/>
      <c r="E26" s="1413"/>
      <c r="F26" s="1413"/>
      <c r="G26" s="1413"/>
    </row>
    <row r="27" spans="1:7">
      <c r="A27" s="1413"/>
      <c r="B27" s="1413"/>
      <c r="C27" s="1413"/>
      <c r="D27" s="1413"/>
      <c r="E27" s="1413"/>
      <c r="F27" s="1413"/>
      <c r="G27" s="1413"/>
    </row>
    <row r="28" spans="1:7">
      <c r="A28" s="1413"/>
      <c r="B28" s="1413"/>
      <c r="C28" s="1413"/>
      <c r="D28" s="1413"/>
      <c r="E28" s="1413"/>
      <c r="F28" s="1413"/>
      <c r="G28" s="1413"/>
    </row>
    <row r="29" spans="1:7">
      <c r="B29" s="549"/>
    </row>
    <row r="30" spans="1:7">
      <c r="B30" s="549"/>
    </row>
    <row r="31" spans="1:7">
      <c r="B31" s="549"/>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378"/>
  <sheetViews>
    <sheetView workbookViewId="0">
      <selection activeCell="F16" sqref="F16"/>
    </sheetView>
  </sheetViews>
  <sheetFormatPr defaultColWidth="9.140625" defaultRowHeight="12.75"/>
  <cols>
    <col min="1" max="1" width="34.28515625" style="1" bestFit="1" customWidth="1"/>
    <col min="2" max="2" width="9.7109375" style="1" customWidth="1"/>
    <col min="3" max="3" width="5.42578125" style="1" bestFit="1" customWidth="1"/>
    <col min="4" max="4" width="10.140625" style="1" bestFit="1" customWidth="1"/>
    <col min="5" max="5" width="8" style="1" bestFit="1" customWidth="1"/>
    <col min="6" max="6" width="10" style="1" bestFit="1" customWidth="1"/>
    <col min="7" max="7" width="13.28515625" style="1" bestFit="1" customWidth="1"/>
    <col min="8" max="16384" width="9.140625" style="1"/>
  </cols>
  <sheetData>
    <row r="1" spans="1:7" ht="12" customHeight="1">
      <c r="A1" s="17" t="str">
        <f>RevReqSummary!A1</f>
        <v>PacifiCorp General Rate Case UE-140617</v>
      </c>
      <c r="B1" s="23"/>
      <c r="C1" s="23"/>
      <c r="D1" s="23"/>
      <c r="E1" s="23"/>
      <c r="F1" s="23"/>
      <c r="G1" s="23"/>
    </row>
    <row r="2" spans="1:7" ht="12" customHeight="1">
      <c r="A2" s="17" t="str">
        <f>RevReqSummary!A2</f>
        <v>For The Twelve Months Ended December 2013 - Staff Revenue Requirement</v>
      </c>
      <c r="B2" s="23"/>
      <c r="C2" s="23"/>
      <c r="D2" s="23"/>
      <c r="E2" s="23"/>
      <c r="F2" s="23"/>
      <c r="G2" s="23"/>
    </row>
    <row r="3" spans="1:7" ht="12" customHeight="1">
      <c r="A3" s="25" t="s">
        <v>1086</v>
      </c>
      <c r="B3" s="23"/>
      <c r="C3" s="23"/>
      <c r="D3" s="23"/>
      <c r="E3" s="23"/>
      <c r="F3" s="23"/>
      <c r="G3" s="23"/>
    </row>
    <row r="4" spans="1:7" ht="12" customHeight="1">
      <c r="A4" s="25" t="s">
        <v>513</v>
      </c>
      <c r="B4" s="23"/>
      <c r="C4" s="23"/>
      <c r="D4" s="23"/>
      <c r="E4" s="23"/>
      <c r="F4" s="23"/>
      <c r="G4" s="23"/>
    </row>
    <row r="5" spans="1:7" ht="12" customHeight="1">
      <c r="B5" s="23"/>
      <c r="C5" s="23"/>
      <c r="D5" s="23"/>
      <c r="E5" s="23"/>
      <c r="F5" s="23"/>
      <c r="G5" s="23"/>
    </row>
    <row r="6" spans="1:7" ht="12" customHeight="1">
      <c r="B6" s="23"/>
      <c r="C6" s="23"/>
      <c r="D6" s="23" t="s">
        <v>131</v>
      </c>
      <c r="E6" s="23"/>
      <c r="F6" s="23"/>
      <c r="G6" s="23" t="s">
        <v>236</v>
      </c>
    </row>
    <row r="7" spans="1:7" ht="12" customHeight="1">
      <c r="B7" s="26" t="s">
        <v>132</v>
      </c>
      <c r="C7" s="26" t="s">
        <v>660</v>
      </c>
      <c r="D7" s="26" t="s">
        <v>134</v>
      </c>
      <c r="E7" s="26" t="s">
        <v>135</v>
      </c>
      <c r="F7" s="26" t="s">
        <v>136</v>
      </c>
      <c r="G7" s="26" t="s">
        <v>137</v>
      </c>
    </row>
    <row r="8" spans="1:7" ht="12" customHeight="1">
      <c r="A8" s="28" t="s">
        <v>222</v>
      </c>
      <c r="B8" s="30"/>
      <c r="C8" s="30"/>
      <c r="D8" s="35"/>
      <c r="E8" s="30"/>
      <c r="F8" s="182"/>
      <c r="G8" s="59"/>
    </row>
    <row r="9" spans="1:7" ht="12" customHeight="1">
      <c r="A9" s="140" t="s">
        <v>766</v>
      </c>
      <c r="B9" s="30">
        <v>254105</v>
      </c>
      <c r="C9" s="30" t="s">
        <v>140</v>
      </c>
      <c r="D9" s="639">
        <v>-83642.64791666661</v>
      </c>
      <c r="E9" s="30" t="s">
        <v>141</v>
      </c>
      <c r="F9" s="457">
        <f>INDEX(WCAAllocations,IFERROR(MATCH(E9,WCAFactors,0),2),IFERROR(MATCH(E9,WCAStates,0),4))</f>
        <v>1</v>
      </c>
      <c r="G9" s="59">
        <f>+F9*D9</f>
        <v>-83642.64791666661</v>
      </c>
    </row>
    <row r="10" spans="1:7" ht="12" customHeight="1">
      <c r="A10" s="140" t="s">
        <v>273</v>
      </c>
      <c r="B10" s="30"/>
      <c r="C10" s="30"/>
      <c r="D10" s="545">
        <f>SUM(D9:D9)</f>
        <v>-83642.64791666661</v>
      </c>
      <c r="E10" s="30"/>
      <c r="F10" s="182"/>
      <c r="G10" s="545">
        <f>SUM(G9:G9)</f>
        <v>-83642.64791666661</v>
      </c>
    </row>
    <row r="11" spans="1:7" ht="12" customHeight="1">
      <c r="A11" s="140"/>
      <c r="B11" s="30"/>
      <c r="C11" s="30"/>
      <c r="D11" s="35"/>
      <c r="E11" s="30"/>
      <c r="F11" s="182"/>
      <c r="G11" s="59"/>
    </row>
    <row r="12" spans="1:7" ht="12" customHeight="1">
      <c r="A12" s="140"/>
      <c r="B12" s="30"/>
      <c r="C12" s="30"/>
      <c r="D12" s="35"/>
      <c r="E12" s="30"/>
      <c r="F12" s="182"/>
      <c r="G12" s="59"/>
    </row>
    <row r="13" spans="1:7" ht="12" customHeight="1">
      <c r="A13" s="174" t="s">
        <v>234</v>
      </c>
      <c r="B13" s="30"/>
      <c r="C13" s="30"/>
      <c r="D13" s="35"/>
      <c r="E13" s="30"/>
      <c r="F13" s="182"/>
      <c r="G13" s="59"/>
    </row>
    <row r="14" spans="1:7" ht="12" customHeight="1">
      <c r="A14" s="140" t="s">
        <v>235</v>
      </c>
      <c r="B14" s="30" t="s">
        <v>193</v>
      </c>
      <c r="C14" s="30" t="s">
        <v>140</v>
      </c>
      <c r="D14" s="639">
        <v>-285034</v>
      </c>
      <c r="E14" s="30" t="s">
        <v>141</v>
      </c>
      <c r="F14" s="457">
        <f>INDEX(WCAAllocations,IFERROR(MATCH(E14,WCAFactors,0),2),IFERROR(MATCH(E14,WCAStates,0),4))</f>
        <v>1</v>
      </c>
      <c r="G14" s="59">
        <f>F14*D14</f>
        <v>-285034</v>
      </c>
    </row>
    <row r="15" spans="1:7" ht="12" customHeight="1">
      <c r="A15" s="140"/>
      <c r="B15" s="30"/>
      <c r="C15" s="30"/>
      <c r="D15" s="35"/>
      <c r="E15" s="30"/>
      <c r="F15" s="182"/>
      <c r="G15" s="59"/>
    </row>
    <row r="16" spans="1:7" ht="12" customHeight="1">
      <c r="A16" s="140"/>
      <c r="B16" s="30"/>
      <c r="C16" s="30"/>
      <c r="D16" s="35"/>
      <c r="E16" s="30"/>
      <c r="F16" s="182"/>
      <c r="G16" s="59"/>
    </row>
    <row r="17" spans="1:8" ht="12" customHeight="1">
      <c r="A17" s="140"/>
      <c r="B17" s="30"/>
      <c r="C17" s="30"/>
      <c r="D17" s="35"/>
      <c r="E17" s="30"/>
      <c r="F17" s="182"/>
      <c r="G17" s="59"/>
    </row>
    <row r="18" spans="1:8" ht="12" customHeight="1">
      <c r="A18" s="25" t="s">
        <v>212</v>
      </c>
      <c r="B18" s="30"/>
      <c r="C18" s="30"/>
      <c r="D18" s="35"/>
      <c r="E18" s="30"/>
      <c r="F18" s="182"/>
      <c r="G18" s="59"/>
    </row>
    <row r="19" spans="1:8" ht="12" customHeight="1">
      <c r="A19" s="1395" t="s">
        <v>767</v>
      </c>
      <c r="B19" s="1395"/>
      <c r="C19" s="1395"/>
      <c r="D19" s="1395"/>
      <c r="E19" s="1395"/>
      <c r="F19" s="1395"/>
      <c r="G19" s="1395"/>
      <c r="H19" s="1310"/>
    </row>
    <row r="20" spans="1:8" ht="12" customHeight="1">
      <c r="A20" s="1395"/>
      <c r="B20" s="1395"/>
      <c r="C20" s="1395"/>
      <c r="D20" s="1395"/>
      <c r="E20" s="1395"/>
      <c r="F20" s="1395"/>
      <c r="G20" s="1395"/>
      <c r="H20" s="1310"/>
    </row>
    <row r="21" spans="1:8" ht="12" customHeight="1">
      <c r="A21" s="1395"/>
      <c r="B21" s="1395"/>
      <c r="C21" s="1395"/>
      <c r="D21" s="1395"/>
      <c r="E21" s="1395"/>
      <c r="F21" s="1395"/>
      <c r="G21" s="1395"/>
      <c r="H21" s="1310"/>
    </row>
    <row r="22" spans="1:8" ht="12" customHeight="1">
      <c r="A22" s="1395"/>
      <c r="B22" s="1395"/>
      <c r="C22" s="1395"/>
      <c r="D22" s="1395"/>
      <c r="E22" s="1395"/>
      <c r="F22" s="1395"/>
      <c r="G22" s="1395"/>
      <c r="H22" s="1310"/>
    </row>
    <row r="23" spans="1:8" ht="12" customHeight="1">
      <c r="A23" s="1395"/>
      <c r="B23" s="1395"/>
      <c r="C23" s="1395"/>
      <c r="D23" s="1395"/>
      <c r="E23" s="1395"/>
      <c r="F23" s="1395"/>
      <c r="G23" s="1395"/>
      <c r="H23" s="1310"/>
    </row>
    <row r="24" spans="1:8" ht="12" customHeight="1">
      <c r="A24" s="140"/>
      <c r="B24" s="30"/>
      <c r="C24" s="30"/>
      <c r="D24" s="31"/>
      <c r="E24" s="30"/>
      <c r="F24" s="182"/>
      <c r="G24" s="59"/>
    </row>
    <row r="25" spans="1:8" ht="12" customHeight="1">
      <c r="A25" s="140"/>
      <c r="B25" s="30"/>
      <c r="C25" s="30"/>
      <c r="D25" s="31"/>
      <c r="E25" s="30"/>
      <c r="F25" s="182"/>
      <c r="G25" s="59"/>
    </row>
    <row r="26" spans="1:8" ht="12" customHeight="1">
      <c r="A26" s="140"/>
      <c r="B26" s="30"/>
      <c r="C26" s="30"/>
      <c r="D26" s="31"/>
      <c r="E26" s="355"/>
      <c r="F26" s="260"/>
      <c r="G26" s="59"/>
    </row>
    <row r="27" spans="1:8" ht="12" customHeight="1">
      <c r="A27" s="140"/>
      <c r="B27" s="30"/>
      <c r="C27" s="30"/>
      <c r="D27" s="535"/>
      <c r="E27" s="30"/>
      <c r="F27" s="260"/>
      <c r="G27" s="546"/>
    </row>
    <row r="28" spans="1:8" ht="12" customHeight="1">
      <c r="A28" s="140"/>
      <c r="B28" s="30"/>
      <c r="C28" s="30"/>
      <c r="D28" s="535"/>
      <c r="E28" s="30"/>
      <c r="F28" s="260"/>
      <c r="G28" s="546"/>
    </row>
    <row r="29" spans="1:8" ht="12" customHeight="1">
      <c r="A29" s="140"/>
      <c r="B29" s="30"/>
      <c r="C29" s="30"/>
      <c r="D29" s="535"/>
      <c r="E29" s="30"/>
      <c r="F29" s="260"/>
      <c r="G29" s="546"/>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7"/>
    </row>
    <row r="38" spans="2:4" ht="12" customHeight="1"/>
    <row r="39" spans="2:4" ht="12" customHeight="1"/>
    <row r="40" spans="2:4" ht="12" customHeight="1"/>
    <row r="41" spans="2:4" ht="12" customHeight="1"/>
    <row r="45" spans="2:4">
      <c r="B45" s="42"/>
    </row>
    <row r="46" spans="2:4">
      <c r="B46" s="42"/>
    </row>
    <row r="47" spans="2:4">
      <c r="B47" s="42"/>
    </row>
    <row r="48" spans="2:4">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G327"/>
  <sheetViews>
    <sheetView workbookViewId="0">
      <selection activeCell="F16" sqref="F16"/>
    </sheetView>
  </sheetViews>
  <sheetFormatPr defaultColWidth="10" defaultRowHeight="12.75"/>
  <cols>
    <col min="1" max="1" width="34.28515625" style="29" bestFit="1" customWidth="1"/>
    <col min="2" max="2" width="9.7109375" style="29" customWidth="1"/>
    <col min="3" max="3" width="5.42578125" style="29" bestFit="1" customWidth="1"/>
    <col min="4" max="4" width="10.85546875" style="29" bestFit="1" customWidth="1"/>
    <col min="5" max="5" width="8" style="29" bestFit="1" customWidth="1"/>
    <col min="6" max="6" width="10" style="29" bestFit="1" customWidth="1"/>
    <col min="7" max="7" width="13.28515625" style="29" bestFit="1" customWidth="1"/>
    <col min="8" max="253" width="10" style="29"/>
    <col min="254" max="254" width="2.5703125" style="29" customWidth="1"/>
    <col min="255" max="255" width="7.140625" style="29" customWidth="1"/>
    <col min="256" max="256" width="23.5703125" style="29" customWidth="1"/>
    <col min="257" max="257" width="9.7109375" style="29" customWidth="1"/>
    <col min="258" max="258" width="4.7109375" style="29" customWidth="1"/>
    <col min="259" max="259" width="14.42578125" style="29" customWidth="1"/>
    <col min="260" max="260" width="11.140625" style="29" customWidth="1"/>
    <col min="261" max="261" width="10.28515625" style="29" customWidth="1"/>
    <col min="262" max="262" width="13" style="29" customWidth="1"/>
    <col min="263" max="263" width="8.28515625" style="29" customWidth="1"/>
    <col min="264" max="509" width="10" style="29"/>
    <col min="510" max="510" width="2.5703125" style="29" customWidth="1"/>
    <col min="511" max="511" width="7.140625" style="29" customWidth="1"/>
    <col min="512" max="512" width="23.5703125" style="29" customWidth="1"/>
    <col min="513" max="513" width="9.7109375" style="29" customWidth="1"/>
    <col min="514" max="514" width="4.7109375" style="29" customWidth="1"/>
    <col min="515" max="515" width="14.42578125" style="29" customWidth="1"/>
    <col min="516" max="516" width="11.140625" style="29" customWidth="1"/>
    <col min="517" max="517" width="10.28515625" style="29" customWidth="1"/>
    <col min="518" max="518" width="13" style="29" customWidth="1"/>
    <col min="519" max="519" width="8.28515625" style="29" customWidth="1"/>
    <col min="520" max="765" width="10" style="29"/>
    <col min="766" max="766" width="2.5703125" style="29" customWidth="1"/>
    <col min="767" max="767" width="7.140625" style="29" customWidth="1"/>
    <col min="768" max="768" width="23.5703125" style="29" customWidth="1"/>
    <col min="769" max="769" width="9.7109375" style="29" customWidth="1"/>
    <col min="770" max="770" width="4.7109375" style="29" customWidth="1"/>
    <col min="771" max="771" width="14.42578125" style="29" customWidth="1"/>
    <col min="772" max="772" width="11.140625" style="29" customWidth="1"/>
    <col min="773" max="773" width="10.28515625" style="29" customWidth="1"/>
    <col min="774" max="774" width="13" style="29" customWidth="1"/>
    <col min="775" max="775" width="8.28515625" style="29" customWidth="1"/>
    <col min="776" max="1021" width="10" style="29"/>
    <col min="1022" max="1022" width="2.5703125" style="29" customWidth="1"/>
    <col min="1023" max="1023" width="7.140625" style="29" customWidth="1"/>
    <col min="1024" max="1024" width="23.5703125" style="29" customWidth="1"/>
    <col min="1025" max="1025" width="9.7109375" style="29" customWidth="1"/>
    <col min="1026" max="1026" width="4.7109375" style="29" customWidth="1"/>
    <col min="1027" max="1027" width="14.42578125" style="29" customWidth="1"/>
    <col min="1028" max="1028" width="11.140625" style="29" customWidth="1"/>
    <col min="1029" max="1029" width="10.28515625" style="29" customWidth="1"/>
    <col min="1030" max="1030" width="13" style="29" customWidth="1"/>
    <col min="1031" max="1031" width="8.28515625" style="29" customWidth="1"/>
    <col min="1032" max="1277" width="10" style="29"/>
    <col min="1278" max="1278" width="2.5703125" style="29" customWidth="1"/>
    <col min="1279" max="1279" width="7.140625" style="29" customWidth="1"/>
    <col min="1280" max="1280" width="23.5703125" style="29" customWidth="1"/>
    <col min="1281" max="1281" width="9.7109375" style="29" customWidth="1"/>
    <col min="1282" max="1282" width="4.7109375" style="29" customWidth="1"/>
    <col min="1283" max="1283" width="14.42578125" style="29" customWidth="1"/>
    <col min="1284" max="1284" width="11.140625" style="29" customWidth="1"/>
    <col min="1285" max="1285" width="10.28515625" style="29" customWidth="1"/>
    <col min="1286" max="1286" width="13" style="29" customWidth="1"/>
    <col min="1287" max="1287" width="8.28515625" style="29" customWidth="1"/>
    <col min="1288" max="1533" width="10" style="29"/>
    <col min="1534" max="1534" width="2.5703125" style="29" customWidth="1"/>
    <col min="1535" max="1535" width="7.140625" style="29" customWidth="1"/>
    <col min="1536" max="1536" width="23.5703125" style="29" customWidth="1"/>
    <col min="1537" max="1537" width="9.7109375" style="29" customWidth="1"/>
    <col min="1538" max="1538" width="4.7109375" style="29" customWidth="1"/>
    <col min="1539" max="1539" width="14.42578125" style="29" customWidth="1"/>
    <col min="1540" max="1540" width="11.140625" style="29" customWidth="1"/>
    <col min="1541" max="1541" width="10.28515625" style="29" customWidth="1"/>
    <col min="1542" max="1542" width="13" style="29" customWidth="1"/>
    <col min="1543" max="1543" width="8.28515625" style="29" customWidth="1"/>
    <col min="1544" max="1789" width="10" style="29"/>
    <col min="1790" max="1790" width="2.5703125" style="29" customWidth="1"/>
    <col min="1791" max="1791" width="7.140625" style="29" customWidth="1"/>
    <col min="1792" max="1792" width="23.5703125" style="29" customWidth="1"/>
    <col min="1793" max="1793" width="9.7109375" style="29" customWidth="1"/>
    <col min="1794" max="1794" width="4.7109375" style="29" customWidth="1"/>
    <col min="1795" max="1795" width="14.42578125" style="29" customWidth="1"/>
    <col min="1796" max="1796" width="11.140625" style="29" customWidth="1"/>
    <col min="1797" max="1797" width="10.28515625" style="29" customWidth="1"/>
    <col min="1798" max="1798" width="13" style="29" customWidth="1"/>
    <col min="1799" max="1799" width="8.28515625" style="29" customWidth="1"/>
    <col min="1800" max="2045" width="10" style="29"/>
    <col min="2046" max="2046" width="2.5703125" style="29" customWidth="1"/>
    <col min="2047" max="2047" width="7.140625" style="29" customWidth="1"/>
    <col min="2048" max="2048" width="23.5703125" style="29" customWidth="1"/>
    <col min="2049" max="2049" width="9.7109375" style="29" customWidth="1"/>
    <col min="2050" max="2050" width="4.7109375" style="29" customWidth="1"/>
    <col min="2051" max="2051" width="14.42578125" style="29" customWidth="1"/>
    <col min="2052" max="2052" width="11.140625" style="29" customWidth="1"/>
    <col min="2053" max="2053" width="10.28515625" style="29" customWidth="1"/>
    <col min="2054" max="2054" width="13" style="29" customWidth="1"/>
    <col min="2055" max="2055" width="8.28515625" style="29" customWidth="1"/>
    <col min="2056" max="2301" width="10" style="29"/>
    <col min="2302" max="2302" width="2.5703125" style="29" customWidth="1"/>
    <col min="2303" max="2303" width="7.140625" style="29" customWidth="1"/>
    <col min="2304" max="2304" width="23.5703125" style="29" customWidth="1"/>
    <col min="2305" max="2305" width="9.7109375" style="29" customWidth="1"/>
    <col min="2306" max="2306" width="4.7109375" style="29" customWidth="1"/>
    <col min="2307" max="2307" width="14.42578125" style="29" customWidth="1"/>
    <col min="2308" max="2308" width="11.140625" style="29" customWidth="1"/>
    <col min="2309" max="2309" width="10.28515625" style="29" customWidth="1"/>
    <col min="2310" max="2310" width="13" style="29" customWidth="1"/>
    <col min="2311" max="2311" width="8.28515625" style="29" customWidth="1"/>
    <col min="2312" max="2557" width="10" style="29"/>
    <col min="2558" max="2558" width="2.5703125" style="29" customWidth="1"/>
    <col min="2559" max="2559" width="7.140625" style="29" customWidth="1"/>
    <col min="2560" max="2560" width="23.5703125" style="29" customWidth="1"/>
    <col min="2561" max="2561" width="9.7109375" style="29" customWidth="1"/>
    <col min="2562" max="2562" width="4.7109375" style="29" customWidth="1"/>
    <col min="2563" max="2563" width="14.42578125" style="29" customWidth="1"/>
    <col min="2564" max="2564" width="11.140625" style="29" customWidth="1"/>
    <col min="2565" max="2565" width="10.28515625" style="29" customWidth="1"/>
    <col min="2566" max="2566" width="13" style="29" customWidth="1"/>
    <col min="2567" max="2567" width="8.28515625" style="29" customWidth="1"/>
    <col min="2568" max="2813" width="10" style="29"/>
    <col min="2814" max="2814" width="2.5703125" style="29" customWidth="1"/>
    <col min="2815" max="2815" width="7.140625" style="29" customWidth="1"/>
    <col min="2816" max="2816" width="23.5703125" style="29" customWidth="1"/>
    <col min="2817" max="2817" width="9.7109375" style="29" customWidth="1"/>
    <col min="2818" max="2818" width="4.7109375" style="29" customWidth="1"/>
    <col min="2819" max="2819" width="14.42578125" style="29" customWidth="1"/>
    <col min="2820" max="2820" width="11.140625" style="29" customWidth="1"/>
    <col min="2821" max="2821" width="10.28515625" style="29" customWidth="1"/>
    <col min="2822" max="2822" width="13" style="29" customWidth="1"/>
    <col min="2823" max="2823" width="8.28515625" style="29" customWidth="1"/>
    <col min="2824" max="3069" width="10" style="29"/>
    <col min="3070" max="3070" width="2.5703125" style="29" customWidth="1"/>
    <col min="3071" max="3071" width="7.140625" style="29" customWidth="1"/>
    <col min="3072" max="3072" width="23.5703125" style="29" customWidth="1"/>
    <col min="3073" max="3073" width="9.7109375" style="29" customWidth="1"/>
    <col min="3074" max="3074" width="4.7109375" style="29" customWidth="1"/>
    <col min="3075" max="3075" width="14.42578125" style="29" customWidth="1"/>
    <col min="3076" max="3076" width="11.140625" style="29" customWidth="1"/>
    <col min="3077" max="3077" width="10.28515625" style="29" customWidth="1"/>
    <col min="3078" max="3078" width="13" style="29" customWidth="1"/>
    <col min="3079" max="3079" width="8.28515625" style="29" customWidth="1"/>
    <col min="3080" max="3325" width="10" style="29"/>
    <col min="3326" max="3326" width="2.5703125" style="29" customWidth="1"/>
    <col min="3327" max="3327" width="7.140625" style="29" customWidth="1"/>
    <col min="3328" max="3328" width="23.5703125" style="29" customWidth="1"/>
    <col min="3329" max="3329" width="9.7109375" style="29" customWidth="1"/>
    <col min="3330" max="3330" width="4.7109375" style="29" customWidth="1"/>
    <col min="3331" max="3331" width="14.42578125" style="29" customWidth="1"/>
    <col min="3332" max="3332" width="11.140625" style="29" customWidth="1"/>
    <col min="3333" max="3333" width="10.28515625" style="29" customWidth="1"/>
    <col min="3334" max="3334" width="13" style="29" customWidth="1"/>
    <col min="3335" max="3335" width="8.28515625" style="29" customWidth="1"/>
    <col min="3336" max="3581" width="10" style="29"/>
    <col min="3582" max="3582" width="2.5703125" style="29" customWidth="1"/>
    <col min="3583" max="3583" width="7.140625" style="29" customWidth="1"/>
    <col min="3584" max="3584" width="23.5703125" style="29" customWidth="1"/>
    <col min="3585" max="3585" width="9.7109375" style="29" customWidth="1"/>
    <col min="3586" max="3586" width="4.7109375" style="29" customWidth="1"/>
    <col min="3587" max="3587" width="14.42578125" style="29" customWidth="1"/>
    <col min="3588" max="3588" width="11.140625" style="29" customWidth="1"/>
    <col min="3589" max="3589" width="10.28515625" style="29" customWidth="1"/>
    <col min="3590" max="3590" width="13" style="29" customWidth="1"/>
    <col min="3591" max="3591" width="8.28515625" style="29" customWidth="1"/>
    <col min="3592" max="3837" width="10" style="29"/>
    <col min="3838" max="3838" width="2.5703125" style="29" customWidth="1"/>
    <col min="3839" max="3839" width="7.140625" style="29" customWidth="1"/>
    <col min="3840" max="3840" width="23.5703125" style="29" customWidth="1"/>
    <col min="3841" max="3841" width="9.7109375" style="29" customWidth="1"/>
    <col min="3842" max="3842" width="4.7109375" style="29" customWidth="1"/>
    <col min="3843" max="3843" width="14.42578125" style="29" customWidth="1"/>
    <col min="3844" max="3844" width="11.140625" style="29" customWidth="1"/>
    <col min="3845" max="3845" width="10.28515625" style="29" customWidth="1"/>
    <col min="3846" max="3846" width="13" style="29" customWidth="1"/>
    <col min="3847" max="3847" width="8.28515625" style="29" customWidth="1"/>
    <col min="3848" max="4093" width="10" style="29"/>
    <col min="4094" max="4094" width="2.5703125" style="29" customWidth="1"/>
    <col min="4095" max="4095" width="7.140625" style="29" customWidth="1"/>
    <col min="4096" max="4096" width="23.5703125" style="29" customWidth="1"/>
    <col min="4097" max="4097" width="9.7109375" style="29" customWidth="1"/>
    <col min="4098" max="4098" width="4.7109375" style="29" customWidth="1"/>
    <col min="4099" max="4099" width="14.42578125" style="29" customWidth="1"/>
    <col min="4100" max="4100" width="11.140625" style="29" customWidth="1"/>
    <col min="4101" max="4101" width="10.28515625" style="29" customWidth="1"/>
    <col min="4102" max="4102" width="13" style="29" customWidth="1"/>
    <col min="4103" max="4103" width="8.28515625" style="29" customWidth="1"/>
    <col min="4104" max="4349" width="10" style="29"/>
    <col min="4350" max="4350" width="2.5703125" style="29" customWidth="1"/>
    <col min="4351" max="4351" width="7.140625" style="29" customWidth="1"/>
    <col min="4352" max="4352" width="23.5703125" style="29" customWidth="1"/>
    <col min="4353" max="4353" width="9.7109375" style="29" customWidth="1"/>
    <col min="4354" max="4354" width="4.7109375" style="29" customWidth="1"/>
    <col min="4355" max="4355" width="14.42578125" style="29" customWidth="1"/>
    <col min="4356" max="4356" width="11.140625" style="29" customWidth="1"/>
    <col min="4357" max="4357" width="10.28515625" style="29" customWidth="1"/>
    <col min="4358" max="4358" width="13" style="29" customWidth="1"/>
    <col min="4359" max="4359" width="8.28515625" style="29" customWidth="1"/>
    <col min="4360" max="4605" width="10" style="29"/>
    <col min="4606" max="4606" width="2.5703125" style="29" customWidth="1"/>
    <col min="4607" max="4607" width="7.140625" style="29" customWidth="1"/>
    <col min="4608" max="4608" width="23.5703125" style="29" customWidth="1"/>
    <col min="4609" max="4609" width="9.7109375" style="29" customWidth="1"/>
    <col min="4610" max="4610" width="4.7109375" style="29" customWidth="1"/>
    <col min="4611" max="4611" width="14.42578125" style="29" customWidth="1"/>
    <col min="4612" max="4612" width="11.140625" style="29" customWidth="1"/>
    <col min="4613" max="4613" width="10.28515625" style="29" customWidth="1"/>
    <col min="4614" max="4614" width="13" style="29" customWidth="1"/>
    <col min="4615" max="4615" width="8.28515625" style="29" customWidth="1"/>
    <col min="4616" max="4861" width="10" style="29"/>
    <col min="4862" max="4862" width="2.5703125" style="29" customWidth="1"/>
    <col min="4863" max="4863" width="7.140625" style="29" customWidth="1"/>
    <col min="4864" max="4864" width="23.5703125" style="29" customWidth="1"/>
    <col min="4865" max="4865" width="9.7109375" style="29" customWidth="1"/>
    <col min="4866" max="4866" width="4.7109375" style="29" customWidth="1"/>
    <col min="4867" max="4867" width="14.42578125" style="29" customWidth="1"/>
    <col min="4868" max="4868" width="11.140625" style="29" customWidth="1"/>
    <col min="4869" max="4869" width="10.28515625" style="29" customWidth="1"/>
    <col min="4870" max="4870" width="13" style="29" customWidth="1"/>
    <col min="4871" max="4871" width="8.28515625" style="29" customWidth="1"/>
    <col min="4872" max="5117" width="10" style="29"/>
    <col min="5118" max="5118" width="2.5703125" style="29" customWidth="1"/>
    <col min="5119" max="5119" width="7.140625" style="29" customWidth="1"/>
    <col min="5120" max="5120" width="23.5703125" style="29" customWidth="1"/>
    <col min="5121" max="5121" width="9.7109375" style="29" customWidth="1"/>
    <col min="5122" max="5122" width="4.7109375" style="29" customWidth="1"/>
    <col min="5123" max="5123" width="14.42578125" style="29" customWidth="1"/>
    <col min="5124" max="5124" width="11.140625" style="29" customWidth="1"/>
    <col min="5125" max="5125" width="10.28515625" style="29" customWidth="1"/>
    <col min="5126" max="5126" width="13" style="29" customWidth="1"/>
    <col min="5127" max="5127" width="8.28515625" style="29" customWidth="1"/>
    <col min="5128" max="5373" width="10" style="29"/>
    <col min="5374" max="5374" width="2.5703125" style="29" customWidth="1"/>
    <col min="5375" max="5375" width="7.140625" style="29" customWidth="1"/>
    <col min="5376" max="5376" width="23.5703125" style="29" customWidth="1"/>
    <col min="5377" max="5377" width="9.7109375" style="29" customWidth="1"/>
    <col min="5378" max="5378" width="4.7109375" style="29" customWidth="1"/>
    <col min="5379" max="5379" width="14.42578125" style="29" customWidth="1"/>
    <col min="5380" max="5380" width="11.140625" style="29" customWidth="1"/>
    <col min="5381" max="5381" width="10.28515625" style="29" customWidth="1"/>
    <col min="5382" max="5382" width="13" style="29" customWidth="1"/>
    <col min="5383" max="5383" width="8.28515625" style="29" customWidth="1"/>
    <col min="5384" max="5629" width="10" style="29"/>
    <col min="5630" max="5630" width="2.5703125" style="29" customWidth="1"/>
    <col min="5631" max="5631" width="7.140625" style="29" customWidth="1"/>
    <col min="5632" max="5632" width="23.5703125" style="29" customWidth="1"/>
    <col min="5633" max="5633" width="9.7109375" style="29" customWidth="1"/>
    <col min="5634" max="5634" width="4.7109375" style="29" customWidth="1"/>
    <col min="5635" max="5635" width="14.42578125" style="29" customWidth="1"/>
    <col min="5636" max="5636" width="11.140625" style="29" customWidth="1"/>
    <col min="5637" max="5637" width="10.28515625" style="29" customWidth="1"/>
    <col min="5638" max="5638" width="13" style="29" customWidth="1"/>
    <col min="5639" max="5639" width="8.28515625" style="29" customWidth="1"/>
    <col min="5640" max="5885" width="10" style="29"/>
    <col min="5886" max="5886" width="2.5703125" style="29" customWidth="1"/>
    <col min="5887" max="5887" width="7.140625" style="29" customWidth="1"/>
    <col min="5888" max="5888" width="23.5703125" style="29" customWidth="1"/>
    <col min="5889" max="5889" width="9.7109375" style="29" customWidth="1"/>
    <col min="5890" max="5890" width="4.7109375" style="29" customWidth="1"/>
    <col min="5891" max="5891" width="14.42578125" style="29" customWidth="1"/>
    <col min="5892" max="5892" width="11.140625" style="29" customWidth="1"/>
    <col min="5893" max="5893" width="10.28515625" style="29" customWidth="1"/>
    <col min="5894" max="5894" width="13" style="29" customWidth="1"/>
    <col min="5895" max="5895" width="8.28515625" style="29" customWidth="1"/>
    <col min="5896" max="6141" width="10" style="29"/>
    <col min="6142" max="6142" width="2.5703125" style="29" customWidth="1"/>
    <col min="6143" max="6143" width="7.140625" style="29" customWidth="1"/>
    <col min="6144" max="6144" width="23.5703125" style="29" customWidth="1"/>
    <col min="6145" max="6145" width="9.7109375" style="29" customWidth="1"/>
    <col min="6146" max="6146" width="4.7109375" style="29" customWidth="1"/>
    <col min="6147" max="6147" width="14.42578125" style="29" customWidth="1"/>
    <col min="6148" max="6148" width="11.140625" style="29" customWidth="1"/>
    <col min="6149" max="6149" width="10.28515625" style="29" customWidth="1"/>
    <col min="6150" max="6150" width="13" style="29" customWidth="1"/>
    <col min="6151" max="6151" width="8.28515625" style="29" customWidth="1"/>
    <col min="6152" max="6397" width="10" style="29"/>
    <col min="6398" max="6398" width="2.5703125" style="29" customWidth="1"/>
    <col min="6399" max="6399" width="7.140625" style="29" customWidth="1"/>
    <col min="6400" max="6400" width="23.5703125" style="29" customWidth="1"/>
    <col min="6401" max="6401" width="9.7109375" style="29" customWidth="1"/>
    <col min="6402" max="6402" width="4.7109375" style="29" customWidth="1"/>
    <col min="6403" max="6403" width="14.42578125" style="29" customWidth="1"/>
    <col min="6404" max="6404" width="11.140625" style="29" customWidth="1"/>
    <col min="6405" max="6405" width="10.28515625" style="29" customWidth="1"/>
    <col min="6406" max="6406" width="13" style="29" customWidth="1"/>
    <col min="6407" max="6407" width="8.28515625" style="29" customWidth="1"/>
    <col min="6408" max="6653" width="10" style="29"/>
    <col min="6654" max="6654" width="2.5703125" style="29" customWidth="1"/>
    <col min="6655" max="6655" width="7.140625" style="29" customWidth="1"/>
    <col min="6656" max="6656" width="23.5703125" style="29" customWidth="1"/>
    <col min="6657" max="6657" width="9.7109375" style="29" customWidth="1"/>
    <col min="6658" max="6658" width="4.7109375" style="29" customWidth="1"/>
    <col min="6659" max="6659" width="14.42578125" style="29" customWidth="1"/>
    <col min="6660" max="6660" width="11.140625" style="29" customWidth="1"/>
    <col min="6661" max="6661" width="10.28515625" style="29" customWidth="1"/>
    <col min="6662" max="6662" width="13" style="29" customWidth="1"/>
    <col min="6663" max="6663" width="8.28515625" style="29" customWidth="1"/>
    <col min="6664" max="6909" width="10" style="29"/>
    <col min="6910" max="6910" width="2.5703125" style="29" customWidth="1"/>
    <col min="6911" max="6911" width="7.140625" style="29" customWidth="1"/>
    <col min="6912" max="6912" width="23.5703125" style="29" customWidth="1"/>
    <col min="6913" max="6913" width="9.7109375" style="29" customWidth="1"/>
    <col min="6914" max="6914" width="4.7109375" style="29" customWidth="1"/>
    <col min="6915" max="6915" width="14.42578125" style="29" customWidth="1"/>
    <col min="6916" max="6916" width="11.140625" style="29" customWidth="1"/>
    <col min="6917" max="6917" width="10.28515625" style="29" customWidth="1"/>
    <col min="6918" max="6918" width="13" style="29" customWidth="1"/>
    <col min="6919" max="6919" width="8.28515625" style="29" customWidth="1"/>
    <col min="6920" max="7165" width="10" style="29"/>
    <col min="7166" max="7166" width="2.5703125" style="29" customWidth="1"/>
    <col min="7167" max="7167" width="7.140625" style="29" customWidth="1"/>
    <col min="7168" max="7168" width="23.5703125" style="29" customWidth="1"/>
    <col min="7169" max="7169" width="9.7109375" style="29" customWidth="1"/>
    <col min="7170" max="7170" width="4.7109375" style="29" customWidth="1"/>
    <col min="7171" max="7171" width="14.42578125" style="29" customWidth="1"/>
    <col min="7172" max="7172" width="11.140625" style="29" customWidth="1"/>
    <col min="7173" max="7173" width="10.28515625" style="29" customWidth="1"/>
    <col min="7174" max="7174" width="13" style="29" customWidth="1"/>
    <col min="7175" max="7175" width="8.28515625" style="29" customWidth="1"/>
    <col min="7176" max="7421" width="10" style="29"/>
    <col min="7422" max="7422" width="2.5703125" style="29" customWidth="1"/>
    <col min="7423" max="7423" width="7.140625" style="29" customWidth="1"/>
    <col min="7424" max="7424" width="23.5703125" style="29" customWidth="1"/>
    <col min="7425" max="7425" width="9.7109375" style="29" customWidth="1"/>
    <col min="7426" max="7426" width="4.7109375" style="29" customWidth="1"/>
    <col min="7427" max="7427" width="14.42578125" style="29" customWidth="1"/>
    <col min="7428" max="7428" width="11.140625" style="29" customWidth="1"/>
    <col min="7429" max="7429" width="10.28515625" style="29" customWidth="1"/>
    <col min="7430" max="7430" width="13" style="29" customWidth="1"/>
    <col min="7431" max="7431" width="8.28515625" style="29" customWidth="1"/>
    <col min="7432" max="7677" width="10" style="29"/>
    <col min="7678" max="7678" width="2.5703125" style="29" customWidth="1"/>
    <col min="7679" max="7679" width="7.140625" style="29" customWidth="1"/>
    <col min="7680" max="7680" width="23.5703125" style="29" customWidth="1"/>
    <col min="7681" max="7681" width="9.7109375" style="29" customWidth="1"/>
    <col min="7682" max="7682" width="4.7109375" style="29" customWidth="1"/>
    <col min="7683" max="7683" width="14.42578125" style="29" customWidth="1"/>
    <col min="7684" max="7684" width="11.140625" style="29" customWidth="1"/>
    <col min="7685" max="7685" width="10.28515625" style="29" customWidth="1"/>
    <col min="7686" max="7686" width="13" style="29" customWidth="1"/>
    <col min="7687" max="7687" width="8.28515625" style="29" customWidth="1"/>
    <col min="7688" max="7933" width="10" style="29"/>
    <col min="7934" max="7934" width="2.5703125" style="29" customWidth="1"/>
    <col min="7935" max="7935" width="7.140625" style="29" customWidth="1"/>
    <col min="7936" max="7936" width="23.5703125" style="29" customWidth="1"/>
    <col min="7937" max="7937" width="9.7109375" style="29" customWidth="1"/>
    <col min="7938" max="7938" width="4.7109375" style="29" customWidth="1"/>
    <col min="7939" max="7939" width="14.42578125" style="29" customWidth="1"/>
    <col min="7940" max="7940" width="11.140625" style="29" customWidth="1"/>
    <col min="7941" max="7941" width="10.28515625" style="29" customWidth="1"/>
    <col min="7942" max="7942" width="13" style="29" customWidth="1"/>
    <col min="7943" max="7943" width="8.28515625" style="29" customWidth="1"/>
    <col min="7944" max="8189" width="10" style="29"/>
    <col min="8190" max="8190" width="2.5703125" style="29" customWidth="1"/>
    <col min="8191" max="8191" width="7.140625" style="29" customWidth="1"/>
    <col min="8192" max="8192" width="23.5703125" style="29" customWidth="1"/>
    <col min="8193" max="8193" width="9.7109375" style="29" customWidth="1"/>
    <col min="8194" max="8194" width="4.7109375" style="29" customWidth="1"/>
    <col min="8195" max="8195" width="14.42578125" style="29" customWidth="1"/>
    <col min="8196" max="8196" width="11.140625" style="29" customWidth="1"/>
    <col min="8197" max="8197" width="10.28515625" style="29" customWidth="1"/>
    <col min="8198" max="8198" width="13" style="29" customWidth="1"/>
    <col min="8199" max="8199" width="8.28515625" style="29" customWidth="1"/>
    <col min="8200" max="8445" width="10" style="29"/>
    <col min="8446" max="8446" width="2.5703125" style="29" customWidth="1"/>
    <col min="8447" max="8447" width="7.140625" style="29" customWidth="1"/>
    <col min="8448" max="8448" width="23.5703125" style="29" customWidth="1"/>
    <col min="8449" max="8449" width="9.7109375" style="29" customWidth="1"/>
    <col min="8450" max="8450" width="4.7109375" style="29" customWidth="1"/>
    <col min="8451" max="8451" width="14.42578125" style="29" customWidth="1"/>
    <col min="8452" max="8452" width="11.140625" style="29" customWidth="1"/>
    <col min="8453" max="8453" width="10.28515625" style="29" customWidth="1"/>
    <col min="8454" max="8454" width="13" style="29" customWidth="1"/>
    <col min="8455" max="8455" width="8.28515625" style="29" customWidth="1"/>
    <col min="8456" max="8701" width="10" style="29"/>
    <col min="8702" max="8702" width="2.5703125" style="29" customWidth="1"/>
    <col min="8703" max="8703" width="7.140625" style="29" customWidth="1"/>
    <col min="8704" max="8704" width="23.5703125" style="29" customWidth="1"/>
    <col min="8705" max="8705" width="9.7109375" style="29" customWidth="1"/>
    <col min="8706" max="8706" width="4.7109375" style="29" customWidth="1"/>
    <col min="8707" max="8707" width="14.42578125" style="29" customWidth="1"/>
    <col min="8708" max="8708" width="11.140625" style="29" customWidth="1"/>
    <col min="8709" max="8709" width="10.28515625" style="29" customWidth="1"/>
    <col min="8710" max="8710" width="13" style="29" customWidth="1"/>
    <col min="8711" max="8711" width="8.28515625" style="29" customWidth="1"/>
    <col min="8712" max="8957" width="10" style="29"/>
    <col min="8958" max="8958" width="2.5703125" style="29" customWidth="1"/>
    <col min="8959" max="8959" width="7.140625" style="29" customWidth="1"/>
    <col min="8960" max="8960" width="23.5703125" style="29" customWidth="1"/>
    <col min="8961" max="8961" width="9.7109375" style="29" customWidth="1"/>
    <col min="8962" max="8962" width="4.7109375" style="29" customWidth="1"/>
    <col min="8963" max="8963" width="14.42578125" style="29" customWidth="1"/>
    <col min="8964" max="8964" width="11.140625" style="29" customWidth="1"/>
    <col min="8965" max="8965" width="10.28515625" style="29" customWidth="1"/>
    <col min="8966" max="8966" width="13" style="29" customWidth="1"/>
    <col min="8967" max="8967" width="8.28515625" style="29" customWidth="1"/>
    <col min="8968" max="9213" width="10" style="29"/>
    <col min="9214" max="9214" width="2.5703125" style="29" customWidth="1"/>
    <col min="9215" max="9215" width="7.140625" style="29" customWidth="1"/>
    <col min="9216" max="9216" width="23.5703125" style="29" customWidth="1"/>
    <col min="9217" max="9217" width="9.7109375" style="29" customWidth="1"/>
    <col min="9218" max="9218" width="4.7109375" style="29" customWidth="1"/>
    <col min="9219" max="9219" width="14.42578125" style="29" customWidth="1"/>
    <col min="9220" max="9220" width="11.140625" style="29" customWidth="1"/>
    <col min="9221" max="9221" width="10.28515625" style="29" customWidth="1"/>
    <col min="9222" max="9222" width="13" style="29" customWidth="1"/>
    <col min="9223" max="9223" width="8.28515625" style="29" customWidth="1"/>
    <col min="9224" max="9469" width="10" style="29"/>
    <col min="9470" max="9470" width="2.5703125" style="29" customWidth="1"/>
    <col min="9471" max="9471" width="7.140625" style="29" customWidth="1"/>
    <col min="9472" max="9472" width="23.5703125" style="29" customWidth="1"/>
    <col min="9473" max="9473" width="9.7109375" style="29" customWidth="1"/>
    <col min="9474" max="9474" width="4.7109375" style="29" customWidth="1"/>
    <col min="9475" max="9475" width="14.42578125" style="29" customWidth="1"/>
    <col min="9476" max="9476" width="11.140625" style="29" customWidth="1"/>
    <col min="9477" max="9477" width="10.28515625" style="29" customWidth="1"/>
    <col min="9478" max="9478" width="13" style="29" customWidth="1"/>
    <col min="9479" max="9479" width="8.28515625" style="29" customWidth="1"/>
    <col min="9480" max="9725" width="10" style="29"/>
    <col min="9726" max="9726" width="2.5703125" style="29" customWidth="1"/>
    <col min="9727" max="9727" width="7.140625" style="29" customWidth="1"/>
    <col min="9728" max="9728" width="23.5703125" style="29" customWidth="1"/>
    <col min="9729" max="9729" width="9.7109375" style="29" customWidth="1"/>
    <col min="9730" max="9730" width="4.7109375" style="29" customWidth="1"/>
    <col min="9731" max="9731" width="14.42578125" style="29" customWidth="1"/>
    <col min="9732" max="9732" width="11.140625" style="29" customWidth="1"/>
    <col min="9733" max="9733" width="10.28515625" style="29" customWidth="1"/>
    <col min="9734" max="9734" width="13" style="29" customWidth="1"/>
    <col min="9735" max="9735" width="8.28515625" style="29" customWidth="1"/>
    <col min="9736" max="9981" width="10" style="29"/>
    <col min="9982" max="9982" width="2.5703125" style="29" customWidth="1"/>
    <col min="9983" max="9983" width="7.140625" style="29" customWidth="1"/>
    <col min="9984" max="9984" width="23.5703125" style="29" customWidth="1"/>
    <col min="9985" max="9985" width="9.7109375" style="29" customWidth="1"/>
    <col min="9986" max="9986" width="4.7109375" style="29" customWidth="1"/>
    <col min="9987" max="9987" width="14.42578125" style="29" customWidth="1"/>
    <col min="9988" max="9988" width="11.140625" style="29" customWidth="1"/>
    <col min="9989" max="9989" width="10.28515625" style="29" customWidth="1"/>
    <col min="9990" max="9990" width="13" style="29" customWidth="1"/>
    <col min="9991" max="9991" width="8.28515625" style="29" customWidth="1"/>
    <col min="9992" max="10237" width="10" style="29"/>
    <col min="10238" max="10238" width="2.5703125" style="29" customWidth="1"/>
    <col min="10239" max="10239" width="7.140625" style="29" customWidth="1"/>
    <col min="10240" max="10240" width="23.5703125" style="29" customWidth="1"/>
    <col min="10241" max="10241" width="9.7109375" style="29" customWidth="1"/>
    <col min="10242" max="10242" width="4.7109375" style="29" customWidth="1"/>
    <col min="10243" max="10243" width="14.42578125" style="29" customWidth="1"/>
    <col min="10244" max="10244" width="11.140625" style="29" customWidth="1"/>
    <col min="10245" max="10245" width="10.28515625" style="29" customWidth="1"/>
    <col min="10246" max="10246" width="13" style="29" customWidth="1"/>
    <col min="10247" max="10247" width="8.28515625" style="29" customWidth="1"/>
    <col min="10248" max="10493" width="10" style="29"/>
    <col min="10494" max="10494" width="2.5703125" style="29" customWidth="1"/>
    <col min="10495" max="10495" width="7.140625" style="29" customWidth="1"/>
    <col min="10496" max="10496" width="23.5703125" style="29" customWidth="1"/>
    <col min="10497" max="10497" width="9.7109375" style="29" customWidth="1"/>
    <col min="10498" max="10498" width="4.7109375" style="29" customWidth="1"/>
    <col min="10499" max="10499" width="14.42578125" style="29" customWidth="1"/>
    <col min="10500" max="10500" width="11.140625" style="29" customWidth="1"/>
    <col min="10501" max="10501" width="10.28515625" style="29" customWidth="1"/>
    <col min="10502" max="10502" width="13" style="29" customWidth="1"/>
    <col min="10503" max="10503" width="8.28515625" style="29" customWidth="1"/>
    <col min="10504" max="10749" width="10" style="29"/>
    <col min="10750" max="10750" width="2.5703125" style="29" customWidth="1"/>
    <col min="10751" max="10751" width="7.140625" style="29" customWidth="1"/>
    <col min="10752" max="10752" width="23.5703125" style="29" customWidth="1"/>
    <col min="10753" max="10753" width="9.7109375" style="29" customWidth="1"/>
    <col min="10754" max="10754" width="4.7109375" style="29" customWidth="1"/>
    <col min="10755" max="10755" width="14.42578125" style="29" customWidth="1"/>
    <col min="10756" max="10756" width="11.140625" style="29" customWidth="1"/>
    <col min="10757" max="10757" width="10.28515625" style="29" customWidth="1"/>
    <col min="10758" max="10758" width="13" style="29" customWidth="1"/>
    <col min="10759" max="10759" width="8.28515625" style="29" customWidth="1"/>
    <col min="10760" max="11005" width="10" style="29"/>
    <col min="11006" max="11006" width="2.5703125" style="29" customWidth="1"/>
    <col min="11007" max="11007" width="7.140625" style="29" customWidth="1"/>
    <col min="11008" max="11008" width="23.5703125" style="29" customWidth="1"/>
    <col min="11009" max="11009" width="9.7109375" style="29" customWidth="1"/>
    <col min="11010" max="11010" width="4.7109375" style="29" customWidth="1"/>
    <col min="11011" max="11011" width="14.42578125" style="29" customWidth="1"/>
    <col min="11012" max="11012" width="11.140625" style="29" customWidth="1"/>
    <col min="11013" max="11013" width="10.28515625" style="29" customWidth="1"/>
    <col min="11014" max="11014" width="13" style="29" customWidth="1"/>
    <col min="11015" max="11015" width="8.28515625" style="29" customWidth="1"/>
    <col min="11016" max="11261" width="10" style="29"/>
    <col min="11262" max="11262" width="2.5703125" style="29" customWidth="1"/>
    <col min="11263" max="11263" width="7.140625" style="29" customWidth="1"/>
    <col min="11264" max="11264" width="23.5703125" style="29" customWidth="1"/>
    <col min="11265" max="11265" width="9.7109375" style="29" customWidth="1"/>
    <col min="11266" max="11266" width="4.7109375" style="29" customWidth="1"/>
    <col min="11267" max="11267" width="14.42578125" style="29" customWidth="1"/>
    <col min="11268" max="11268" width="11.140625" style="29" customWidth="1"/>
    <col min="11269" max="11269" width="10.28515625" style="29" customWidth="1"/>
    <col min="11270" max="11270" width="13" style="29" customWidth="1"/>
    <col min="11271" max="11271" width="8.28515625" style="29" customWidth="1"/>
    <col min="11272" max="11517" width="10" style="29"/>
    <col min="11518" max="11518" width="2.5703125" style="29" customWidth="1"/>
    <col min="11519" max="11519" width="7.140625" style="29" customWidth="1"/>
    <col min="11520" max="11520" width="23.5703125" style="29" customWidth="1"/>
    <col min="11521" max="11521" width="9.7109375" style="29" customWidth="1"/>
    <col min="11522" max="11522" width="4.7109375" style="29" customWidth="1"/>
    <col min="11523" max="11523" width="14.42578125" style="29" customWidth="1"/>
    <col min="11524" max="11524" width="11.140625" style="29" customWidth="1"/>
    <col min="11525" max="11525" width="10.28515625" style="29" customWidth="1"/>
    <col min="11526" max="11526" width="13" style="29" customWidth="1"/>
    <col min="11527" max="11527" width="8.28515625" style="29" customWidth="1"/>
    <col min="11528" max="11773" width="10" style="29"/>
    <col min="11774" max="11774" width="2.5703125" style="29" customWidth="1"/>
    <col min="11775" max="11775" width="7.140625" style="29" customWidth="1"/>
    <col min="11776" max="11776" width="23.5703125" style="29" customWidth="1"/>
    <col min="11777" max="11777" width="9.7109375" style="29" customWidth="1"/>
    <col min="11778" max="11778" width="4.7109375" style="29" customWidth="1"/>
    <col min="11779" max="11779" width="14.42578125" style="29" customWidth="1"/>
    <col min="11780" max="11780" width="11.140625" style="29" customWidth="1"/>
    <col min="11781" max="11781" width="10.28515625" style="29" customWidth="1"/>
    <col min="11782" max="11782" width="13" style="29" customWidth="1"/>
    <col min="11783" max="11783" width="8.28515625" style="29" customWidth="1"/>
    <col min="11784" max="12029" width="10" style="29"/>
    <col min="12030" max="12030" width="2.5703125" style="29" customWidth="1"/>
    <col min="12031" max="12031" width="7.140625" style="29" customWidth="1"/>
    <col min="12032" max="12032" width="23.5703125" style="29" customWidth="1"/>
    <col min="12033" max="12033" width="9.7109375" style="29" customWidth="1"/>
    <col min="12034" max="12034" width="4.7109375" style="29" customWidth="1"/>
    <col min="12035" max="12035" width="14.42578125" style="29" customWidth="1"/>
    <col min="12036" max="12036" width="11.140625" style="29" customWidth="1"/>
    <col min="12037" max="12037" width="10.28515625" style="29" customWidth="1"/>
    <col min="12038" max="12038" width="13" style="29" customWidth="1"/>
    <col min="12039" max="12039" width="8.28515625" style="29" customWidth="1"/>
    <col min="12040" max="12285" width="10" style="29"/>
    <col min="12286" max="12286" width="2.5703125" style="29" customWidth="1"/>
    <col min="12287" max="12287" width="7.140625" style="29" customWidth="1"/>
    <col min="12288" max="12288" width="23.5703125" style="29" customWidth="1"/>
    <col min="12289" max="12289" width="9.7109375" style="29" customWidth="1"/>
    <col min="12290" max="12290" width="4.7109375" style="29" customWidth="1"/>
    <col min="12291" max="12291" width="14.42578125" style="29" customWidth="1"/>
    <col min="12292" max="12292" width="11.140625" style="29" customWidth="1"/>
    <col min="12293" max="12293" width="10.28515625" style="29" customWidth="1"/>
    <col min="12294" max="12294" width="13" style="29" customWidth="1"/>
    <col min="12295" max="12295" width="8.28515625" style="29" customWidth="1"/>
    <col min="12296" max="12541" width="10" style="29"/>
    <col min="12542" max="12542" width="2.5703125" style="29" customWidth="1"/>
    <col min="12543" max="12543" width="7.140625" style="29" customWidth="1"/>
    <col min="12544" max="12544" width="23.5703125" style="29" customWidth="1"/>
    <col min="12545" max="12545" width="9.7109375" style="29" customWidth="1"/>
    <col min="12546" max="12546" width="4.7109375" style="29" customWidth="1"/>
    <col min="12547" max="12547" width="14.42578125" style="29" customWidth="1"/>
    <col min="12548" max="12548" width="11.140625" style="29" customWidth="1"/>
    <col min="12549" max="12549" width="10.28515625" style="29" customWidth="1"/>
    <col min="12550" max="12550" width="13" style="29" customWidth="1"/>
    <col min="12551" max="12551" width="8.28515625" style="29" customWidth="1"/>
    <col min="12552" max="12797" width="10" style="29"/>
    <col min="12798" max="12798" width="2.5703125" style="29" customWidth="1"/>
    <col min="12799" max="12799" width="7.140625" style="29" customWidth="1"/>
    <col min="12800" max="12800" width="23.5703125" style="29" customWidth="1"/>
    <col min="12801" max="12801" width="9.7109375" style="29" customWidth="1"/>
    <col min="12802" max="12802" width="4.7109375" style="29" customWidth="1"/>
    <col min="12803" max="12803" width="14.42578125" style="29" customWidth="1"/>
    <col min="12804" max="12804" width="11.140625" style="29" customWidth="1"/>
    <col min="12805" max="12805" width="10.28515625" style="29" customWidth="1"/>
    <col min="12806" max="12806" width="13" style="29" customWidth="1"/>
    <col min="12807" max="12807" width="8.28515625" style="29" customWidth="1"/>
    <col min="12808" max="13053" width="10" style="29"/>
    <col min="13054" max="13054" width="2.5703125" style="29" customWidth="1"/>
    <col min="13055" max="13055" width="7.140625" style="29" customWidth="1"/>
    <col min="13056" max="13056" width="23.5703125" style="29" customWidth="1"/>
    <col min="13057" max="13057" width="9.7109375" style="29" customWidth="1"/>
    <col min="13058" max="13058" width="4.7109375" style="29" customWidth="1"/>
    <col min="13059" max="13059" width="14.42578125" style="29" customWidth="1"/>
    <col min="13060" max="13060" width="11.140625" style="29" customWidth="1"/>
    <col min="13061" max="13061" width="10.28515625" style="29" customWidth="1"/>
    <col min="13062" max="13062" width="13" style="29" customWidth="1"/>
    <col min="13063" max="13063" width="8.28515625" style="29" customWidth="1"/>
    <col min="13064" max="13309" width="10" style="29"/>
    <col min="13310" max="13310" width="2.5703125" style="29" customWidth="1"/>
    <col min="13311" max="13311" width="7.140625" style="29" customWidth="1"/>
    <col min="13312" max="13312" width="23.5703125" style="29" customWidth="1"/>
    <col min="13313" max="13313" width="9.7109375" style="29" customWidth="1"/>
    <col min="13314" max="13314" width="4.7109375" style="29" customWidth="1"/>
    <col min="13315" max="13315" width="14.42578125" style="29" customWidth="1"/>
    <col min="13316" max="13316" width="11.140625" style="29" customWidth="1"/>
    <col min="13317" max="13317" width="10.28515625" style="29" customWidth="1"/>
    <col min="13318" max="13318" width="13" style="29" customWidth="1"/>
    <col min="13319" max="13319" width="8.28515625" style="29" customWidth="1"/>
    <col min="13320" max="13565" width="10" style="29"/>
    <col min="13566" max="13566" width="2.5703125" style="29" customWidth="1"/>
    <col min="13567" max="13567" width="7.140625" style="29" customWidth="1"/>
    <col min="13568" max="13568" width="23.5703125" style="29" customWidth="1"/>
    <col min="13569" max="13569" width="9.7109375" style="29" customWidth="1"/>
    <col min="13570" max="13570" width="4.7109375" style="29" customWidth="1"/>
    <col min="13571" max="13571" width="14.42578125" style="29" customWidth="1"/>
    <col min="13572" max="13572" width="11.140625" style="29" customWidth="1"/>
    <col min="13573" max="13573" width="10.28515625" style="29" customWidth="1"/>
    <col min="13574" max="13574" width="13" style="29" customWidth="1"/>
    <col min="13575" max="13575" width="8.28515625" style="29" customWidth="1"/>
    <col min="13576" max="13821" width="10" style="29"/>
    <col min="13822" max="13822" width="2.5703125" style="29" customWidth="1"/>
    <col min="13823" max="13823" width="7.140625" style="29" customWidth="1"/>
    <col min="13824" max="13824" width="23.5703125" style="29" customWidth="1"/>
    <col min="13825" max="13825" width="9.7109375" style="29" customWidth="1"/>
    <col min="13826" max="13826" width="4.7109375" style="29" customWidth="1"/>
    <col min="13827" max="13827" width="14.42578125" style="29" customWidth="1"/>
    <col min="13828" max="13828" width="11.140625" style="29" customWidth="1"/>
    <col min="13829" max="13829" width="10.28515625" style="29" customWidth="1"/>
    <col min="13830" max="13830" width="13" style="29" customWidth="1"/>
    <col min="13831" max="13831" width="8.28515625" style="29" customWidth="1"/>
    <col min="13832" max="14077" width="10" style="29"/>
    <col min="14078" max="14078" width="2.5703125" style="29" customWidth="1"/>
    <col min="14079" max="14079" width="7.140625" style="29" customWidth="1"/>
    <col min="14080" max="14080" width="23.5703125" style="29" customWidth="1"/>
    <col min="14081" max="14081" width="9.7109375" style="29" customWidth="1"/>
    <col min="14082" max="14082" width="4.7109375" style="29" customWidth="1"/>
    <col min="14083" max="14083" width="14.42578125" style="29" customWidth="1"/>
    <col min="14084" max="14084" width="11.140625" style="29" customWidth="1"/>
    <col min="14085" max="14085" width="10.28515625" style="29" customWidth="1"/>
    <col min="14086" max="14086" width="13" style="29" customWidth="1"/>
    <col min="14087" max="14087" width="8.28515625" style="29" customWidth="1"/>
    <col min="14088" max="14333" width="10" style="29"/>
    <col min="14334" max="14334" width="2.5703125" style="29" customWidth="1"/>
    <col min="14335" max="14335" width="7.140625" style="29" customWidth="1"/>
    <col min="14336" max="14336" width="23.5703125" style="29" customWidth="1"/>
    <col min="14337" max="14337" width="9.7109375" style="29" customWidth="1"/>
    <col min="14338" max="14338" width="4.7109375" style="29" customWidth="1"/>
    <col min="14339" max="14339" width="14.42578125" style="29" customWidth="1"/>
    <col min="14340" max="14340" width="11.140625" style="29" customWidth="1"/>
    <col min="14341" max="14341" width="10.28515625" style="29" customWidth="1"/>
    <col min="14342" max="14342" width="13" style="29" customWidth="1"/>
    <col min="14343" max="14343" width="8.28515625" style="29" customWidth="1"/>
    <col min="14344" max="14589" width="10" style="29"/>
    <col min="14590" max="14590" width="2.5703125" style="29" customWidth="1"/>
    <col min="14591" max="14591" width="7.140625" style="29" customWidth="1"/>
    <col min="14592" max="14592" width="23.5703125" style="29" customWidth="1"/>
    <col min="14593" max="14593" width="9.7109375" style="29" customWidth="1"/>
    <col min="14594" max="14594" width="4.7109375" style="29" customWidth="1"/>
    <col min="14595" max="14595" width="14.42578125" style="29" customWidth="1"/>
    <col min="14596" max="14596" width="11.140625" style="29" customWidth="1"/>
    <col min="14597" max="14597" width="10.28515625" style="29" customWidth="1"/>
    <col min="14598" max="14598" width="13" style="29" customWidth="1"/>
    <col min="14599" max="14599" width="8.28515625" style="29" customWidth="1"/>
    <col min="14600" max="14845" width="10" style="29"/>
    <col min="14846" max="14846" width="2.5703125" style="29" customWidth="1"/>
    <col min="14847" max="14847" width="7.140625" style="29" customWidth="1"/>
    <col min="14848" max="14848" width="23.5703125" style="29" customWidth="1"/>
    <col min="14849" max="14849" width="9.7109375" style="29" customWidth="1"/>
    <col min="14850" max="14850" width="4.7109375" style="29" customWidth="1"/>
    <col min="14851" max="14851" width="14.42578125" style="29" customWidth="1"/>
    <col min="14852" max="14852" width="11.140625" style="29" customWidth="1"/>
    <col min="14853" max="14853" width="10.28515625" style="29" customWidth="1"/>
    <col min="14854" max="14854" width="13" style="29" customWidth="1"/>
    <col min="14855" max="14855" width="8.28515625" style="29" customWidth="1"/>
    <col min="14856" max="15101" width="10" style="29"/>
    <col min="15102" max="15102" width="2.5703125" style="29" customWidth="1"/>
    <col min="15103" max="15103" width="7.140625" style="29" customWidth="1"/>
    <col min="15104" max="15104" width="23.5703125" style="29" customWidth="1"/>
    <col min="15105" max="15105" width="9.7109375" style="29" customWidth="1"/>
    <col min="15106" max="15106" width="4.7109375" style="29" customWidth="1"/>
    <col min="15107" max="15107" width="14.42578125" style="29" customWidth="1"/>
    <col min="15108" max="15108" width="11.140625" style="29" customWidth="1"/>
    <col min="15109" max="15109" width="10.28515625" style="29" customWidth="1"/>
    <col min="15110" max="15110" width="13" style="29" customWidth="1"/>
    <col min="15111" max="15111" width="8.28515625" style="29" customWidth="1"/>
    <col min="15112" max="15357" width="10" style="29"/>
    <col min="15358" max="15358" width="2.5703125" style="29" customWidth="1"/>
    <col min="15359" max="15359" width="7.140625" style="29" customWidth="1"/>
    <col min="15360" max="15360" width="23.5703125" style="29" customWidth="1"/>
    <col min="15361" max="15361" width="9.7109375" style="29" customWidth="1"/>
    <col min="15362" max="15362" width="4.7109375" style="29" customWidth="1"/>
    <col min="15363" max="15363" width="14.42578125" style="29" customWidth="1"/>
    <col min="15364" max="15364" width="11.140625" style="29" customWidth="1"/>
    <col min="15365" max="15365" width="10.28515625" style="29" customWidth="1"/>
    <col min="15366" max="15366" width="13" style="29" customWidth="1"/>
    <col min="15367" max="15367" width="8.28515625" style="29" customWidth="1"/>
    <col min="15368" max="15613" width="10" style="29"/>
    <col min="15614" max="15614" width="2.5703125" style="29" customWidth="1"/>
    <col min="15615" max="15615" width="7.140625" style="29" customWidth="1"/>
    <col min="15616" max="15616" width="23.5703125" style="29" customWidth="1"/>
    <col min="15617" max="15617" width="9.7109375" style="29" customWidth="1"/>
    <col min="15618" max="15618" width="4.7109375" style="29" customWidth="1"/>
    <col min="15619" max="15619" width="14.42578125" style="29" customWidth="1"/>
    <col min="15620" max="15620" width="11.140625" style="29" customWidth="1"/>
    <col min="15621" max="15621" width="10.28515625" style="29" customWidth="1"/>
    <col min="15622" max="15622" width="13" style="29" customWidth="1"/>
    <col min="15623" max="15623" width="8.28515625" style="29" customWidth="1"/>
    <col min="15624" max="15869" width="10" style="29"/>
    <col min="15870" max="15870" width="2.5703125" style="29" customWidth="1"/>
    <col min="15871" max="15871" width="7.140625" style="29" customWidth="1"/>
    <col min="15872" max="15872" width="23.5703125" style="29" customWidth="1"/>
    <col min="15873" max="15873" width="9.7109375" style="29" customWidth="1"/>
    <col min="15874" max="15874" width="4.7109375" style="29" customWidth="1"/>
    <col min="15875" max="15875" width="14.42578125" style="29" customWidth="1"/>
    <col min="15876" max="15876" width="11.140625" style="29" customWidth="1"/>
    <col min="15877" max="15877" width="10.28515625" style="29" customWidth="1"/>
    <col min="15878" max="15878" width="13" style="29" customWidth="1"/>
    <col min="15879" max="15879" width="8.28515625" style="29" customWidth="1"/>
    <col min="15880" max="16125" width="10" style="29"/>
    <col min="16126" max="16126" width="2.5703125" style="29" customWidth="1"/>
    <col min="16127" max="16127" width="7.140625" style="29" customWidth="1"/>
    <col min="16128" max="16128" width="23.5703125" style="29" customWidth="1"/>
    <col min="16129" max="16129" width="9.7109375" style="29" customWidth="1"/>
    <col min="16130" max="16130" width="4.7109375" style="29" customWidth="1"/>
    <col min="16131" max="16131" width="14.42578125" style="29" customWidth="1"/>
    <col min="16132" max="16132" width="11.140625" style="29" customWidth="1"/>
    <col min="16133" max="16133" width="10.28515625" style="29" customWidth="1"/>
    <col min="16134" max="16134" width="13" style="29" customWidth="1"/>
    <col min="16135" max="16135" width="8.28515625" style="29" customWidth="1"/>
    <col min="16136" max="16384" width="10" style="29"/>
  </cols>
  <sheetData>
    <row r="1" spans="1:7">
      <c r="A1" s="17" t="str">
        <f>RevReqSummary!A1</f>
        <v>PacifiCorp General Rate Case UE-140617</v>
      </c>
      <c r="B1" s="30"/>
      <c r="C1" s="30"/>
      <c r="D1" s="30"/>
      <c r="E1" s="30"/>
      <c r="F1" s="30"/>
      <c r="G1" s="30"/>
    </row>
    <row r="2" spans="1:7">
      <c r="A2" s="17" t="str">
        <f>RevReqSummary!A2</f>
        <v>For The Twelve Months Ended December 2013 - Staff Revenue Requirement</v>
      </c>
      <c r="B2" s="30"/>
      <c r="C2" s="30"/>
      <c r="D2" s="30"/>
      <c r="E2" s="30"/>
      <c r="F2" s="30"/>
      <c r="G2" s="30"/>
    </row>
    <row r="3" spans="1:7">
      <c r="A3" s="53" t="s">
        <v>54</v>
      </c>
      <c r="B3" s="30"/>
      <c r="C3" s="30"/>
      <c r="D3" s="30"/>
      <c r="E3" s="30"/>
      <c r="F3" s="30"/>
      <c r="G3" s="30"/>
    </row>
    <row r="4" spans="1:7">
      <c r="A4" s="53" t="s">
        <v>646</v>
      </c>
      <c r="B4" s="30"/>
      <c r="C4" s="30"/>
      <c r="D4" s="30"/>
      <c r="E4" s="30"/>
      <c r="F4" s="30"/>
      <c r="G4" s="30"/>
    </row>
    <row r="5" spans="1:7">
      <c r="B5" s="30"/>
      <c r="C5" s="30"/>
      <c r="D5" s="30"/>
      <c r="E5" s="30"/>
      <c r="F5" s="30"/>
      <c r="G5" s="30"/>
    </row>
    <row r="6" spans="1:7">
      <c r="B6" s="23"/>
      <c r="C6" s="23"/>
      <c r="D6" s="23" t="s">
        <v>131</v>
      </c>
      <c r="E6" s="23"/>
      <c r="F6" s="23"/>
      <c r="G6" s="23" t="s">
        <v>236</v>
      </c>
    </row>
    <row r="7" spans="1:7">
      <c r="B7" s="26" t="s">
        <v>132</v>
      </c>
      <c r="C7" s="26" t="s">
        <v>660</v>
      </c>
      <c r="D7" s="26" t="s">
        <v>134</v>
      </c>
      <c r="E7" s="26" t="s">
        <v>135</v>
      </c>
      <c r="F7" s="26" t="s">
        <v>136</v>
      </c>
      <c r="G7" s="26" t="s">
        <v>137</v>
      </c>
    </row>
    <row r="8" spans="1:7">
      <c r="A8" s="28" t="s">
        <v>215</v>
      </c>
      <c r="B8" s="30"/>
      <c r="C8" s="30"/>
      <c r="D8" s="30"/>
      <c r="E8" s="30"/>
      <c r="F8" s="30"/>
      <c r="G8" s="535"/>
    </row>
    <row r="9" spans="1:7">
      <c r="A9" s="29" t="s">
        <v>274</v>
      </c>
      <c r="B9" s="30">
        <v>4311</v>
      </c>
      <c r="C9" s="30" t="s">
        <v>140</v>
      </c>
      <c r="D9" s="639">
        <v>4169.3672727272733</v>
      </c>
      <c r="E9" s="30" t="s">
        <v>141</v>
      </c>
      <c r="F9" s="538">
        <f>INDEX(WCAAllocations,IFERROR(MATCH(E9,WCAFactors,0),2),IFERROR(MATCH(E9,WCAStates,0),4))</f>
        <v>1</v>
      </c>
      <c r="G9" s="31">
        <f>+D9</f>
        <v>4169.3672727272733</v>
      </c>
    </row>
    <row r="10" spans="1:7">
      <c r="F10" s="229"/>
      <c r="G10" s="156"/>
    </row>
    <row r="11" spans="1:7">
      <c r="A11" s="53" t="s">
        <v>216</v>
      </c>
      <c r="F11" s="229"/>
      <c r="G11" s="156"/>
    </row>
    <row r="12" spans="1:7">
      <c r="A12" s="37" t="s">
        <v>275</v>
      </c>
      <c r="B12" s="30">
        <v>235</v>
      </c>
      <c r="C12" s="30" t="s">
        <v>140</v>
      </c>
      <c r="D12" s="639">
        <v>-3361133.729166666</v>
      </c>
      <c r="E12" s="30" t="s">
        <v>141</v>
      </c>
      <c r="F12" s="538">
        <f>INDEX(WCAAllocations,IFERROR(MATCH(E12,WCAFactors,0),2),IFERROR(MATCH(E12,WCAStates,0),4))</f>
        <v>1</v>
      </c>
      <c r="G12" s="31">
        <f>+D12</f>
        <v>-3361133.729166666</v>
      </c>
    </row>
    <row r="13" spans="1:7">
      <c r="B13" s="30"/>
      <c r="C13" s="30"/>
      <c r="D13" s="35"/>
      <c r="E13" s="30"/>
      <c r="F13" s="155"/>
      <c r="G13" s="31"/>
    </row>
    <row r="14" spans="1:7">
      <c r="B14" s="30"/>
      <c r="C14" s="30"/>
      <c r="D14" s="35"/>
      <c r="E14" s="30"/>
      <c r="F14" s="155"/>
      <c r="G14" s="31"/>
    </row>
    <row r="15" spans="1:7">
      <c r="A15" s="28" t="s">
        <v>212</v>
      </c>
      <c r="B15" s="30"/>
      <c r="C15" s="30"/>
      <c r="D15" s="31"/>
      <c r="E15" s="30"/>
      <c r="F15" s="155"/>
      <c r="G15" s="31"/>
    </row>
    <row r="16" spans="1:7">
      <c r="A16" s="1408" t="s">
        <v>1079</v>
      </c>
      <c r="B16" s="1408"/>
      <c r="C16" s="1408"/>
      <c r="D16" s="1408"/>
      <c r="E16" s="1408"/>
      <c r="F16" s="1408"/>
      <c r="G16" s="1408"/>
    </row>
    <row r="17" spans="1:7">
      <c r="A17" s="1408"/>
      <c r="B17" s="1408"/>
      <c r="C17" s="1408"/>
      <c r="D17" s="1408"/>
      <c r="E17" s="1408"/>
      <c r="F17" s="1408"/>
      <c r="G17" s="1408"/>
    </row>
    <row r="18" spans="1:7">
      <c r="A18" s="1408"/>
      <c r="B18" s="1408"/>
      <c r="C18" s="1408"/>
      <c r="D18" s="1408"/>
      <c r="E18" s="1408"/>
      <c r="F18" s="1408"/>
      <c r="G18" s="1408"/>
    </row>
    <row r="19" spans="1:7">
      <c r="A19" s="1408"/>
      <c r="B19" s="1408"/>
      <c r="C19" s="1408"/>
      <c r="D19" s="1408"/>
      <c r="E19" s="1408"/>
      <c r="F19" s="1408"/>
      <c r="G19" s="1408"/>
    </row>
    <row r="20" spans="1:7">
      <c r="A20" s="1408"/>
      <c r="B20" s="1408"/>
      <c r="C20" s="1408"/>
      <c r="D20" s="1408"/>
      <c r="E20" s="1408"/>
      <c r="F20" s="1408"/>
      <c r="G20" s="1408"/>
    </row>
    <row r="21" spans="1:7">
      <c r="B21" s="143"/>
    </row>
    <row r="22" spans="1:7">
      <c r="B22" s="143"/>
    </row>
    <row r="23" spans="1:7">
      <c r="B23" s="143"/>
    </row>
    <row r="24" spans="1:7">
      <c r="B24" s="143"/>
    </row>
    <row r="25" spans="1:7">
      <c r="B25" s="143"/>
    </row>
    <row r="26" spans="1:7">
      <c r="B26" s="143"/>
    </row>
    <row r="27" spans="1:7">
      <c r="B27" s="143"/>
    </row>
    <row r="28" spans="1:7">
      <c r="B28" s="143"/>
    </row>
    <row r="29" spans="1:7">
      <c r="B29" s="143"/>
    </row>
    <row r="30" spans="1:7">
      <c r="B30" s="143"/>
    </row>
    <row r="31" spans="1:7">
      <c r="B31" s="143"/>
    </row>
    <row r="32" spans="1:7">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row r="46" spans="2:2">
      <c r="B46" s="143"/>
    </row>
    <row r="47" spans="2:2">
      <c r="B47" s="143"/>
    </row>
    <row r="48" spans="2:2">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sheetPr>
  <dimension ref="A1:J33"/>
  <sheetViews>
    <sheetView workbookViewId="0">
      <selection activeCell="F16" sqref="F16"/>
    </sheetView>
  </sheetViews>
  <sheetFormatPr defaultRowHeight="12.75"/>
  <cols>
    <col min="1" max="1" width="30.5703125" style="244" customWidth="1"/>
    <col min="2" max="2" width="9.7109375" style="241" bestFit="1" customWidth="1"/>
    <col min="3" max="3" width="5.42578125" style="244" bestFit="1" customWidth="1"/>
    <col min="4" max="4" width="11.140625" style="524" bestFit="1" customWidth="1"/>
    <col min="5" max="5" width="8" style="241" bestFit="1" customWidth="1"/>
    <col min="6" max="6" width="10" style="244" bestFit="1" customWidth="1"/>
    <col min="7" max="7" width="13.28515625" style="524" bestFit="1" customWidth="1"/>
    <col min="8" max="8" width="8.28515625" style="244" customWidth="1"/>
    <col min="9" max="254" width="10" style="244"/>
    <col min="255" max="255" width="2.5703125" style="244" customWidth="1"/>
    <col min="256" max="256" width="7.140625" style="244" customWidth="1"/>
    <col min="257" max="257" width="27.7109375" style="244" customWidth="1"/>
    <col min="258" max="258" width="9.7109375" style="244" customWidth="1"/>
    <col min="259" max="259" width="4.7109375" style="244" customWidth="1"/>
    <col min="260" max="260" width="14.42578125" style="244" customWidth="1"/>
    <col min="261" max="261" width="11.140625" style="244" customWidth="1"/>
    <col min="262" max="262" width="10.28515625" style="244" customWidth="1"/>
    <col min="263" max="263" width="13" style="244" customWidth="1"/>
    <col min="264" max="264" width="8.28515625" style="244" customWidth="1"/>
    <col min="265" max="510" width="10" style="244"/>
    <col min="511" max="511" width="2.5703125" style="244" customWidth="1"/>
    <col min="512" max="512" width="7.140625" style="244" customWidth="1"/>
    <col min="513" max="513" width="27.7109375" style="244" customWidth="1"/>
    <col min="514" max="514" width="9.7109375" style="244" customWidth="1"/>
    <col min="515" max="515" width="4.7109375" style="244" customWidth="1"/>
    <col min="516" max="516" width="14.42578125" style="244" customWidth="1"/>
    <col min="517" max="517" width="11.140625" style="244" customWidth="1"/>
    <col min="518" max="518" width="10.28515625" style="244" customWidth="1"/>
    <col min="519" max="519" width="13" style="244" customWidth="1"/>
    <col min="520" max="520" width="8.28515625" style="244" customWidth="1"/>
    <col min="521" max="766" width="10" style="244"/>
    <col min="767" max="767" width="2.5703125" style="244" customWidth="1"/>
    <col min="768" max="768" width="7.140625" style="244" customWidth="1"/>
    <col min="769" max="769" width="27.7109375" style="244" customWidth="1"/>
    <col min="770" max="770" width="9.7109375" style="244" customWidth="1"/>
    <col min="771" max="771" width="4.7109375" style="244" customWidth="1"/>
    <col min="772" max="772" width="14.42578125" style="244" customWidth="1"/>
    <col min="773" max="773" width="11.140625" style="244" customWidth="1"/>
    <col min="774" max="774" width="10.28515625" style="244" customWidth="1"/>
    <col min="775" max="775" width="13" style="244" customWidth="1"/>
    <col min="776" max="776" width="8.28515625" style="244" customWidth="1"/>
    <col min="777" max="1022" width="9.140625" style="244"/>
    <col min="1023" max="1023" width="2.5703125" style="244" customWidth="1"/>
    <col min="1024" max="1024" width="7.140625" style="244" customWidth="1"/>
    <col min="1025" max="1025" width="27.7109375" style="244" customWidth="1"/>
    <col min="1026" max="1026" width="9.7109375" style="244" customWidth="1"/>
    <col min="1027" max="1027" width="4.7109375" style="244" customWidth="1"/>
    <col min="1028" max="1028" width="14.42578125" style="244" customWidth="1"/>
    <col min="1029" max="1029" width="11.140625" style="244" customWidth="1"/>
    <col min="1030" max="1030" width="10.28515625" style="244" customWidth="1"/>
    <col min="1031" max="1031" width="13" style="244" customWidth="1"/>
    <col min="1032" max="1032" width="8.28515625" style="244" customWidth="1"/>
    <col min="1033" max="1278" width="10" style="244"/>
    <col min="1279" max="1279" width="2.5703125" style="244" customWidth="1"/>
    <col min="1280" max="1280" width="7.140625" style="244" customWidth="1"/>
    <col min="1281" max="1281" width="27.7109375" style="244" customWidth="1"/>
    <col min="1282" max="1282" width="9.7109375" style="244" customWidth="1"/>
    <col min="1283" max="1283" width="4.7109375" style="244" customWidth="1"/>
    <col min="1284" max="1284" width="14.42578125" style="244" customWidth="1"/>
    <col min="1285" max="1285" width="11.140625" style="244" customWidth="1"/>
    <col min="1286" max="1286" width="10.28515625" style="244" customWidth="1"/>
    <col min="1287" max="1287" width="13" style="244" customWidth="1"/>
    <col min="1288" max="1288" width="8.28515625" style="244" customWidth="1"/>
    <col min="1289" max="1534" width="10" style="244"/>
    <col min="1535" max="1535" width="2.5703125" style="244" customWidth="1"/>
    <col min="1536" max="1536" width="7.140625" style="244" customWidth="1"/>
    <col min="1537" max="1537" width="27.7109375" style="244" customWidth="1"/>
    <col min="1538" max="1538" width="9.7109375" style="244" customWidth="1"/>
    <col min="1539" max="1539" width="4.7109375" style="244" customWidth="1"/>
    <col min="1540" max="1540" width="14.42578125" style="244" customWidth="1"/>
    <col min="1541" max="1541" width="11.140625" style="244" customWidth="1"/>
    <col min="1542" max="1542" width="10.28515625" style="244" customWidth="1"/>
    <col min="1543" max="1543" width="13" style="244" customWidth="1"/>
    <col min="1544" max="1544" width="8.28515625" style="244" customWidth="1"/>
    <col min="1545" max="1790" width="10" style="244"/>
    <col min="1791" max="1791" width="2.5703125" style="244" customWidth="1"/>
    <col min="1792" max="1792" width="7.140625" style="244" customWidth="1"/>
    <col min="1793" max="1793" width="27.7109375" style="244" customWidth="1"/>
    <col min="1794" max="1794" width="9.7109375" style="244" customWidth="1"/>
    <col min="1795" max="1795" width="4.7109375" style="244" customWidth="1"/>
    <col min="1796" max="1796" width="14.42578125" style="244" customWidth="1"/>
    <col min="1797" max="1797" width="11.140625" style="244" customWidth="1"/>
    <col min="1798" max="1798" width="10.28515625" style="244" customWidth="1"/>
    <col min="1799" max="1799" width="13" style="244" customWidth="1"/>
    <col min="1800" max="1800" width="8.28515625" style="244" customWidth="1"/>
    <col min="1801" max="2046" width="9.140625" style="244"/>
    <col min="2047" max="2047" width="2.5703125" style="244" customWidth="1"/>
    <col min="2048" max="2048" width="7.140625" style="244" customWidth="1"/>
    <col min="2049" max="2049" width="27.7109375" style="244" customWidth="1"/>
    <col min="2050" max="2050" width="9.7109375" style="244" customWidth="1"/>
    <col min="2051" max="2051" width="4.7109375" style="244" customWidth="1"/>
    <col min="2052" max="2052" width="14.42578125" style="244" customWidth="1"/>
    <col min="2053" max="2053" width="11.140625" style="244" customWidth="1"/>
    <col min="2054" max="2054" width="10.28515625" style="244" customWidth="1"/>
    <col min="2055" max="2055" width="13" style="244" customWidth="1"/>
    <col min="2056" max="2056" width="8.28515625" style="244" customWidth="1"/>
    <col min="2057" max="2302" width="10" style="244"/>
    <col min="2303" max="2303" width="2.5703125" style="244" customWidth="1"/>
    <col min="2304" max="2304" width="7.140625" style="244" customWidth="1"/>
    <col min="2305" max="2305" width="27.7109375" style="244" customWidth="1"/>
    <col min="2306" max="2306" width="9.7109375" style="244" customWidth="1"/>
    <col min="2307" max="2307" width="4.7109375" style="244" customWidth="1"/>
    <col min="2308" max="2308" width="14.42578125" style="244" customWidth="1"/>
    <col min="2309" max="2309" width="11.140625" style="244" customWidth="1"/>
    <col min="2310" max="2310" width="10.28515625" style="244" customWidth="1"/>
    <col min="2311" max="2311" width="13" style="244" customWidth="1"/>
    <col min="2312" max="2312" width="8.28515625" style="244" customWidth="1"/>
    <col min="2313" max="2558" width="10" style="244"/>
    <col min="2559" max="2559" width="2.5703125" style="244" customWidth="1"/>
    <col min="2560" max="2560" width="7.140625" style="244" customWidth="1"/>
    <col min="2561" max="2561" width="27.7109375" style="244" customWidth="1"/>
    <col min="2562" max="2562" width="9.7109375" style="244" customWidth="1"/>
    <col min="2563" max="2563" width="4.7109375" style="244" customWidth="1"/>
    <col min="2564" max="2564" width="14.42578125" style="244" customWidth="1"/>
    <col min="2565" max="2565" width="11.140625" style="244" customWidth="1"/>
    <col min="2566" max="2566" width="10.28515625" style="244" customWidth="1"/>
    <col min="2567" max="2567" width="13" style="244" customWidth="1"/>
    <col min="2568" max="2568" width="8.28515625" style="244" customWidth="1"/>
    <col min="2569" max="2814" width="10" style="244"/>
    <col min="2815" max="2815" width="2.5703125" style="244" customWidth="1"/>
    <col min="2816" max="2816" width="7.140625" style="244" customWidth="1"/>
    <col min="2817" max="2817" width="27.7109375" style="244" customWidth="1"/>
    <col min="2818" max="2818" width="9.7109375" style="244" customWidth="1"/>
    <col min="2819" max="2819" width="4.7109375" style="244" customWidth="1"/>
    <col min="2820" max="2820" width="14.42578125" style="244" customWidth="1"/>
    <col min="2821" max="2821" width="11.140625" style="244" customWidth="1"/>
    <col min="2822" max="2822" width="10.28515625" style="244" customWidth="1"/>
    <col min="2823" max="2823" width="13" style="244" customWidth="1"/>
    <col min="2824" max="2824" width="8.28515625" style="244" customWidth="1"/>
    <col min="2825" max="3070" width="9.140625" style="244"/>
    <col min="3071" max="3071" width="2.5703125" style="244" customWidth="1"/>
    <col min="3072" max="3072" width="7.140625" style="244" customWidth="1"/>
    <col min="3073" max="3073" width="27.7109375" style="244" customWidth="1"/>
    <col min="3074" max="3074" width="9.7109375" style="244" customWidth="1"/>
    <col min="3075" max="3075" width="4.7109375" style="244" customWidth="1"/>
    <col min="3076" max="3076" width="14.42578125" style="244" customWidth="1"/>
    <col min="3077" max="3077" width="11.140625" style="244" customWidth="1"/>
    <col min="3078" max="3078" width="10.28515625" style="244" customWidth="1"/>
    <col min="3079" max="3079" width="13" style="244" customWidth="1"/>
    <col min="3080" max="3080" width="8.28515625" style="244" customWidth="1"/>
    <col min="3081" max="3326" width="10" style="244"/>
    <col min="3327" max="3327" width="2.5703125" style="244" customWidth="1"/>
    <col min="3328" max="3328" width="7.140625" style="244" customWidth="1"/>
    <col min="3329" max="3329" width="27.7109375" style="244" customWidth="1"/>
    <col min="3330" max="3330" width="9.7109375" style="244" customWidth="1"/>
    <col min="3331" max="3331" width="4.7109375" style="244" customWidth="1"/>
    <col min="3332" max="3332" width="14.42578125" style="244" customWidth="1"/>
    <col min="3333" max="3333" width="11.140625" style="244" customWidth="1"/>
    <col min="3334" max="3334" width="10.28515625" style="244" customWidth="1"/>
    <col min="3335" max="3335" width="13" style="244" customWidth="1"/>
    <col min="3336" max="3336" width="8.28515625" style="244" customWidth="1"/>
    <col min="3337" max="3582" width="10" style="244"/>
    <col min="3583" max="3583" width="2.5703125" style="244" customWidth="1"/>
    <col min="3584" max="3584" width="7.140625" style="244" customWidth="1"/>
    <col min="3585" max="3585" width="27.7109375" style="244" customWidth="1"/>
    <col min="3586" max="3586" width="9.7109375" style="244" customWidth="1"/>
    <col min="3587" max="3587" width="4.7109375" style="244" customWidth="1"/>
    <col min="3588" max="3588" width="14.42578125" style="244" customWidth="1"/>
    <col min="3589" max="3589" width="11.140625" style="244" customWidth="1"/>
    <col min="3590" max="3590" width="10.28515625" style="244" customWidth="1"/>
    <col min="3591" max="3591" width="13" style="244" customWidth="1"/>
    <col min="3592" max="3592" width="8.28515625" style="244" customWidth="1"/>
    <col min="3593" max="3838" width="10" style="244"/>
    <col min="3839" max="3839" width="2.5703125" style="244" customWidth="1"/>
    <col min="3840" max="3840" width="7.140625" style="244" customWidth="1"/>
    <col min="3841" max="3841" width="27.7109375" style="244" customWidth="1"/>
    <col min="3842" max="3842" width="9.7109375" style="244" customWidth="1"/>
    <col min="3843" max="3843" width="4.7109375" style="244" customWidth="1"/>
    <col min="3844" max="3844" width="14.42578125" style="244" customWidth="1"/>
    <col min="3845" max="3845" width="11.140625" style="244" customWidth="1"/>
    <col min="3846" max="3846" width="10.28515625" style="244" customWidth="1"/>
    <col min="3847" max="3847" width="13" style="244" customWidth="1"/>
    <col min="3848" max="3848" width="8.28515625" style="244" customWidth="1"/>
    <col min="3849" max="4094" width="9.140625" style="244"/>
    <col min="4095" max="4095" width="2.5703125" style="244" customWidth="1"/>
    <col min="4096" max="4096" width="7.140625" style="244" customWidth="1"/>
    <col min="4097" max="4097" width="27.7109375" style="244" customWidth="1"/>
    <col min="4098" max="4098" width="9.7109375" style="244" customWidth="1"/>
    <col min="4099" max="4099" width="4.7109375" style="244" customWidth="1"/>
    <col min="4100" max="4100" width="14.42578125" style="244" customWidth="1"/>
    <col min="4101" max="4101" width="11.140625" style="244" customWidth="1"/>
    <col min="4102" max="4102" width="10.28515625" style="244" customWidth="1"/>
    <col min="4103" max="4103" width="13" style="244" customWidth="1"/>
    <col min="4104" max="4104" width="8.28515625" style="244" customWidth="1"/>
    <col min="4105" max="4350" width="10" style="244"/>
    <col min="4351" max="4351" width="2.5703125" style="244" customWidth="1"/>
    <col min="4352" max="4352" width="7.140625" style="244" customWidth="1"/>
    <col min="4353" max="4353" width="27.7109375" style="244" customWidth="1"/>
    <col min="4354" max="4354" width="9.7109375" style="244" customWidth="1"/>
    <col min="4355" max="4355" width="4.7109375" style="244" customWidth="1"/>
    <col min="4356" max="4356" width="14.42578125" style="244" customWidth="1"/>
    <col min="4357" max="4357" width="11.140625" style="244" customWidth="1"/>
    <col min="4358" max="4358" width="10.28515625" style="244" customWidth="1"/>
    <col min="4359" max="4359" width="13" style="244" customWidth="1"/>
    <col min="4360" max="4360" width="8.28515625" style="244" customWidth="1"/>
    <col min="4361" max="4606" width="10" style="244"/>
    <col min="4607" max="4607" width="2.5703125" style="244" customWidth="1"/>
    <col min="4608" max="4608" width="7.140625" style="244" customWidth="1"/>
    <col min="4609" max="4609" width="27.7109375" style="244" customWidth="1"/>
    <col min="4610" max="4610" width="9.7109375" style="244" customWidth="1"/>
    <col min="4611" max="4611" width="4.7109375" style="244" customWidth="1"/>
    <col min="4612" max="4612" width="14.42578125" style="244" customWidth="1"/>
    <col min="4613" max="4613" width="11.140625" style="244" customWidth="1"/>
    <col min="4614" max="4614" width="10.28515625" style="244" customWidth="1"/>
    <col min="4615" max="4615" width="13" style="244" customWidth="1"/>
    <col min="4616" max="4616" width="8.28515625" style="244" customWidth="1"/>
    <col min="4617" max="4862" width="10" style="244"/>
    <col min="4863" max="4863" width="2.5703125" style="244" customWidth="1"/>
    <col min="4864" max="4864" width="7.140625" style="244" customWidth="1"/>
    <col min="4865" max="4865" width="27.7109375" style="244" customWidth="1"/>
    <col min="4866" max="4866" width="9.7109375" style="244" customWidth="1"/>
    <col min="4867" max="4867" width="4.7109375" style="244" customWidth="1"/>
    <col min="4868" max="4868" width="14.42578125" style="244" customWidth="1"/>
    <col min="4869" max="4869" width="11.140625" style="244" customWidth="1"/>
    <col min="4870" max="4870" width="10.28515625" style="244" customWidth="1"/>
    <col min="4871" max="4871" width="13" style="244" customWidth="1"/>
    <col min="4872" max="4872" width="8.28515625" style="244" customWidth="1"/>
    <col min="4873" max="5118" width="9.140625" style="244"/>
    <col min="5119" max="5119" width="2.5703125" style="244" customWidth="1"/>
    <col min="5120" max="5120" width="7.140625" style="244" customWidth="1"/>
    <col min="5121" max="5121" width="27.7109375" style="244" customWidth="1"/>
    <col min="5122" max="5122" width="9.7109375" style="244" customWidth="1"/>
    <col min="5123" max="5123" width="4.7109375" style="244" customWidth="1"/>
    <col min="5124" max="5124" width="14.42578125" style="244" customWidth="1"/>
    <col min="5125" max="5125" width="11.140625" style="244" customWidth="1"/>
    <col min="5126" max="5126" width="10.28515625" style="244" customWidth="1"/>
    <col min="5127" max="5127" width="13" style="244" customWidth="1"/>
    <col min="5128" max="5128" width="8.28515625" style="244" customWidth="1"/>
    <col min="5129" max="5374" width="10" style="244"/>
    <col min="5375" max="5375" width="2.5703125" style="244" customWidth="1"/>
    <col min="5376" max="5376" width="7.140625" style="244" customWidth="1"/>
    <col min="5377" max="5377" width="27.7109375" style="244" customWidth="1"/>
    <col min="5378" max="5378" width="9.7109375" style="244" customWidth="1"/>
    <col min="5379" max="5379" width="4.7109375" style="244" customWidth="1"/>
    <col min="5380" max="5380" width="14.42578125" style="244" customWidth="1"/>
    <col min="5381" max="5381" width="11.140625" style="244" customWidth="1"/>
    <col min="5382" max="5382" width="10.28515625" style="244" customWidth="1"/>
    <col min="5383" max="5383" width="13" style="244" customWidth="1"/>
    <col min="5384" max="5384" width="8.28515625" style="244" customWidth="1"/>
    <col min="5385" max="5630" width="10" style="244"/>
    <col min="5631" max="5631" width="2.5703125" style="244" customWidth="1"/>
    <col min="5632" max="5632" width="7.140625" style="244" customWidth="1"/>
    <col min="5633" max="5633" width="27.7109375" style="244" customWidth="1"/>
    <col min="5634" max="5634" width="9.7109375" style="244" customWidth="1"/>
    <col min="5635" max="5635" width="4.7109375" style="244" customWidth="1"/>
    <col min="5636" max="5636" width="14.42578125" style="244" customWidth="1"/>
    <col min="5637" max="5637" width="11.140625" style="244" customWidth="1"/>
    <col min="5638" max="5638" width="10.28515625" style="244" customWidth="1"/>
    <col min="5639" max="5639" width="13" style="244" customWidth="1"/>
    <col min="5640" max="5640" width="8.28515625" style="244" customWidth="1"/>
    <col min="5641" max="5886" width="10" style="244"/>
    <col min="5887" max="5887" width="2.5703125" style="244" customWidth="1"/>
    <col min="5888" max="5888" width="7.140625" style="244" customWidth="1"/>
    <col min="5889" max="5889" width="27.7109375" style="244" customWidth="1"/>
    <col min="5890" max="5890" width="9.7109375" style="244" customWidth="1"/>
    <col min="5891" max="5891" width="4.7109375" style="244" customWidth="1"/>
    <col min="5892" max="5892" width="14.42578125" style="244" customWidth="1"/>
    <col min="5893" max="5893" width="11.140625" style="244" customWidth="1"/>
    <col min="5894" max="5894" width="10.28515625" style="244" customWidth="1"/>
    <col min="5895" max="5895" width="13" style="244" customWidth="1"/>
    <col min="5896" max="5896" width="8.28515625" style="244" customWidth="1"/>
    <col min="5897" max="6142" width="9.140625" style="244"/>
    <col min="6143" max="6143" width="2.5703125" style="244" customWidth="1"/>
    <col min="6144" max="6144" width="7.140625" style="244" customWidth="1"/>
    <col min="6145" max="6145" width="27.7109375" style="244" customWidth="1"/>
    <col min="6146" max="6146" width="9.7109375" style="244" customWidth="1"/>
    <col min="6147" max="6147" width="4.7109375" style="244" customWidth="1"/>
    <col min="6148" max="6148" width="14.42578125" style="244" customWidth="1"/>
    <col min="6149" max="6149" width="11.140625" style="244" customWidth="1"/>
    <col min="6150" max="6150" width="10.28515625" style="244" customWidth="1"/>
    <col min="6151" max="6151" width="13" style="244" customWidth="1"/>
    <col min="6152" max="6152" width="8.28515625" style="244" customWidth="1"/>
    <col min="6153" max="6398" width="10" style="244"/>
    <col min="6399" max="6399" width="2.5703125" style="244" customWidth="1"/>
    <col min="6400" max="6400" width="7.140625" style="244" customWidth="1"/>
    <col min="6401" max="6401" width="27.7109375" style="244" customWidth="1"/>
    <col min="6402" max="6402" width="9.7109375" style="244" customWidth="1"/>
    <col min="6403" max="6403" width="4.7109375" style="244" customWidth="1"/>
    <col min="6404" max="6404" width="14.42578125" style="244" customWidth="1"/>
    <col min="6405" max="6405" width="11.140625" style="244" customWidth="1"/>
    <col min="6406" max="6406" width="10.28515625" style="244" customWidth="1"/>
    <col min="6407" max="6407" width="13" style="244" customWidth="1"/>
    <col min="6408" max="6408" width="8.28515625" style="244" customWidth="1"/>
    <col min="6409" max="6654" width="10" style="244"/>
    <col min="6655" max="6655" width="2.5703125" style="244" customWidth="1"/>
    <col min="6656" max="6656" width="7.140625" style="244" customWidth="1"/>
    <col min="6657" max="6657" width="27.7109375" style="244" customWidth="1"/>
    <col min="6658" max="6658" width="9.7109375" style="244" customWidth="1"/>
    <col min="6659" max="6659" width="4.7109375" style="244" customWidth="1"/>
    <col min="6660" max="6660" width="14.42578125" style="244" customWidth="1"/>
    <col min="6661" max="6661" width="11.140625" style="244" customWidth="1"/>
    <col min="6662" max="6662" width="10.28515625" style="244" customWidth="1"/>
    <col min="6663" max="6663" width="13" style="244" customWidth="1"/>
    <col min="6664" max="6664" width="8.28515625" style="244" customWidth="1"/>
    <col min="6665" max="6910" width="10" style="244"/>
    <col min="6911" max="6911" width="2.5703125" style="244" customWidth="1"/>
    <col min="6912" max="6912" width="7.140625" style="244" customWidth="1"/>
    <col min="6913" max="6913" width="27.7109375" style="244" customWidth="1"/>
    <col min="6914" max="6914" width="9.7109375" style="244" customWidth="1"/>
    <col min="6915" max="6915" width="4.7109375" style="244" customWidth="1"/>
    <col min="6916" max="6916" width="14.42578125" style="244" customWidth="1"/>
    <col min="6917" max="6917" width="11.140625" style="244" customWidth="1"/>
    <col min="6918" max="6918" width="10.28515625" style="244" customWidth="1"/>
    <col min="6919" max="6919" width="13" style="244" customWidth="1"/>
    <col min="6920" max="6920" width="8.28515625" style="244" customWidth="1"/>
    <col min="6921" max="7166" width="9.140625" style="244"/>
    <col min="7167" max="7167" width="2.5703125" style="244" customWidth="1"/>
    <col min="7168" max="7168" width="7.140625" style="244" customWidth="1"/>
    <col min="7169" max="7169" width="27.7109375" style="244" customWidth="1"/>
    <col min="7170" max="7170" width="9.7109375" style="244" customWidth="1"/>
    <col min="7171" max="7171" width="4.7109375" style="244" customWidth="1"/>
    <col min="7172" max="7172" width="14.42578125" style="244" customWidth="1"/>
    <col min="7173" max="7173" width="11.140625" style="244" customWidth="1"/>
    <col min="7174" max="7174" width="10.28515625" style="244" customWidth="1"/>
    <col min="7175" max="7175" width="13" style="244" customWidth="1"/>
    <col min="7176" max="7176" width="8.28515625" style="244" customWidth="1"/>
    <col min="7177" max="7422" width="10" style="244"/>
    <col min="7423" max="7423" width="2.5703125" style="244" customWidth="1"/>
    <col min="7424" max="7424" width="7.140625" style="244" customWidth="1"/>
    <col min="7425" max="7425" width="27.7109375" style="244" customWidth="1"/>
    <col min="7426" max="7426" width="9.7109375" style="244" customWidth="1"/>
    <col min="7427" max="7427" width="4.7109375" style="244" customWidth="1"/>
    <col min="7428" max="7428" width="14.42578125" style="244" customWidth="1"/>
    <col min="7429" max="7429" width="11.140625" style="244" customWidth="1"/>
    <col min="7430" max="7430" width="10.28515625" style="244" customWidth="1"/>
    <col min="7431" max="7431" width="13" style="244" customWidth="1"/>
    <col min="7432" max="7432" width="8.28515625" style="244" customWidth="1"/>
    <col min="7433" max="7678" width="10" style="244"/>
    <col min="7679" max="7679" width="2.5703125" style="244" customWidth="1"/>
    <col min="7680" max="7680" width="7.140625" style="244" customWidth="1"/>
    <col min="7681" max="7681" width="27.7109375" style="244" customWidth="1"/>
    <col min="7682" max="7682" width="9.7109375" style="244" customWidth="1"/>
    <col min="7683" max="7683" width="4.7109375" style="244" customWidth="1"/>
    <col min="7684" max="7684" width="14.42578125" style="244" customWidth="1"/>
    <col min="7685" max="7685" width="11.140625" style="244" customWidth="1"/>
    <col min="7686" max="7686" width="10.28515625" style="244" customWidth="1"/>
    <col min="7687" max="7687" width="13" style="244" customWidth="1"/>
    <col min="7688" max="7688" width="8.28515625" style="244" customWidth="1"/>
    <col min="7689" max="7934" width="10" style="244"/>
    <col min="7935" max="7935" width="2.5703125" style="244" customWidth="1"/>
    <col min="7936" max="7936" width="7.140625" style="244" customWidth="1"/>
    <col min="7937" max="7937" width="27.7109375" style="244" customWidth="1"/>
    <col min="7938" max="7938" width="9.7109375" style="244" customWidth="1"/>
    <col min="7939" max="7939" width="4.7109375" style="244" customWidth="1"/>
    <col min="7940" max="7940" width="14.42578125" style="244" customWidth="1"/>
    <col min="7941" max="7941" width="11.140625" style="244" customWidth="1"/>
    <col min="7942" max="7942" width="10.28515625" style="244" customWidth="1"/>
    <col min="7943" max="7943" width="13" style="244" customWidth="1"/>
    <col min="7944" max="7944" width="8.28515625" style="244" customWidth="1"/>
    <col min="7945" max="8190" width="9.140625" style="244"/>
    <col min="8191" max="8191" width="2.5703125" style="244" customWidth="1"/>
    <col min="8192" max="8192" width="7.140625" style="244" customWidth="1"/>
    <col min="8193" max="8193" width="27.7109375" style="244" customWidth="1"/>
    <col min="8194" max="8194" width="9.7109375" style="244" customWidth="1"/>
    <col min="8195" max="8195" width="4.7109375" style="244" customWidth="1"/>
    <col min="8196" max="8196" width="14.42578125" style="244" customWidth="1"/>
    <col min="8197" max="8197" width="11.140625" style="244" customWidth="1"/>
    <col min="8198" max="8198" width="10.28515625" style="244" customWidth="1"/>
    <col min="8199" max="8199" width="13" style="244" customWidth="1"/>
    <col min="8200" max="8200" width="8.28515625" style="244" customWidth="1"/>
    <col min="8201" max="8446" width="10" style="244"/>
    <col min="8447" max="8447" width="2.5703125" style="244" customWidth="1"/>
    <col min="8448" max="8448" width="7.140625" style="244" customWidth="1"/>
    <col min="8449" max="8449" width="27.7109375" style="244" customWidth="1"/>
    <col min="8450" max="8450" width="9.7109375" style="244" customWidth="1"/>
    <col min="8451" max="8451" width="4.7109375" style="244" customWidth="1"/>
    <col min="8452" max="8452" width="14.42578125" style="244" customWidth="1"/>
    <col min="8453" max="8453" width="11.140625" style="244" customWidth="1"/>
    <col min="8454" max="8454" width="10.28515625" style="244" customWidth="1"/>
    <col min="8455" max="8455" width="13" style="244" customWidth="1"/>
    <col min="8456" max="8456" width="8.28515625" style="244" customWidth="1"/>
    <col min="8457" max="8702" width="10" style="244"/>
    <col min="8703" max="8703" width="2.5703125" style="244" customWidth="1"/>
    <col min="8704" max="8704" width="7.140625" style="244" customWidth="1"/>
    <col min="8705" max="8705" width="27.7109375" style="244" customWidth="1"/>
    <col min="8706" max="8706" width="9.7109375" style="244" customWidth="1"/>
    <col min="8707" max="8707" width="4.7109375" style="244" customWidth="1"/>
    <col min="8708" max="8708" width="14.42578125" style="244" customWidth="1"/>
    <col min="8709" max="8709" width="11.140625" style="244" customWidth="1"/>
    <col min="8710" max="8710" width="10.28515625" style="244" customWidth="1"/>
    <col min="8711" max="8711" width="13" style="244" customWidth="1"/>
    <col min="8712" max="8712" width="8.28515625" style="244" customWidth="1"/>
    <col min="8713" max="8958" width="10" style="244"/>
    <col min="8959" max="8959" width="2.5703125" style="244" customWidth="1"/>
    <col min="8960" max="8960" width="7.140625" style="244" customWidth="1"/>
    <col min="8961" max="8961" width="27.7109375" style="244" customWidth="1"/>
    <col min="8962" max="8962" width="9.7109375" style="244" customWidth="1"/>
    <col min="8963" max="8963" width="4.7109375" style="244" customWidth="1"/>
    <col min="8964" max="8964" width="14.42578125" style="244" customWidth="1"/>
    <col min="8965" max="8965" width="11.140625" style="244" customWidth="1"/>
    <col min="8966" max="8966" width="10.28515625" style="244" customWidth="1"/>
    <col min="8967" max="8967" width="13" style="244" customWidth="1"/>
    <col min="8968" max="8968" width="8.28515625" style="244" customWidth="1"/>
    <col min="8969" max="9214" width="9.140625" style="244"/>
    <col min="9215" max="9215" width="2.5703125" style="244" customWidth="1"/>
    <col min="9216" max="9216" width="7.140625" style="244" customWidth="1"/>
    <col min="9217" max="9217" width="27.7109375" style="244" customWidth="1"/>
    <col min="9218" max="9218" width="9.7109375" style="244" customWidth="1"/>
    <col min="9219" max="9219" width="4.7109375" style="244" customWidth="1"/>
    <col min="9220" max="9220" width="14.42578125" style="244" customWidth="1"/>
    <col min="9221" max="9221" width="11.140625" style="244" customWidth="1"/>
    <col min="9222" max="9222" width="10.28515625" style="244" customWidth="1"/>
    <col min="9223" max="9223" width="13" style="244" customWidth="1"/>
    <col min="9224" max="9224" width="8.28515625" style="244" customWidth="1"/>
    <col min="9225" max="9470" width="10" style="244"/>
    <col min="9471" max="9471" width="2.5703125" style="244" customWidth="1"/>
    <col min="9472" max="9472" width="7.140625" style="244" customWidth="1"/>
    <col min="9473" max="9473" width="27.7109375" style="244" customWidth="1"/>
    <col min="9474" max="9474" width="9.7109375" style="244" customWidth="1"/>
    <col min="9475" max="9475" width="4.7109375" style="244" customWidth="1"/>
    <col min="9476" max="9476" width="14.42578125" style="244" customWidth="1"/>
    <col min="9477" max="9477" width="11.140625" style="244" customWidth="1"/>
    <col min="9478" max="9478" width="10.28515625" style="244" customWidth="1"/>
    <col min="9479" max="9479" width="13" style="244" customWidth="1"/>
    <col min="9480" max="9480" width="8.28515625" style="244" customWidth="1"/>
    <col min="9481" max="9726" width="10" style="244"/>
    <col min="9727" max="9727" width="2.5703125" style="244" customWidth="1"/>
    <col min="9728" max="9728" width="7.140625" style="244" customWidth="1"/>
    <col min="9729" max="9729" width="27.7109375" style="244" customWidth="1"/>
    <col min="9730" max="9730" width="9.7109375" style="244" customWidth="1"/>
    <col min="9731" max="9731" width="4.7109375" style="244" customWidth="1"/>
    <col min="9732" max="9732" width="14.42578125" style="244" customWidth="1"/>
    <col min="9733" max="9733" width="11.140625" style="244" customWidth="1"/>
    <col min="9734" max="9734" width="10.28515625" style="244" customWidth="1"/>
    <col min="9735" max="9735" width="13" style="244" customWidth="1"/>
    <col min="9736" max="9736" width="8.28515625" style="244" customWidth="1"/>
    <col min="9737" max="9982" width="10" style="244"/>
    <col min="9983" max="9983" width="2.5703125" style="244" customWidth="1"/>
    <col min="9984" max="9984" width="7.140625" style="244" customWidth="1"/>
    <col min="9985" max="9985" width="27.7109375" style="244" customWidth="1"/>
    <col min="9986" max="9986" width="9.7109375" style="244" customWidth="1"/>
    <col min="9987" max="9987" width="4.7109375" style="244" customWidth="1"/>
    <col min="9988" max="9988" width="14.42578125" style="244" customWidth="1"/>
    <col min="9989" max="9989" width="11.140625" style="244" customWidth="1"/>
    <col min="9990" max="9990" width="10.28515625" style="244" customWidth="1"/>
    <col min="9991" max="9991" width="13" style="244" customWidth="1"/>
    <col min="9992" max="9992" width="8.28515625" style="244" customWidth="1"/>
    <col min="9993" max="10238" width="9.140625" style="244"/>
    <col min="10239" max="10239" width="2.5703125" style="244" customWidth="1"/>
    <col min="10240" max="10240" width="7.140625" style="244" customWidth="1"/>
    <col min="10241" max="10241" width="27.7109375" style="244" customWidth="1"/>
    <col min="10242" max="10242" width="9.7109375" style="244" customWidth="1"/>
    <col min="10243" max="10243" width="4.7109375" style="244" customWidth="1"/>
    <col min="10244" max="10244" width="14.42578125" style="244" customWidth="1"/>
    <col min="10245" max="10245" width="11.140625" style="244" customWidth="1"/>
    <col min="10246" max="10246" width="10.28515625" style="244" customWidth="1"/>
    <col min="10247" max="10247" width="13" style="244" customWidth="1"/>
    <col min="10248" max="10248" width="8.28515625" style="244" customWidth="1"/>
    <col min="10249" max="10494" width="10" style="244"/>
    <col min="10495" max="10495" width="2.5703125" style="244" customWidth="1"/>
    <col min="10496" max="10496" width="7.140625" style="244" customWidth="1"/>
    <col min="10497" max="10497" width="27.7109375" style="244" customWidth="1"/>
    <col min="10498" max="10498" width="9.7109375" style="244" customWidth="1"/>
    <col min="10499" max="10499" width="4.7109375" style="244" customWidth="1"/>
    <col min="10500" max="10500" width="14.42578125" style="244" customWidth="1"/>
    <col min="10501" max="10501" width="11.140625" style="244" customWidth="1"/>
    <col min="10502" max="10502" width="10.28515625" style="244" customWidth="1"/>
    <col min="10503" max="10503" width="13" style="244" customWidth="1"/>
    <col min="10504" max="10504" width="8.28515625" style="244" customWidth="1"/>
    <col min="10505" max="10750" width="10" style="244"/>
    <col min="10751" max="10751" width="2.5703125" style="244" customWidth="1"/>
    <col min="10752" max="10752" width="7.140625" style="244" customWidth="1"/>
    <col min="10753" max="10753" width="27.7109375" style="244" customWidth="1"/>
    <col min="10754" max="10754" width="9.7109375" style="244" customWidth="1"/>
    <col min="10755" max="10755" width="4.7109375" style="244" customWidth="1"/>
    <col min="10756" max="10756" width="14.42578125" style="244" customWidth="1"/>
    <col min="10757" max="10757" width="11.140625" style="244" customWidth="1"/>
    <col min="10758" max="10758" width="10.28515625" style="244" customWidth="1"/>
    <col min="10759" max="10759" width="13" style="244" customWidth="1"/>
    <col min="10760" max="10760" width="8.28515625" style="244" customWidth="1"/>
    <col min="10761" max="11006" width="10" style="244"/>
    <col min="11007" max="11007" width="2.5703125" style="244" customWidth="1"/>
    <col min="11008" max="11008" width="7.140625" style="244" customWidth="1"/>
    <col min="11009" max="11009" width="27.7109375" style="244" customWidth="1"/>
    <col min="11010" max="11010" width="9.7109375" style="244" customWidth="1"/>
    <col min="11011" max="11011" width="4.7109375" style="244" customWidth="1"/>
    <col min="11012" max="11012" width="14.42578125" style="244" customWidth="1"/>
    <col min="11013" max="11013" width="11.140625" style="244" customWidth="1"/>
    <col min="11014" max="11014" width="10.28515625" style="244" customWidth="1"/>
    <col min="11015" max="11015" width="13" style="244" customWidth="1"/>
    <col min="11016" max="11016" width="8.28515625" style="244" customWidth="1"/>
    <col min="11017" max="11262" width="9.140625" style="244"/>
    <col min="11263" max="11263" width="2.5703125" style="244" customWidth="1"/>
    <col min="11264" max="11264" width="7.140625" style="244" customWidth="1"/>
    <col min="11265" max="11265" width="27.7109375" style="244" customWidth="1"/>
    <col min="11266" max="11266" width="9.7109375" style="244" customWidth="1"/>
    <col min="11267" max="11267" width="4.7109375" style="244" customWidth="1"/>
    <col min="11268" max="11268" width="14.42578125" style="244" customWidth="1"/>
    <col min="11269" max="11269" width="11.140625" style="244" customWidth="1"/>
    <col min="11270" max="11270" width="10.28515625" style="244" customWidth="1"/>
    <col min="11271" max="11271" width="13" style="244" customWidth="1"/>
    <col min="11272" max="11272" width="8.28515625" style="244" customWidth="1"/>
    <col min="11273" max="11518" width="10" style="244"/>
    <col min="11519" max="11519" width="2.5703125" style="244" customWidth="1"/>
    <col min="11520" max="11520" width="7.140625" style="244" customWidth="1"/>
    <col min="11521" max="11521" width="27.7109375" style="244" customWidth="1"/>
    <col min="11522" max="11522" width="9.7109375" style="244" customWidth="1"/>
    <col min="11523" max="11523" width="4.7109375" style="244" customWidth="1"/>
    <col min="11524" max="11524" width="14.42578125" style="244" customWidth="1"/>
    <col min="11525" max="11525" width="11.140625" style="244" customWidth="1"/>
    <col min="11526" max="11526" width="10.28515625" style="244" customWidth="1"/>
    <col min="11527" max="11527" width="13" style="244" customWidth="1"/>
    <col min="11528" max="11528" width="8.28515625" style="244" customWidth="1"/>
    <col min="11529" max="11774" width="10" style="244"/>
    <col min="11775" max="11775" width="2.5703125" style="244" customWidth="1"/>
    <col min="11776" max="11776" width="7.140625" style="244" customWidth="1"/>
    <col min="11777" max="11777" width="27.7109375" style="244" customWidth="1"/>
    <col min="11778" max="11778" width="9.7109375" style="244" customWidth="1"/>
    <col min="11779" max="11779" width="4.7109375" style="244" customWidth="1"/>
    <col min="11780" max="11780" width="14.42578125" style="244" customWidth="1"/>
    <col min="11781" max="11781" width="11.140625" style="244" customWidth="1"/>
    <col min="11782" max="11782" width="10.28515625" style="244" customWidth="1"/>
    <col min="11783" max="11783" width="13" style="244" customWidth="1"/>
    <col min="11784" max="11784" width="8.28515625" style="244" customWidth="1"/>
    <col min="11785" max="12030" width="10" style="244"/>
    <col min="12031" max="12031" width="2.5703125" style="244" customWidth="1"/>
    <col min="12032" max="12032" width="7.140625" style="244" customWidth="1"/>
    <col min="12033" max="12033" width="27.7109375" style="244" customWidth="1"/>
    <col min="12034" max="12034" width="9.7109375" style="244" customWidth="1"/>
    <col min="12035" max="12035" width="4.7109375" style="244" customWidth="1"/>
    <col min="12036" max="12036" width="14.42578125" style="244" customWidth="1"/>
    <col min="12037" max="12037" width="11.140625" style="244" customWidth="1"/>
    <col min="12038" max="12038" width="10.28515625" style="244" customWidth="1"/>
    <col min="12039" max="12039" width="13" style="244" customWidth="1"/>
    <col min="12040" max="12040" width="8.28515625" style="244" customWidth="1"/>
    <col min="12041" max="12286" width="9.140625" style="244"/>
    <col min="12287" max="12287" width="2.5703125" style="244" customWidth="1"/>
    <col min="12288" max="12288" width="7.140625" style="244" customWidth="1"/>
    <col min="12289" max="12289" width="27.7109375" style="244" customWidth="1"/>
    <col min="12290" max="12290" width="9.7109375" style="244" customWidth="1"/>
    <col min="12291" max="12291" width="4.7109375" style="244" customWidth="1"/>
    <col min="12292" max="12292" width="14.42578125" style="244" customWidth="1"/>
    <col min="12293" max="12293" width="11.140625" style="244" customWidth="1"/>
    <col min="12294" max="12294" width="10.28515625" style="244" customWidth="1"/>
    <col min="12295" max="12295" width="13" style="244" customWidth="1"/>
    <col min="12296" max="12296" width="8.28515625" style="244" customWidth="1"/>
    <col min="12297" max="12542" width="10" style="244"/>
    <col min="12543" max="12543" width="2.5703125" style="244" customWidth="1"/>
    <col min="12544" max="12544" width="7.140625" style="244" customWidth="1"/>
    <col min="12545" max="12545" width="27.7109375" style="244" customWidth="1"/>
    <col min="12546" max="12546" width="9.7109375" style="244" customWidth="1"/>
    <col min="12547" max="12547" width="4.7109375" style="244" customWidth="1"/>
    <col min="12548" max="12548" width="14.42578125" style="244" customWidth="1"/>
    <col min="12549" max="12549" width="11.140625" style="244" customWidth="1"/>
    <col min="12550" max="12550" width="10.28515625" style="244" customWidth="1"/>
    <col min="12551" max="12551" width="13" style="244" customWidth="1"/>
    <col min="12552" max="12552" width="8.28515625" style="244" customWidth="1"/>
    <col min="12553" max="12798" width="10" style="244"/>
    <col min="12799" max="12799" width="2.5703125" style="244" customWidth="1"/>
    <col min="12800" max="12800" width="7.140625" style="244" customWidth="1"/>
    <col min="12801" max="12801" width="27.7109375" style="244" customWidth="1"/>
    <col min="12802" max="12802" width="9.7109375" style="244" customWidth="1"/>
    <col min="12803" max="12803" width="4.7109375" style="244" customWidth="1"/>
    <col min="12804" max="12804" width="14.42578125" style="244" customWidth="1"/>
    <col min="12805" max="12805" width="11.140625" style="244" customWidth="1"/>
    <col min="12806" max="12806" width="10.28515625" style="244" customWidth="1"/>
    <col min="12807" max="12807" width="13" style="244" customWidth="1"/>
    <col min="12808" max="12808" width="8.28515625" style="244" customWidth="1"/>
    <col min="12809" max="13054" width="10" style="244"/>
    <col min="13055" max="13055" width="2.5703125" style="244" customWidth="1"/>
    <col min="13056" max="13056" width="7.140625" style="244" customWidth="1"/>
    <col min="13057" max="13057" width="27.7109375" style="244" customWidth="1"/>
    <col min="13058" max="13058" width="9.7109375" style="244" customWidth="1"/>
    <col min="13059" max="13059" width="4.7109375" style="244" customWidth="1"/>
    <col min="13060" max="13060" width="14.42578125" style="244" customWidth="1"/>
    <col min="13061" max="13061" width="11.140625" style="244" customWidth="1"/>
    <col min="13062" max="13062" width="10.28515625" style="244" customWidth="1"/>
    <col min="13063" max="13063" width="13" style="244" customWidth="1"/>
    <col min="13064" max="13064" width="8.28515625" style="244" customWidth="1"/>
    <col min="13065" max="13310" width="9.140625" style="244"/>
    <col min="13311" max="13311" width="2.5703125" style="244" customWidth="1"/>
    <col min="13312" max="13312" width="7.140625" style="244" customWidth="1"/>
    <col min="13313" max="13313" width="27.7109375" style="244" customWidth="1"/>
    <col min="13314" max="13314" width="9.7109375" style="244" customWidth="1"/>
    <col min="13315" max="13315" width="4.7109375" style="244" customWidth="1"/>
    <col min="13316" max="13316" width="14.42578125" style="244" customWidth="1"/>
    <col min="13317" max="13317" width="11.140625" style="244" customWidth="1"/>
    <col min="13318" max="13318" width="10.28515625" style="244" customWidth="1"/>
    <col min="13319" max="13319" width="13" style="244" customWidth="1"/>
    <col min="13320" max="13320" width="8.28515625" style="244" customWidth="1"/>
    <col min="13321" max="13566" width="10" style="244"/>
    <col min="13567" max="13567" width="2.5703125" style="244" customWidth="1"/>
    <col min="13568" max="13568" width="7.140625" style="244" customWidth="1"/>
    <col min="13569" max="13569" width="27.7109375" style="244" customWidth="1"/>
    <col min="13570" max="13570" width="9.7109375" style="244" customWidth="1"/>
    <col min="13571" max="13571" width="4.7109375" style="244" customWidth="1"/>
    <col min="13572" max="13572" width="14.42578125" style="244" customWidth="1"/>
    <col min="13573" max="13573" width="11.140625" style="244" customWidth="1"/>
    <col min="13574" max="13574" width="10.28515625" style="244" customWidth="1"/>
    <col min="13575" max="13575" width="13" style="244" customWidth="1"/>
    <col min="13576" max="13576" width="8.28515625" style="244" customWidth="1"/>
    <col min="13577" max="13822" width="10" style="244"/>
    <col min="13823" max="13823" width="2.5703125" style="244" customWidth="1"/>
    <col min="13824" max="13824" width="7.140625" style="244" customWidth="1"/>
    <col min="13825" max="13825" width="27.7109375" style="244" customWidth="1"/>
    <col min="13826" max="13826" width="9.7109375" style="244" customWidth="1"/>
    <col min="13827" max="13827" width="4.7109375" style="244" customWidth="1"/>
    <col min="13828" max="13828" width="14.42578125" style="244" customWidth="1"/>
    <col min="13829" max="13829" width="11.140625" style="244" customWidth="1"/>
    <col min="13830" max="13830" width="10.28515625" style="244" customWidth="1"/>
    <col min="13831" max="13831" width="13" style="244" customWidth="1"/>
    <col min="13832" max="13832" width="8.28515625" style="244" customWidth="1"/>
    <col min="13833" max="14078" width="10" style="244"/>
    <col min="14079" max="14079" width="2.5703125" style="244" customWidth="1"/>
    <col min="14080" max="14080" width="7.140625" style="244" customWidth="1"/>
    <col min="14081" max="14081" width="27.7109375" style="244" customWidth="1"/>
    <col min="14082" max="14082" width="9.7109375" style="244" customWidth="1"/>
    <col min="14083" max="14083" width="4.7109375" style="244" customWidth="1"/>
    <col min="14084" max="14084" width="14.42578125" style="244" customWidth="1"/>
    <col min="14085" max="14085" width="11.140625" style="244" customWidth="1"/>
    <col min="14086" max="14086" width="10.28515625" style="244" customWidth="1"/>
    <col min="14087" max="14087" width="13" style="244" customWidth="1"/>
    <col min="14088" max="14088" width="8.28515625" style="244" customWidth="1"/>
    <col min="14089" max="14334" width="9.140625" style="244"/>
    <col min="14335" max="14335" width="2.5703125" style="244" customWidth="1"/>
    <col min="14336" max="14336" width="7.140625" style="244" customWidth="1"/>
    <col min="14337" max="14337" width="27.7109375" style="244" customWidth="1"/>
    <col min="14338" max="14338" width="9.7109375" style="244" customWidth="1"/>
    <col min="14339" max="14339" width="4.7109375" style="244" customWidth="1"/>
    <col min="14340" max="14340" width="14.42578125" style="244" customWidth="1"/>
    <col min="14341" max="14341" width="11.140625" style="244" customWidth="1"/>
    <col min="14342" max="14342" width="10.28515625" style="244" customWidth="1"/>
    <col min="14343" max="14343" width="13" style="244" customWidth="1"/>
    <col min="14344" max="14344" width="8.28515625" style="244" customWidth="1"/>
    <col min="14345" max="14590" width="10" style="244"/>
    <col min="14591" max="14591" width="2.5703125" style="244" customWidth="1"/>
    <col min="14592" max="14592" width="7.140625" style="244" customWidth="1"/>
    <col min="14593" max="14593" width="27.7109375" style="244" customWidth="1"/>
    <col min="14594" max="14594" width="9.7109375" style="244" customWidth="1"/>
    <col min="14595" max="14595" width="4.7109375" style="244" customWidth="1"/>
    <col min="14596" max="14596" width="14.42578125" style="244" customWidth="1"/>
    <col min="14597" max="14597" width="11.140625" style="244" customWidth="1"/>
    <col min="14598" max="14598" width="10.28515625" style="244" customWidth="1"/>
    <col min="14599" max="14599" width="13" style="244" customWidth="1"/>
    <col min="14600" max="14600" width="8.28515625" style="244" customWidth="1"/>
    <col min="14601" max="14846" width="10" style="244"/>
    <col min="14847" max="14847" width="2.5703125" style="244" customWidth="1"/>
    <col min="14848" max="14848" width="7.140625" style="244" customWidth="1"/>
    <col min="14849" max="14849" width="27.7109375" style="244" customWidth="1"/>
    <col min="14850" max="14850" width="9.7109375" style="244" customWidth="1"/>
    <col min="14851" max="14851" width="4.7109375" style="244" customWidth="1"/>
    <col min="14852" max="14852" width="14.42578125" style="244" customWidth="1"/>
    <col min="14853" max="14853" width="11.140625" style="244" customWidth="1"/>
    <col min="14854" max="14854" width="10.28515625" style="244" customWidth="1"/>
    <col min="14855" max="14855" width="13" style="244" customWidth="1"/>
    <col min="14856" max="14856" width="8.28515625" style="244" customWidth="1"/>
    <col min="14857" max="15102" width="10" style="244"/>
    <col min="15103" max="15103" width="2.5703125" style="244" customWidth="1"/>
    <col min="15104" max="15104" width="7.140625" style="244" customWidth="1"/>
    <col min="15105" max="15105" width="27.7109375" style="244" customWidth="1"/>
    <col min="15106" max="15106" width="9.7109375" style="244" customWidth="1"/>
    <col min="15107" max="15107" width="4.7109375" style="244" customWidth="1"/>
    <col min="15108" max="15108" width="14.42578125" style="244" customWidth="1"/>
    <col min="15109" max="15109" width="11.140625" style="244" customWidth="1"/>
    <col min="15110" max="15110" width="10.28515625" style="244" customWidth="1"/>
    <col min="15111" max="15111" width="13" style="244" customWidth="1"/>
    <col min="15112" max="15112" width="8.28515625" style="244" customWidth="1"/>
    <col min="15113" max="15358" width="9.140625" style="244"/>
    <col min="15359" max="15359" width="2.5703125" style="244" customWidth="1"/>
    <col min="15360" max="15360" width="7.140625" style="244" customWidth="1"/>
    <col min="15361" max="15361" width="27.7109375" style="244" customWidth="1"/>
    <col min="15362" max="15362" width="9.7109375" style="244" customWidth="1"/>
    <col min="15363" max="15363" width="4.7109375" style="244" customWidth="1"/>
    <col min="15364" max="15364" width="14.42578125" style="244" customWidth="1"/>
    <col min="15365" max="15365" width="11.140625" style="244" customWidth="1"/>
    <col min="15366" max="15366" width="10.28515625" style="244" customWidth="1"/>
    <col min="15367" max="15367" width="13" style="244" customWidth="1"/>
    <col min="15368" max="15368" width="8.28515625" style="244" customWidth="1"/>
    <col min="15369" max="15614" width="10" style="244"/>
    <col min="15615" max="15615" width="2.5703125" style="244" customWidth="1"/>
    <col min="15616" max="15616" width="7.140625" style="244" customWidth="1"/>
    <col min="15617" max="15617" width="27.7109375" style="244" customWidth="1"/>
    <col min="15618" max="15618" width="9.7109375" style="244" customWidth="1"/>
    <col min="15619" max="15619" width="4.7109375" style="244" customWidth="1"/>
    <col min="15620" max="15620" width="14.42578125" style="244" customWidth="1"/>
    <col min="15621" max="15621" width="11.140625" style="244" customWidth="1"/>
    <col min="15622" max="15622" width="10.28515625" style="244" customWidth="1"/>
    <col min="15623" max="15623" width="13" style="244" customWidth="1"/>
    <col min="15624" max="15624" width="8.28515625" style="244" customWidth="1"/>
    <col min="15625" max="15870" width="10" style="244"/>
    <col min="15871" max="15871" width="2.5703125" style="244" customWidth="1"/>
    <col min="15872" max="15872" width="7.140625" style="244" customWidth="1"/>
    <col min="15873" max="15873" width="27.7109375" style="244" customWidth="1"/>
    <col min="15874" max="15874" width="9.7109375" style="244" customWidth="1"/>
    <col min="15875" max="15875" width="4.7109375" style="244" customWidth="1"/>
    <col min="15876" max="15876" width="14.42578125" style="244" customWidth="1"/>
    <col min="15877" max="15877" width="11.140625" style="244" customWidth="1"/>
    <col min="15878" max="15878" width="10.28515625" style="244" customWidth="1"/>
    <col min="15879" max="15879" width="13" style="244" customWidth="1"/>
    <col min="15880" max="15880" width="8.28515625" style="244" customWidth="1"/>
    <col min="15881" max="16126" width="10" style="244"/>
    <col min="16127" max="16127" width="2.5703125" style="244" customWidth="1"/>
    <col min="16128" max="16128" width="7.140625" style="244" customWidth="1"/>
    <col min="16129" max="16129" width="27.7109375" style="244" customWidth="1"/>
    <col min="16130" max="16130" width="9.7109375" style="244" customWidth="1"/>
    <col min="16131" max="16131" width="4.7109375" style="244" customWidth="1"/>
    <col min="16132" max="16132" width="14.42578125" style="244" customWidth="1"/>
    <col min="16133" max="16133" width="11.140625" style="244" customWidth="1"/>
    <col min="16134" max="16134" width="10.28515625" style="244" customWidth="1"/>
    <col min="16135" max="16135" width="13" style="244" customWidth="1"/>
    <col min="16136" max="16136" width="8.28515625" style="244" customWidth="1"/>
    <col min="16137" max="16382" width="9.140625" style="244"/>
    <col min="16383" max="16384" width="9.140625" style="244" customWidth="1"/>
  </cols>
  <sheetData>
    <row r="1" spans="1:10">
      <c r="A1" s="17" t="str">
        <f>RevReqSummary!A1</f>
        <v>PacifiCorp General Rate Case UE-140617</v>
      </c>
      <c r="C1" s="241"/>
      <c r="F1" s="241"/>
      <c r="H1" s="525"/>
    </row>
    <row r="2" spans="1:10">
      <c r="A2" s="17" t="str">
        <f>RevReqSummary!A2</f>
        <v>For The Twelve Months Ended December 2013 - Staff Revenue Requirement</v>
      </c>
      <c r="C2" s="241"/>
      <c r="F2" s="241"/>
      <c r="H2" s="241"/>
    </row>
    <row r="3" spans="1:10">
      <c r="A3" s="248" t="s">
        <v>417</v>
      </c>
      <c r="C3" s="241"/>
      <c r="F3" s="241"/>
      <c r="H3" s="241"/>
    </row>
    <row r="4" spans="1:10">
      <c r="A4" s="248" t="s">
        <v>514</v>
      </c>
      <c r="C4" s="241"/>
      <c r="F4" s="241"/>
      <c r="H4" s="241"/>
    </row>
    <row r="5" spans="1:10">
      <c r="C5" s="241"/>
      <c r="F5" s="241"/>
      <c r="H5" s="241"/>
    </row>
    <row r="6" spans="1:10">
      <c r="B6" s="23"/>
      <c r="C6" s="23"/>
      <c r="D6" s="23" t="s">
        <v>131</v>
      </c>
      <c r="E6" s="23"/>
      <c r="F6" s="23"/>
      <c r="G6" s="23" t="s">
        <v>236</v>
      </c>
      <c r="H6" s="241"/>
    </row>
    <row r="7" spans="1:10">
      <c r="B7" s="26" t="s">
        <v>132</v>
      </c>
      <c r="C7" s="26" t="s">
        <v>660</v>
      </c>
      <c r="D7" s="26" t="s">
        <v>134</v>
      </c>
      <c r="E7" s="26" t="s">
        <v>135</v>
      </c>
      <c r="F7" s="26" t="s">
        <v>136</v>
      </c>
      <c r="G7" s="26" t="s">
        <v>137</v>
      </c>
      <c r="H7" s="517"/>
    </row>
    <row r="8" spans="1:10">
      <c r="A8" s="240" t="s">
        <v>199</v>
      </c>
      <c r="C8" s="241"/>
      <c r="F8" s="241"/>
      <c r="G8" s="529"/>
      <c r="H8" s="241"/>
    </row>
    <row r="9" spans="1:10">
      <c r="A9" s="244" t="s">
        <v>768</v>
      </c>
      <c r="B9" s="241">
        <v>456</v>
      </c>
      <c r="C9" s="241" t="s">
        <v>140</v>
      </c>
      <c r="D9" s="639">
        <v>-3000000</v>
      </c>
      <c r="E9" s="241" t="s">
        <v>141</v>
      </c>
      <c r="F9" s="528">
        <f>INDEX(WCAAllocations,IFERROR(MATCH(E9,WCAFactors,0),2),IFERROR(MATCH(E9,WCAStates,0),4))</f>
        <v>1</v>
      </c>
      <c r="G9" s="529">
        <f>+D9</f>
        <v>-3000000</v>
      </c>
      <c r="H9" s="241"/>
    </row>
    <row r="10" spans="1:10">
      <c r="C10" s="241"/>
      <c r="F10" s="528"/>
      <c r="G10" s="529"/>
      <c r="H10" s="241"/>
    </row>
    <row r="11" spans="1:10">
      <c r="A11" s="1121" t="s">
        <v>1023</v>
      </c>
      <c r="B11" s="241">
        <v>457</v>
      </c>
      <c r="C11" s="241" t="s">
        <v>398</v>
      </c>
      <c r="D11" s="639">
        <v>-1879965</v>
      </c>
      <c r="E11" s="1122" t="s">
        <v>141</v>
      </c>
      <c r="F11" s="1123" t="s">
        <v>142</v>
      </c>
      <c r="G11" s="1124">
        <f>D11</f>
        <v>-1879965</v>
      </c>
      <c r="H11" s="241"/>
      <c r="I11" s="37"/>
      <c r="J11" s="29"/>
    </row>
    <row r="12" spans="1:10">
      <c r="A12" s="1121" t="s">
        <v>1024</v>
      </c>
      <c r="B12" s="241">
        <v>458</v>
      </c>
      <c r="C12" s="241" t="s">
        <v>398</v>
      </c>
      <c r="D12" s="639">
        <v>836250</v>
      </c>
      <c r="E12" s="1125" t="s">
        <v>141</v>
      </c>
      <c r="F12" s="1126" t="s">
        <v>142</v>
      </c>
      <c r="G12" s="1127">
        <f>D12</f>
        <v>836250</v>
      </c>
      <c r="H12" s="241"/>
    </row>
    <row r="13" spans="1:10">
      <c r="A13" s="1128" t="s">
        <v>1025</v>
      </c>
      <c r="B13" s="241">
        <v>459</v>
      </c>
      <c r="C13" s="241" t="s">
        <v>398</v>
      </c>
      <c r="D13" s="639">
        <v>0</v>
      </c>
      <c r="E13" s="1125" t="s">
        <v>141</v>
      </c>
      <c r="F13" s="1126" t="s">
        <v>142</v>
      </c>
      <c r="G13" s="1127">
        <f>D13</f>
        <v>0</v>
      </c>
      <c r="H13" s="241"/>
    </row>
    <row r="14" spans="1:10">
      <c r="A14" s="1129" t="s">
        <v>1026</v>
      </c>
      <c r="B14" s="241">
        <v>460</v>
      </c>
      <c r="C14" s="241" t="s">
        <v>398</v>
      </c>
      <c r="D14" s="639">
        <v>-486471</v>
      </c>
      <c r="E14" s="1125" t="s">
        <v>141</v>
      </c>
      <c r="F14" s="1126" t="s">
        <v>142</v>
      </c>
      <c r="G14" s="1127">
        <f>D14</f>
        <v>-486471</v>
      </c>
      <c r="H14" s="241"/>
    </row>
    <row r="15" spans="1:10">
      <c r="G15" s="524">
        <f>SUM(G11:G14)</f>
        <v>-1530186</v>
      </c>
      <c r="H15" s="241"/>
    </row>
    <row r="16" spans="1:10">
      <c r="H16" s="241"/>
    </row>
    <row r="17" spans="1:8">
      <c r="A17" s="248" t="s">
        <v>212</v>
      </c>
      <c r="C17" s="241"/>
      <c r="D17" s="539"/>
      <c r="F17" s="155"/>
      <c r="G17" s="529"/>
      <c r="H17" s="241"/>
    </row>
    <row r="18" spans="1:8">
      <c r="A18" s="1410" t="s">
        <v>1081</v>
      </c>
      <c r="B18" s="1410"/>
      <c r="C18" s="1410"/>
      <c r="D18" s="1410"/>
      <c r="E18" s="1410"/>
      <c r="F18" s="1410"/>
      <c r="G18" s="1410"/>
      <c r="H18" s="241"/>
    </row>
    <row r="19" spans="1:8">
      <c r="A19" s="1410"/>
      <c r="B19" s="1410"/>
      <c r="C19" s="1410"/>
      <c r="D19" s="1410"/>
      <c r="E19" s="1410"/>
      <c r="F19" s="1410"/>
      <c r="G19" s="1410"/>
      <c r="H19" s="241"/>
    </row>
    <row r="20" spans="1:8">
      <c r="A20" s="1410"/>
      <c r="B20" s="1410"/>
      <c r="C20" s="1410"/>
      <c r="D20" s="1410"/>
      <c r="E20" s="1410"/>
      <c r="F20" s="1410"/>
      <c r="G20" s="1410"/>
    </row>
    <row r="21" spans="1:8">
      <c r="A21" s="1410"/>
      <c r="B21" s="1410"/>
      <c r="C21" s="1410"/>
      <c r="D21" s="1410"/>
      <c r="E21" s="1410"/>
      <c r="F21" s="1410"/>
      <c r="G21" s="1410"/>
    </row>
    <row r="22" spans="1:8">
      <c r="A22" s="1410"/>
      <c r="B22" s="1410"/>
      <c r="C22" s="1410"/>
      <c r="D22" s="1410"/>
      <c r="E22" s="1410"/>
      <c r="F22" s="1410"/>
      <c r="G22" s="1410"/>
    </row>
    <row r="23" spans="1:8">
      <c r="A23" s="1410"/>
      <c r="B23" s="1410"/>
      <c r="C23" s="1410"/>
      <c r="D23" s="1410"/>
      <c r="E23" s="1410"/>
      <c r="F23" s="1410"/>
      <c r="G23" s="1410"/>
    </row>
    <row r="24" spans="1:8">
      <c r="A24" s="1413" t="s">
        <v>1080</v>
      </c>
      <c r="B24" s="1413"/>
      <c r="C24" s="1413"/>
      <c r="D24" s="1413"/>
      <c r="E24" s="1413"/>
      <c r="F24" s="1413"/>
      <c r="G24" s="1413"/>
    </row>
    <row r="25" spans="1:8">
      <c r="A25" s="1413"/>
      <c r="B25" s="1413"/>
      <c r="C25" s="1413"/>
      <c r="D25" s="1413"/>
      <c r="E25" s="1413"/>
      <c r="F25" s="1413"/>
      <c r="G25" s="1413"/>
    </row>
    <row r="26" spans="1:8">
      <c r="A26" s="1413"/>
      <c r="B26" s="1413"/>
      <c r="C26" s="1413"/>
      <c r="D26" s="1413"/>
      <c r="E26" s="1413"/>
      <c r="F26" s="1413"/>
      <c r="G26" s="1413"/>
    </row>
    <row r="27" spans="1:8">
      <c r="A27" s="1413"/>
      <c r="B27" s="1413"/>
      <c r="C27" s="1413"/>
      <c r="D27" s="1413"/>
      <c r="E27" s="1413"/>
      <c r="F27" s="1413"/>
      <c r="G27" s="1413"/>
    </row>
    <row r="28" spans="1:8">
      <c r="A28" s="1413"/>
      <c r="B28" s="1413"/>
      <c r="C28" s="1413"/>
      <c r="D28" s="1413"/>
      <c r="E28" s="1413"/>
      <c r="F28" s="1413"/>
      <c r="G28" s="1413"/>
    </row>
    <row r="30" spans="1:8">
      <c r="C30" s="241"/>
      <c r="F30" s="241"/>
      <c r="H30" s="241"/>
    </row>
    <row r="33" spans="2:5">
      <c r="B33" s="517"/>
      <c r="E33" s="517"/>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56"/>
  <sheetViews>
    <sheetView workbookViewId="0">
      <selection activeCell="F16" sqref="F16"/>
    </sheetView>
  </sheetViews>
  <sheetFormatPr defaultRowHeight="12.75"/>
  <cols>
    <col min="1" max="1" width="34.28515625" style="244" bestFit="1" customWidth="1"/>
    <col min="2" max="2" width="9.7109375" style="241" bestFit="1" customWidth="1"/>
    <col min="3" max="3" width="5.42578125" style="244" customWidth="1"/>
    <col min="4" max="4" width="10.85546875" style="524" bestFit="1" customWidth="1"/>
    <col min="5" max="5" width="8" style="241" bestFit="1" customWidth="1"/>
    <col min="6" max="6" width="10" style="244" bestFit="1" customWidth="1"/>
    <col min="7" max="7" width="13.28515625" style="524" bestFit="1" customWidth="1"/>
    <col min="8" max="253" width="9.140625" style="244"/>
    <col min="254" max="254" width="2.5703125" style="244" customWidth="1"/>
    <col min="255" max="255" width="7.140625" style="244" customWidth="1"/>
    <col min="256" max="256" width="27.7109375" style="244" customWidth="1"/>
    <col min="257" max="257" width="9.7109375" style="244" customWidth="1"/>
    <col min="258" max="258" width="4.7109375" style="244" customWidth="1"/>
    <col min="259" max="259" width="14.42578125" style="244" customWidth="1"/>
    <col min="260" max="260" width="11.140625" style="244" customWidth="1"/>
    <col min="261" max="261" width="10.28515625" style="244" customWidth="1"/>
    <col min="262" max="262" width="13" style="244" customWidth="1"/>
    <col min="263" max="263" width="8.28515625" style="244" customWidth="1"/>
    <col min="264" max="509" width="9.140625" style="244"/>
    <col min="510" max="510" width="2.5703125" style="244" customWidth="1"/>
    <col min="511" max="511" width="7.140625" style="244" customWidth="1"/>
    <col min="512" max="512" width="27.7109375" style="244" customWidth="1"/>
    <col min="513" max="513" width="9.7109375" style="244" customWidth="1"/>
    <col min="514" max="514" width="4.7109375" style="244" customWidth="1"/>
    <col min="515" max="515" width="14.42578125" style="244" customWidth="1"/>
    <col min="516" max="516" width="11.140625" style="244" customWidth="1"/>
    <col min="517" max="517" width="10.28515625" style="244" customWidth="1"/>
    <col min="518" max="518" width="13" style="244" customWidth="1"/>
    <col min="519" max="519" width="8.28515625" style="244" customWidth="1"/>
    <col min="520" max="765" width="9.140625" style="244"/>
    <col min="766" max="766" width="2.5703125" style="244" customWidth="1"/>
    <col min="767" max="767" width="7.140625" style="244" customWidth="1"/>
    <col min="768" max="768" width="27.7109375" style="244" customWidth="1"/>
    <col min="769" max="769" width="9.7109375" style="244" customWidth="1"/>
    <col min="770" max="770" width="4.7109375" style="244" customWidth="1"/>
    <col min="771" max="771" width="14.42578125" style="244" customWidth="1"/>
    <col min="772" max="772" width="11.140625" style="244" customWidth="1"/>
    <col min="773" max="773" width="10.28515625" style="244" customWidth="1"/>
    <col min="774" max="774" width="13" style="244" customWidth="1"/>
    <col min="775" max="775" width="8.28515625" style="244" customWidth="1"/>
    <col min="776" max="1021" width="9.140625" style="244"/>
    <col min="1022" max="1022" width="2.5703125" style="244" customWidth="1"/>
    <col min="1023" max="1023" width="7.140625" style="244" customWidth="1"/>
    <col min="1024" max="1024" width="27.7109375" style="244" customWidth="1"/>
    <col min="1025" max="1025" width="9.7109375" style="244" customWidth="1"/>
    <col min="1026" max="1026" width="4.7109375" style="244" customWidth="1"/>
    <col min="1027" max="1027" width="14.42578125" style="244" customWidth="1"/>
    <col min="1028" max="1028" width="11.140625" style="244" customWidth="1"/>
    <col min="1029" max="1029" width="10.28515625" style="244" customWidth="1"/>
    <col min="1030" max="1030" width="13" style="244" customWidth="1"/>
    <col min="1031" max="1031" width="8.28515625" style="244" customWidth="1"/>
    <col min="1032" max="1277" width="9.140625" style="244"/>
    <col min="1278" max="1278" width="2.5703125" style="244" customWidth="1"/>
    <col min="1279" max="1279" width="7.140625" style="244" customWidth="1"/>
    <col min="1280" max="1280" width="27.7109375" style="244" customWidth="1"/>
    <col min="1281" max="1281" width="9.7109375" style="244" customWidth="1"/>
    <col min="1282" max="1282" width="4.7109375" style="244" customWidth="1"/>
    <col min="1283" max="1283" width="14.42578125" style="244" customWidth="1"/>
    <col min="1284" max="1284" width="11.140625" style="244" customWidth="1"/>
    <col min="1285" max="1285" width="10.28515625" style="244" customWidth="1"/>
    <col min="1286" max="1286" width="13" style="244" customWidth="1"/>
    <col min="1287" max="1287" width="8.28515625" style="244" customWidth="1"/>
    <col min="1288" max="1533" width="9.140625" style="244"/>
    <col min="1534" max="1534" width="2.5703125" style="244" customWidth="1"/>
    <col min="1535" max="1535" width="7.140625" style="244" customWidth="1"/>
    <col min="1536" max="1536" width="27.7109375" style="244" customWidth="1"/>
    <col min="1537" max="1537" width="9.7109375" style="244" customWidth="1"/>
    <col min="1538" max="1538" width="4.7109375" style="244" customWidth="1"/>
    <col min="1539" max="1539" width="14.42578125" style="244" customWidth="1"/>
    <col min="1540" max="1540" width="11.140625" style="244" customWidth="1"/>
    <col min="1541" max="1541" width="10.28515625" style="244" customWidth="1"/>
    <col min="1542" max="1542" width="13" style="244" customWidth="1"/>
    <col min="1543" max="1543" width="8.28515625" style="244" customWidth="1"/>
    <col min="1544" max="1789" width="9.140625" style="244"/>
    <col min="1790" max="1790" width="2.5703125" style="244" customWidth="1"/>
    <col min="1791" max="1791" width="7.140625" style="244" customWidth="1"/>
    <col min="1792" max="1792" width="27.7109375" style="244" customWidth="1"/>
    <col min="1793" max="1793" width="9.7109375" style="244" customWidth="1"/>
    <col min="1794" max="1794" width="4.7109375" style="244" customWidth="1"/>
    <col min="1795" max="1795" width="14.42578125" style="244" customWidth="1"/>
    <col min="1796" max="1796" width="11.140625" style="244" customWidth="1"/>
    <col min="1797" max="1797" width="10.28515625" style="244" customWidth="1"/>
    <col min="1798" max="1798" width="13" style="244" customWidth="1"/>
    <col min="1799" max="1799" width="8.28515625" style="244" customWidth="1"/>
    <col min="1800" max="2045" width="9.140625" style="244"/>
    <col min="2046" max="2046" width="2.5703125" style="244" customWidth="1"/>
    <col min="2047" max="2047" width="7.140625" style="244" customWidth="1"/>
    <col min="2048" max="2048" width="27.7109375" style="244" customWidth="1"/>
    <col min="2049" max="2049" width="9.7109375" style="244" customWidth="1"/>
    <col min="2050" max="2050" width="4.7109375" style="244" customWidth="1"/>
    <col min="2051" max="2051" width="14.42578125" style="244" customWidth="1"/>
    <col min="2052" max="2052" width="11.140625" style="244" customWidth="1"/>
    <col min="2053" max="2053" width="10.28515625" style="244" customWidth="1"/>
    <col min="2054" max="2054" width="13" style="244" customWidth="1"/>
    <col min="2055" max="2055" width="8.28515625" style="244" customWidth="1"/>
    <col min="2056" max="2301" width="9.140625" style="244"/>
    <col min="2302" max="2302" width="2.5703125" style="244" customWidth="1"/>
    <col min="2303" max="2303" width="7.140625" style="244" customWidth="1"/>
    <col min="2304" max="2304" width="27.7109375" style="244" customWidth="1"/>
    <col min="2305" max="2305" width="9.7109375" style="244" customWidth="1"/>
    <col min="2306" max="2306" width="4.7109375" style="244" customWidth="1"/>
    <col min="2307" max="2307" width="14.42578125" style="244" customWidth="1"/>
    <col min="2308" max="2308" width="11.140625" style="244" customWidth="1"/>
    <col min="2309" max="2309" width="10.28515625" style="244" customWidth="1"/>
    <col min="2310" max="2310" width="13" style="244" customWidth="1"/>
    <col min="2311" max="2311" width="8.28515625" style="244" customWidth="1"/>
    <col min="2312" max="2557" width="9.140625" style="244"/>
    <col min="2558" max="2558" width="2.5703125" style="244" customWidth="1"/>
    <col min="2559" max="2559" width="7.140625" style="244" customWidth="1"/>
    <col min="2560" max="2560" width="27.7109375" style="244" customWidth="1"/>
    <col min="2561" max="2561" width="9.7109375" style="244" customWidth="1"/>
    <col min="2562" max="2562" width="4.7109375" style="244" customWidth="1"/>
    <col min="2563" max="2563" width="14.42578125" style="244" customWidth="1"/>
    <col min="2564" max="2564" width="11.140625" style="244" customWidth="1"/>
    <col min="2565" max="2565" width="10.28515625" style="244" customWidth="1"/>
    <col min="2566" max="2566" width="13" style="244" customWidth="1"/>
    <col min="2567" max="2567" width="8.28515625" style="244" customWidth="1"/>
    <col min="2568" max="2813" width="9.140625" style="244"/>
    <col min="2814" max="2814" width="2.5703125" style="244" customWidth="1"/>
    <col min="2815" max="2815" width="7.140625" style="244" customWidth="1"/>
    <col min="2816" max="2816" width="27.7109375" style="244" customWidth="1"/>
    <col min="2817" max="2817" width="9.7109375" style="244" customWidth="1"/>
    <col min="2818" max="2818" width="4.7109375" style="244" customWidth="1"/>
    <col min="2819" max="2819" width="14.42578125" style="244" customWidth="1"/>
    <col min="2820" max="2820" width="11.140625" style="244" customWidth="1"/>
    <col min="2821" max="2821" width="10.28515625" style="244" customWidth="1"/>
    <col min="2822" max="2822" width="13" style="244" customWidth="1"/>
    <col min="2823" max="2823" width="8.28515625" style="244" customWidth="1"/>
    <col min="2824" max="3069" width="9.140625" style="244"/>
    <col min="3070" max="3070" width="2.5703125" style="244" customWidth="1"/>
    <col min="3071" max="3071" width="7.140625" style="244" customWidth="1"/>
    <col min="3072" max="3072" width="27.7109375" style="244" customWidth="1"/>
    <col min="3073" max="3073" width="9.7109375" style="244" customWidth="1"/>
    <col min="3074" max="3074" width="4.7109375" style="244" customWidth="1"/>
    <col min="3075" max="3075" width="14.42578125" style="244" customWidth="1"/>
    <col min="3076" max="3076" width="11.140625" style="244" customWidth="1"/>
    <col min="3077" max="3077" width="10.28515625" style="244" customWidth="1"/>
    <col min="3078" max="3078" width="13" style="244" customWidth="1"/>
    <col min="3079" max="3079" width="8.28515625" style="244" customWidth="1"/>
    <col min="3080" max="3325" width="9.140625" style="244"/>
    <col min="3326" max="3326" width="2.5703125" style="244" customWidth="1"/>
    <col min="3327" max="3327" width="7.140625" style="244" customWidth="1"/>
    <col min="3328" max="3328" width="27.7109375" style="244" customWidth="1"/>
    <col min="3329" max="3329" width="9.7109375" style="244" customWidth="1"/>
    <col min="3330" max="3330" width="4.7109375" style="244" customWidth="1"/>
    <col min="3331" max="3331" width="14.42578125" style="244" customWidth="1"/>
    <col min="3332" max="3332" width="11.140625" style="244" customWidth="1"/>
    <col min="3333" max="3333" width="10.28515625" style="244" customWidth="1"/>
    <col min="3334" max="3334" width="13" style="244" customWidth="1"/>
    <col min="3335" max="3335" width="8.28515625" style="244" customWidth="1"/>
    <col min="3336" max="3581" width="9.140625" style="244"/>
    <col min="3582" max="3582" width="2.5703125" style="244" customWidth="1"/>
    <col min="3583" max="3583" width="7.140625" style="244" customWidth="1"/>
    <col min="3584" max="3584" width="27.7109375" style="244" customWidth="1"/>
    <col min="3585" max="3585" width="9.7109375" style="244" customWidth="1"/>
    <col min="3586" max="3586" width="4.7109375" style="244" customWidth="1"/>
    <col min="3587" max="3587" width="14.42578125" style="244" customWidth="1"/>
    <col min="3588" max="3588" width="11.140625" style="244" customWidth="1"/>
    <col min="3589" max="3589" width="10.28515625" style="244" customWidth="1"/>
    <col min="3590" max="3590" width="13" style="244" customWidth="1"/>
    <col min="3591" max="3591" width="8.28515625" style="244" customWidth="1"/>
    <col min="3592" max="3837" width="9.140625" style="244"/>
    <col min="3838" max="3838" width="2.5703125" style="244" customWidth="1"/>
    <col min="3839" max="3839" width="7.140625" style="244" customWidth="1"/>
    <col min="3840" max="3840" width="27.7109375" style="244" customWidth="1"/>
    <col min="3841" max="3841" width="9.7109375" style="244" customWidth="1"/>
    <col min="3842" max="3842" width="4.7109375" style="244" customWidth="1"/>
    <col min="3843" max="3843" width="14.42578125" style="244" customWidth="1"/>
    <col min="3844" max="3844" width="11.140625" style="244" customWidth="1"/>
    <col min="3845" max="3845" width="10.28515625" style="244" customWidth="1"/>
    <col min="3846" max="3846" width="13" style="244" customWidth="1"/>
    <col min="3847" max="3847" width="8.28515625" style="244" customWidth="1"/>
    <col min="3848" max="4093" width="9.140625" style="244"/>
    <col min="4094" max="4094" width="2.5703125" style="244" customWidth="1"/>
    <col min="4095" max="4095" width="7.140625" style="244" customWidth="1"/>
    <col min="4096" max="4096" width="27.7109375" style="244" customWidth="1"/>
    <col min="4097" max="4097" width="9.7109375" style="244" customWidth="1"/>
    <col min="4098" max="4098" width="4.7109375" style="244" customWidth="1"/>
    <col min="4099" max="4099" width="14.42578125" style="244" customWidth="1"/>
    <col min="4100" max="4100" width="11.140625" style="244" customWidth="1"/>
    <col min="4101" max="4101" width="10.28515625" style="244" customWidth="1"/>
    <col min="4102" max="4102" width="13" style="244" customWidth="1"/>
    <col min="4103" max="4103" width="8.28515625" style="244" customWidth="1"/>
    <col min="4104" max="4349" width="9.140625" style="244"/>
    <col min="4350" max="4350" width="2.5703125" style="244" customWidth="1"/>
    <col min="4351" max="4351" width="7.140625" style="244" customWidth="1"/>
    <col min="4352" max="4352" width="27.7109375" style="244" customWidth="1"/>
    <col min="4353" max="4353" width="9.7109375" style="244" customWidth="1"/>
    <col min="4354" max="4354" width="4.7109375" style="244" customWidth="1"/>
    <col min="4355" max="4355" width="14.42578125" style="244" customWidth="1"/>
    <col min="4356" max="4356" width="11.140625" style="244" customWidth="1"/>
    <col min="4357" max="4357" width="10.28515625" style="244" customWidth="1"/>
    <col min="4358" max="4358" width="13" style="244" customWidth="1"/>
    <col min="4359" max="4359" width="8.28515625" style="244" customWidth="1"/>
    <col min="4360" max="4605" width="9.140625" style="244"/>
    <col min="4606" max="4606" width="2.5703125" style="244" customWidth="1"/>
    <col min="4607" max="4607" width="7.140625" style="244" customWidth="1"/>
    <col min="4608" max="4608" width="27.7109375" style="244" customWidth="1"/>
    <col min="4609" max="4609" width="9.7109375" style="244" customWidth="1"/>
    <col min="4610" max="4610" width="4.7109375" style="244" customWidth="1"/>
    <col min="4611" max="4611" width="14.42578125" style="244" customWidth="1"/>
    <col min="4612" max="4612" width="11.140625" style="244" customWidth="1"/>
    <col min="4613" max="4613" width="10.28515625" style="244" customWidth="1"/>
    <col min="4614" max="4614" width="13" style="244" customWidth="1"/>
    <col min="4615" max="4615" width="8.28515625" style="244" customWidth="1"/>
    <col min="4616" max="4861" width="9.140625" style="244"/>
    <col min="4862" max="4862" width="2.5703125" style="244" customWidth="1"/>
    <col min="4863" max="4863" width="7.140625" style="244" customWidth="1"/>
    <col min="4864" max="4864" width="27.7109375" style="244" customWidth="1"/>
    <col min="4865" max="4865" width="9.7109375" style="244" customWidth="1"/>
    <col min="4866" max="4866" width="4.7109375" style="244" customWidth="1"/>
    <col min="4867" max="4867" width="14.42578125" style="244" customWidth="1"/>
    <col min="4868" max="4868" width="11.140625" style="244" customWidth="1"/>
    <col min="4869" max="4869" width="10.28515625" style="244" customWidth="1"/>
    <col min="4870" max="4870" width="13" style="244" customWidth="1"/>
    <col min="4871" max="4871" width="8.28515625" style="244" customWidth="1"/>
    <col min="4872" max="5117" width="9.140625" style="244"/>
    <col min="5118" max="5118" width="2.5703125" style="244" customWidth="1"/>
    <col min="5119" max="5119" width="7.140625" style="244" customWidth="1"/>
    <col min="5120" max="5120" width="27.7109375" style="244" customWidth="1"/>
    <col min="5121" max="5121" width="9.7109375" style="244" customWidth="1"/>
    <col min="5122" max="5122" width="4.7109375" style="244" customWidth="1"/>
    <col min="5123" max="5123" width="14.42578125" style="244" customWidth="1"/>
    <col min="5124" max="5124" width="11.140625" style="244" customWidth="1"/>
    <col min="5125" max="5125" width="10.28515625" style="244" customWidth="1"/>
    <col min="5126" max="5126" width="13" style="244" customWidth="1"/>
    <col min="5127" max="5127" width="8.28515625" style="244" customWidth="1"/>
    <col min="5128" max="5373" width="9.140625" style="244"/>
    <col min="5374" max="5374" width="2.5703125" style="244" customWidth="1"/>
    <col min="5375" max="5375" width="7.140625" style="244" customWidth="1"/>
    <col min="5376" max="5376" width="27.7109375" style="244" customWidth="1"/>
    <col min="5377" max="5377" width="9.7109375" style="244" customWidth="1"/>
    <col min="5378" max="5378" width="4.7109375" style="244" customWidth="1"/>
    <col min="5379" max="5379" width="14.42578125" style="244" customWidth="1"/>
    <col min="5380" max="5380" width="11.140625" style="244" customWidth="1"/>
    <col min="5381" max="5381" width="10.28515625" style="244" customWidth="1"/>
    <col min="5382" max="5382" width="13" style="244" customWidth="1"/>
    <col min="5383" max="5383" width="8.28515625" style="244" customWidth="1"/>
    <col min="5384" max="5629" width="9.140625" style="244"/>
    <col min="5630" max="5630" width="2.5703125" style="244" customWidth="1"/>
    <col min="5631" max="5631" width="7.140625" style="244" customWidth="1"/>
    <col min="5632" max="5632" width="27.7109375" style="244" customWidth="1"/>
    <col min="5633" max="5633" width="9.7109375" style="244" customWidth="1"/>
    <col min="5634" max="5634" width="4.7109375" style="244" customWidth="1"/>
    <col min="5635" max="5635" width="14.42578125" style="244" customWidth="1"/>
    <col min="5636" max="5636" width="11.140625" style="244" customWidth="1"/>
    <col min="5637" max="5637" width="10.28515625" style="244" customWidth="1"/>
    <col min="5638" max="5638" width="13" style="244" customWidth="1"/>
    <col min="5639" max="5639" width="8.28515625" style="244" customWidth="1"/>
    <col min="5640" max="5885" width="9.140625" style="244"/>
    <col min="5886" max="5886" width="2.5703125" style="244" customWidth="1"/>
    <col min="5887" max="5887" width="7.140625" style="244" customWidth="1"/>
    <col min="5888" max="5888" width="27.7109375" style="244" customWidth="1"/>
    <col min="5889" max="5889" width="9.7109375" style="244" customWidth="1"/>
    <col min="5890" max="5890" width="4.7109375" style="244" customWidth="1"/>
    <col min="5891" max="5891" width="14.42578125" style="244" customWidth="1"/>
    <col min="5892" max="5892" width="11.140625" style="244" customWidth="1"/>
    <col min="5893" max="5893" width="10.28515625" style="244" customWidth="1"/>
    <col min="5894" max="5894" width="13" style="244" customWidth="1"/>
    <col min="5895" max="5895" width="8.28515625" style="244" customWidth="1"/>
    <col min="5896" max="6141" width="9.140625" style="244"/>
    <col min="6142" max="6142" width="2.5703125" style="244" customWidth="1"/>
    <col min="6143" max="6143" width="7.140625" style="244" customWidth="1"/>
    <col min="6144" max="6144" width="27.7109375" style="244" customWidth="1"/>
    <col min="6145" max="6145" width="9.7109375" style="244" customWidth="1"/>
    <col min="6146" max="6146" width="4.7109375" style="244" customWidth="1"/>
    <col min="6147" max="6147" width="14.42578125" style="244" customWidth="1"/>
    <col min="6148" max="6148" width="11.140625" style="244" customWidth="1"/>
    <col min="6149" max="6149" width="10.28515625" style="244" customWidth="1"/>
    <col min="6150" max="6150" width="13" style="244" customWidth="1"/>
    <col min="6151" max="6151" width="8.28515625" style="244" customWidth="1"/>
    <col min="6152" max="6397" width="9.140625" style="244"/>
    <col min="6398" max="6398" width="2.5703125" style="244" customWidth="1"/>
    <col min="6399" max="6399" width="7.140625" style="244" customWidth="1"/>
    <col min="6400" max="6400" width="27.7109375" style="244" customWidth="1"/>
    <col min="6401" max="6401" width="9.7109375" style="244" customWidth="1"/>
    <col min="6402" max="6402" width="4.7109375" style="244" customWidth="1"/>
    <col min="6403" max="6403" width="14.42578125" style="244" customWidth="1"/>
    <col min="6404" max="6404" width="11.140625" style="244" customWidth="1"/>
    <col min="6405" max="6405" width="10.28515625" style="244" customWidth="1"/>
    <col min="6406" max="6406" width="13" style="244" customWidth="1"/>
    <col min="6407" max="6407" width="8.28515625" style="244" customWidth="1"/>
    <col min="6408" max="6653" width="9.140625" style="244"/>
    <col min="6654" max="6654" width="2.5703125" style="244" customWidth="1"/>
    <col min="6655" max="6655" width="7.140625" style="244" customWidth="1"/>
    <col min="6656" max="6656" width="27.7109375" style="244" customWidth="1"/>
    <col min="6657" max="6657" width="9.7109375" style="244" customWidth="1"/>
    <col min="6658" max="6658" width="4.7109375" style="244" customWidth="1"/>
    <col min="6659" max="6659" width="14.42578125" style="244" customWidth="1"/>
    <col min="6660" max="6660" width="11.140625" style="244" customWidth="1"/>
    <col min="6661" max="6661" width="10.28515625" style="244" customWidth="1"/>
    <col min="6662" max="6662" width="13" style="244" customWidth="1"/>
    <col min="6663" max="6663" width="8.28515625" style="244" customWidth="1"/>
    <col min="6664" max="6909" width="9.140625" style="244"/>
    <col min="6910" max="6910" width="2.5703125" style="244" customWidth="1"/>
    <col min="6911" max="6911" width="7.140625" style="244" customWidth="1"/>
    <col min="6912" max="6912" width="27.7109375" style="244" customWidth="1"/>
    <col min="6913" max="6913" width="9.7109375" style="244" customWidth="1"/>
    <col min="6914" max="6914" width="4.7109375" style="244" customWidth="1"/>
    <col min="6915" max="6915" width="14.42578125" style="244" customWidth="1"/>
    <col min="6916" max="6916" width="11.140625" style="244" customWidth="1"/>
    <col min="6917" max="6917" width="10.28515625" style="244" customWidth="1"/>
    <col min="6918" max="6918" width="13" style="244" customWidth="1"/>
    <col min="6919" max="6919" width="8.28515625" style="244" customWidth="1"/>
    <col min="6920" max="7165" width="9.140625" style="244"/>
    <col min="7166" max="7166" width="2.5703125" style="244" customWidth="1"/>
    <col min="7167" max="7167" width="7.140625" style="244" customWidth="1"/>
    <col min="7168" max="7168" width="27.7109375" style="244" customWidth="1"/>
    <col min="7169" max="7169" width="9.7109375" style="244" customWidth="1"/>
    <col min="7170" max="7170" width="4.7109375" style="244" customWidth="1"/>
    <col min="7171" max="7171" width="14.42578125" style="244" customWidth="1"/>
    <col min="7172" max="7172" width="11.140625" style="244" customWidth="1"/>
    <col min="7173" max="7173" width="10.28515625" style="244" customWidth="1"/>
    <col min="7174" max="7174" width="13" style="244" customWidth="1"/>
    <col min="7175" max="7175" width="8.28515625" style="244" customWidth="1"/>
    <col min="7176" max="7421" width="9.140625" style="244"/>
    <col min="7422" max="7422" width="2.5703125" style="244" customWidth="1"/>
    <col min="7423" max="7423" width="7.140625" style="244" customWidth="1"/>
    <col min="7424" max="7424" width="27.7109375" style="244" customWidth="1"/>
    <col min="7425" max="7425" width="9.7109375" style="244" customWidth="1"/>
    <col min="7426" max="7426" width="4.7109375" style="244" customWidth="1"/>
    <col min="7427" max="7427" width="14.42578125" style="244" customWidth="1"/>
    <col min="7428" max="7428" width="11.140625" style="244" customWidth="1"/>
    <col min="7429" max="7429" width="10.28515625" style="244" customWidth="1"/>
    <col min="7430" max="7430" width="13" style="244" customWidth="1"/>
    <col min="7431" max="7431" width="8.28515625" style="244" customWidth="1"/>
    <col min="7432" max="7677" width="9.140625" style="244"/>
    <col min="7678" max="7678" width="2.5703125" style="244" customWidth="1"/>
    <col min="7679" max="7679" width="7.140625" style="244" customWidth="1"/>
    <col min="7680" max="7680" width="27.7109375" style="244" customWidth="1"/>
    <col min="7681" max="7681" width="9.7109375" style="244" customWidth="1"/>
    <col min="7682" max="7682" width="4.7109375" style="244" customWidth="1"/>
    <col min="7683" max="7683" width="14.42578125" style="244" customWidth="1"/>
    <col min="7684" max="7684" width="11.140625" style="244" customWidth="1"/>
    <col min="7685" max="7685" width="10.28515625" style="244" customWidth="1"/>
    <col min="7686" max="7686" width="13" style="244" customWidth="1"/>
    <col min="7687" max="7687" width="8.28515625" style="244" customWidth="1"/>
    <col min="7688" max="7933" width="9.140625" style="244"/>
    <col min="7934" max="7934" width="2.5703125" style="244" customWidth="1"/>
    <col min="7935" max="7935" width="7.140625" style="244" customWidth="1"/>
    <col min="7936" max="7936" width="27.7109375" style="244" customWidth="1"/>
    <col min="7937" max="7937" width="9.7109375" style="244" customWidth="1"/>
    <col min="7938" max="7938" width="4.7109375" style="244" customWidth="1"/>
    <col min="7939" max="7939" width="14.42578125" style="244" customWidth="1"/>
    <col min="7940" max="7940" width="11.140625" style="244" customWidth="1"/>
    <col min="7941" max="7941" width="10.28515625" style="244" customWidth="1"/>
    <col min="7942" max="7942" width="13" style="244" customWidth="1"/>
    <col min="7943" max="7943" width="8.28515625" style="244" customWidth="1"/>
    <col min="7944" max="8189" width="9.140625" style="244"/>
    <col min="8190" max="8190" width="2.5703125" style="244" customWidth="1"/>
    <col min="8191" max="8191" width="7.140625" style="244" customWidth="1"/>
    <col min="8192" max="8192" width="27.7109375" style="244" customWidth="1"/>
    <col min="8193" max="8193" width="9.7109375" style="244" customWidth="1"/>
    <col min="8194" max="8194" width="4.7109375" style="244" customWidth="1"/>
    <col min="8195" max="8195" width="14.42578125" style="244" customWidth="1"/>
    <col min="8196" max="8196" width="11.140625" style="244" customWidth="1"/>
    <col min="8197" max="8197" width="10.28515625" style="244" customWidth="1"/>
    <col min="8198" max="8198" width="13" style="244" customWidth="1"/>
    <col min="8199" max="8199" width="8.28515625" style="244" customWidth="1"/>
    <col min="8200" max="8445" width="9.140625" style="244"/>
    <col min="8446" max="8446" width="2.5703125" style="244" customWidth="1"/>
    <col min="8447" max="8447" width="7.140625" style="244" customWidth="1"/>
    <col min="8448" max="8448" width="27.7109375" style="244" customWidth="1"/>
    <col min="8449" max="8449" width="9.7109375" style="244" customWidth="1"/>
    <col min="8450" max="8450" width="4.7109375" style="244" customWidth="1"/>
    <col min="8451" max="8451" width="14.42578125" style="244" customWidth="1"/>
    <col min="8452" max="8452" width="11.140625" style="244" customWidth="1"/>
    <col min="8453" max="8453" width="10.28515625" style="244" customWidth="1"/>
    <col min="8454" max="8454" width="13" style="244" customWidth="1"/>
    <col min="8455" max="8455" width="8.28515625" style="244" customWidth="1"/>
    <col min="8456" max="8701" width="9.140625" style="244"/>
    <col min="8702" max="8702" width="2.5703125" style="244" customWidth="1"/>
    <col min="8703" max="8703" width="7.140625" style="244" customWidth="1"/>
    <col min="8704" max="8704" width="27.7109375" style="244" customWidth="1"/>
    <col min="8705" max="8705" width="9.7109375" style="244" customWidth="1"/>
    <col min="8706" max="8706" width="4.7109375" style="244" customWidth="1"/>
    <col min="8707" max="8707" width="14.42578125" style="244" customWidth="1"/>
    <col min="8708" max="8708" width="11.140625" style="244" customWidth="1"/>
    <col min="8709" max="8709" width="10.28515625" style="244" customWidth="1"/>
    <col min="8710" max="8710" width="13" style="244" customWidth="1"/>
    <col min="8711" max="8711" width="8.28515625" style="244" customWidth="1"/>
    <col min="8712" max="8957" width="9.140625" style="244"/>
    <col min="8958" max="8958" width="2.5703125" style="244" customWidth="1"/>
    <col min="8959" max="8959" width="7.140625" style="244" customWidth="1"/>
    <col min="8960" max="8960" width="27.7109375" style="244" customWidth="1"/>
    <col min="8961" max="8961" width="9.7109375" style="244" customWidth="1"/>
    <col min="8962" max="8962" width="4.7109375" style="244" customWidth="1"/>
    <col min="8963" max="8963" width="14.42578125" style="244" customWidth="1"/>
    <col min="8964" max="8964" width="11.140625" style="244" customWidth="1"/>
    <col min="8965" max="8965" width="10.28515625" style="244" customWidth="1"/>
    <col min="8966" max="8966" width="13" style="244" customWidth="1"/>
    <col min="8967" max="8967" width="8.28515625" style="244" customWidth="1"/>
    <col min="8968" max="9213" width="9.140625" style="244"/>
    <col min="9214" max="9214" width="2.5703125" style="244" customWidth="1"/>
    <col min="9215" max="9215" width="7.140625" style="244" customWidth="1"/>
    <col min="9216" max="9216" width="27.7109375" style="244" customWidth="1"/>
    <col min="9217" max="9217" width="9.7109375" style="244" customWidth="1"/>
    <col min="9218" max="9218" width="4.7109375" style="244" customWidth="1"/>
    <col min="9219" max="9219" width="14.42578125" style="244" customWidth="1"/>
    <col min="9220" max="9220" width="11.140625" style="244" customWidth="1"/>
    <col min="9221" max="9221" width="10.28515625" style="244" customWidth="1"/>
    <col min="9222" max="9222" width="13" style="244" customWidth="1"/>
    <col min="9223" max="9223" width="8.28515625" style="244" customWidth="1"/>
    <col min="9224" max="9469" width="9.140625" style="244"/>
    <col min="9470" max="9470" width="2.5703125" style="244" customWidth="1"/>
    <col min="9471" max="9471" width="7.140625" style="244" customWidth="1"/>
    <col min="9472" max="9472" width="27.7109375" style="244" customWidth="1"/>
    <col min="9473" max="9473" width="9.7109375" style="244" customWidth="1"/>
    <col min="9474" max="9474" width="4.7109375" style="244" customWidth="1"/>
    <col min="9475" max="9475" width="14.42578125" style="244" customWidth="1"/>
    <col min="9476" max="9476" width="11.140625" style="244" customWidth="1"/>
    <col min="9477" max="9477" width="10.28515625" style="244" customWidth="1"/>
    <col min="9478" max="9478" width="13" style="244" customWidth="1"/>
    <col min="9479" max="9479" width="8.28515625" style="244" customWidth="1"/>
    <col min="9480" max="9725" width="9.140625" style="244"/>
    <col min="9726" max="9726" width="2.5703125" style="244" customWidth="1"/>
    <col min="9727" max="9727" width="7.140625" style="244" customWidth="1"/>
    <col min="9728" max="9728" width="27.7109375" style="244" customWidth="1"/>
    <col min="9729" max="9729" width="9.7109375" style="244" customWidth="1"/>
    <col min="9730" max="9730" width="4.7109375" style="244" customWidth="1"/>
    <col min="9731" max="9731" width="14.42578125" style="244" customWidth="1"/>
    <col min="9732" max="9732" width="11.140625" style="244" customWidth="1"/>
    <col min="9733" max="9733" width="10.28515625" style="244" customWidth="1"/>
    <col min="9734" max="9734" width="13" style="244" customWidth="1"/>
    <col min="9735" max="9735" width="8.28515625" style="244" customWidth="1"/>
    <col min="9736" max="9981" width="9.140625" style="244"/>
    <col min="9982" max="9982" width="2.5703125" style="244" customWidth="1"/>
    <col min="9983" max="9983" width="7.140625" style="244" customWidth="1"/>
    <col min="9984" max="9984" width="27.7109375" style="244" customWidth="1"/>
    <col min="9985" max="9985" width="9.7109375" style="244" customWidth="1"/>
    <col min="9986" max="9986" width="4.7109375" style="244" customWidth="1"/>
    <col min="9987" max="9987" width="14.42578125" style="244" customWidth="1"/>
    <col min="9988" max="9988" width="11.140625" style="244" customWidth="1"/>
    <col min="9989" max="9989" width="10.28515625" style="244" customWidth="1"/>
    <col min="9990" max="9990" width="13" style="244" customWidth="1"/>
    <col min="9991" max="9991" width="8.28515625" style="244" customWidth="1"/>
    <col min="9992" max="10237" width="9.140625" style="244"/>
    <col min="10238" max="10238" width="2.5703125" style="244" customWidth="1"/>
    <col min="10239" max="10239" width="7.140625" style="244" customWidth="1"/>
    <col min="10240" max="10240" width="27.7109375" style="244" customWidth="1"/>
    <col min="10241" max="10241" width="9.7109375" style="244" customWidth="1"/>
    <col min="10242" max="10242" width="4.7109375" style="244" customWidth="1"/>
    <col min="10243" max="10243" width="14.42578125" style="244" customWidth="1"/>
    <col min="10244" max="10244" width="11.140625" style="244" customWidth="1"/>
    <col min="10245" max="10245" width="10.28515625" style="244" customWidth="1"/>
    <col min="10246" max="10246" width="13" style="244" customWidth="1"/>
    <col min="10247" max="10247" width="8.28515625" style="244" customWidth="1"/>
    <col min="10248" max="10493" width="9.140625" style="244"/>
    <col min="10494" max="10494" width="2.5703125" style="244" customWidth="1"/>
    <col min="10495" max="10495" width="7.140625" style="244" customWidth="1"/>
    <col min="10496" max="10496" width="27.7109375" style="244" customWidth="1"/>
    <col min="10497" max="10497" width="9.7109375" style="244" customWidth="1"/>
    <col min="10498" max="10498" width="4.7109375" style="244" customWidth="1"/>
    <col min="10499" max="10499" width="14.42578125" style="244" customWidth="1"/>
    <col min="10500" max="10500" width="11.140625" style="244" customWidth="1"/>
    <col min="10501" max="10501" width="10.28515625" style="244" customWidth="1"/>
    <col min="10502" max="10502" width="13" style="244" customWidth="1"/>
    <col min="10503" max="10503" width="8.28515625" style="244" customWidth="1"/>
    <col min="10504" max="10749" width="9.140625" style="244"/>
    <col min="10750" max="10750" width="2.5703125" style="244" customWidth="1"/>
    <col min="10751" max="10751" width="7.140625" style="244" customWidth="1"/>
    <col min="10752" max="10752" width="27.7109375" style="244" customWidth="1"/>
    <col min="10753" max="10753" width="9.7109375" style="244" customWidth="1"/>
    <col min="10754" max="10754" width="4.7109375" style="244" customWidth="1"/>
    <col min="10755" max="10755" width="14.42578125" style="244" customWidth="1"/>
    <col min="10756" max="10756" width="11.140625" style="244" customWidth="1"/>
    <col min="10757" max="10757" width="10.28515625" style="244" customWidth="1"/>
    <col min="10758" max="10758" width="13" style="244" customWidth="1"/>
    <col min="10759" max="10759" width="8.28515625" style="244" customWidth="1"/>
    <col min="10760" max="11005" width="9.140625" style="244"/>
    <col min="11006" max="11006" width="2.5703125" style="244" customWidth="1"/>
    <col min="11007" max="11007" width="7.140625" style="244" customWidth="1"/>
    <col min="11008" max="11008" width="27.7109375" style="244" customWidth="1"/>
    <col min="11009" max="11009" width="9.7109375" style="244" customWidth="1"/>
    <col min="11010" max="11010" width="4.7109375" style="244" customWidth="1"/>
    <col min="11011" max="11011" width="14.42578125" style="244" customWidth="1"/>
    <col min="11012" max="11012" width="11.140625" style="244" customWidth="1"/>
    <col min="11013" max="11013" width="10.28515625" style="244" customWidth="1"/>
    <col min="11014" max="11014" width="13" style="244" customWidth="1"/>
    <col min="11015" max="11015" width="8.28515625" style="244" customWidth="1"/>
    <col min="11016" max="11261" width="9.140625" style="244"/>
    <col min="11262" max="11262" width="2.5703125" style="244" customWidth="1"/>
    <col min="11263" max="11263" width="7.140625" style="244" customWidth="1"/>
    <col min="11264" max="11264" width="27.7109375" style="244" customWidth="1"/>
    <col min="11265" max="11265" width="9.7109375" style="244" customWidth="1"/>
    <col min="11266" max="11266" width="4.7109375" style="244" customWidth="1"/>
    <col min="11267" max="11267" width="14.42578125" style="244" customWidth="1"/>
    <col min="11268" max="11268" width="11.140625" style="244" customWidth="1"/>
    <col min="11269" max="11269" width="10.28515625" style="244" customWidth="1"/>
    <col min="11270" max="11270" width="13" style="244" customWidth="1"/>
    <col min="11271" max="11271" width="8.28515625" style="244" customWidth="1"/>
    <col min="11272" max="11517" width="9.140625" style="244"/>
    <col min="11518" max="11518" width="2.5703125" style="244" customWidth="1"/>
    <col min="11519" max="11519" width="7.140625" style="244" customWidth="1"/>
    <col min="11520" max="11520" width="27.7109375" style="244" customWidth="1"/>
    <col min="11521" max="11521" width="9.7109375" style="244" customWidth="1"/>
    <col min="11522" max="11522" width="4.7109375" style="244" customWidth="1"/>
    <col min="11523" max="11523" width="14.42578125" style="244" customWidth="1"/>
    <col min="11524" max="11524" width="11.140625" style="244" customWidth="1"/>
    <col min="11525" max="11525" width="10.28515625" style="244" customWidth="1"/>
    <col min="11526" max="11526" width="13" style="244" customWidth="1"/>
    <col min="11527" max="11527" width="8.28515625" style="244" customWidth="1"/>
    <col min="11528" max="11773" width="9.140625" style="244"/>
    <col min="11774" max="11774" width="2.5703125" style="244" customWidth="1"/>
    <col min="11775" max="11775" width="7.140625" style="244" customWidth="1"/>
    <col min="11776" max="11776" width="27.7109375" style="244" customWidth="1"/>
    <col min="11777" max="11777" width="9.7109375" style="244" customWidth="1"/>
    <col min="11778" max="11778" width="4.7109375" style="244" customWidth="1"/>
    <col min="11779" max="11779" width="14.42578125" style="244" customWidth="1"/>
    <col min="11780" max="11780" width="11.140625" style="244" customWidth="1"/>
    <col min="11781" max="11781" width="10.28515625" style="244" customWidth="1"/>
    <col min="11782" max="11782" width="13" style="244" customWidth="1"/>
    <col min="11783" max="11783" width="8.28515625" style="244" customWidth="1"/>
    <col min="11784" max="12029" width="9.140625" style="244"/>
    <col min="12030" max="12030" width="2.5703125" style="244" customWidth="1"/>
    <col min="12031" max="12031" width="7.140625" style="244" customWidth="1"/>
    <col min="12032" max="12032" width="27.7109375" style="244" customWidth="1"/>
    <col min="12033" max="12033" width="9.7109375" style="244" customWidth="1"/>
    <col min="12034" max="12034" width="4.7109375" style="244" customWidth="1"/>
    <col min="12035" max="12035" width="14.42578125" style="244" customWidth="1"/>
    <col min="12036" max="12036" width="11.140625" style="244" customWidth="1"/>
    <col min="12037" max="12037" width="10.28515625" style="244" customWidth="1"/>
    <col min="12038" max="12038" width="13" style="244" customWidth="1"/>
    <col min="12039" max="12039" width="8.28515625" style="244" customWidth="1"/>
    <col min="12040" max="12285" width="9.140625" style="244"/>
    <col min="12286" max="12286" width="2.5703125" style="244" customWidth="1"/>
    <col min="12287" max="12287" width="7.140625" style="244" customWidth="1"/>
    <col min="12288" max="12288" width="27.7109375" style="244" customWidth="1"/>
    <col min="12289" max="12289" width="9.7109375" style="244" customWidth="1"/>
    <col min="12290" max="12290" width="4.7109375" style="244" customWidth="1"/>
    <col min="12291" max="12291" width="14.42578125" style="244" customWidth="1"/>
    <col min="12292" max="12292" width="11.140625" style="244" customWidth="1"/>
    <col min="12293" max="12293" width="10.28515625" style="244" customWidth="1"/>
    <col min="12294" max="12294" width="13" style="244" customWidth="1"/>
    <col min="12295" max="12295" width="8.28515625" style="244" customWidth="1"/>
    <col min="12296" max="12541" width="9.140625" style="244"/>
    <col min="12542" max="12542" width="2.5703125" style="244" customWidth="1"/>
    <col min="12543" max="12543" width="7.140625" style="244" customWidth="1"/>
    <col min="12544" max="12544" width="27.7109375" style="244" customWidth="1"/>
    <col min="12545" max="12545" width="9.7109375" style="244" customWidth="1"/>
    <col min="12546" max="12546" width="4.7109375" style="244" customWidth="1"/>
    <col min="12547" max="12547" width="14.42578125" style="244" customWidth="1"/>
    <col min="12548" max="12548" width="11.140625" style="244" customWidth="1"/>
    <col min="12549" max="12549" width="10.28515625" style="244" customWidth="1"/>
    <col min="12550" max="12550" width="13" style="244" customWidth="1"/>
    <col min="12551" max="12551" width="8.28515625" style="244" customWidth="1"/>
    <col min="12552" max="12797" width="9.140625" style="244"/>
    <col min="12798" max="12798" width="2.5703125" style="244" customWidth="1"/>
    <col min="12799" max="12799" width="7.140625" style="244" customWidth="1"/>
    <col min="12800" max="12800" width="27.7109375" style="244" customWidth="1"/>
    <col min="12801" max="12801" width="9.7109375" style="244" customWidth="1"/>
    <col min="12802" max="12802" width="4.7109375" style="244" customWidth="1"/>
    <col min="12803" max="12803" width="14.42578125" style="244" customWidth="1"/>
    <col min="12804" max="12804" width="11.140625" style="244" customWidth="1"/>
    <col min="12805" max="12805" width="10.28515625" style="244" customWidth="1"/>
    <col min="12806" max="12806" width="13" style="244" customWidth="1"/>
    <col min="12807" max="12807" width="8.28515625" style="244" customWidth="1"/>
    <col min="12808" max="13053" width="9.140625" style="244"/>
    <col min="13054" max="13054" width="2.5703125" style="244" customWidth="1"/>
    <col min="13055" max="13055" width="7.140625" style="244" customWidth="1"/>
    <col min="13056" max="13056" width="27.7109375" style="244" customWidth="1"/>
    <col min="13057" max="13057" width="9.7109375" style="244" customWidth="1"/>
    <col min="13058" max="13058" width="4.7109375" style="244" customWidth="1"/>
    <col min="13059" max="13059" width="14.42578125" style="244" customWidth="1"/>
    <col min="13060" max="13060" width="11.140625" style="244" customWidth="1"/>
    <col min="13061" max="13061" width="10.28515625" style="244" customWidth="1"/>
    <col min="13062" max="13062" width="13" style="244" customWidth="1"/>
    <col min="13063" max="13063" width="8.28515625" style="244" customWidth="1"/>
    <col min="13064" max="13309" width="9.140625" style="244"/>
    <col min="13310" max="13310" width="2.5703125" style="244" customWidth="1"/>
    <col min="13311" max="13311" width="7.140625" style="244" customWidth="1"/>
    <col min="13312" max="13312" width="27.7109375" style="244" customWidth="1"/>
    <col min="13313" max="13313" width="9.7109375" style="244" customWidth="1"/>
    <col min="13314" max="13314" width="4.7109375" style="244" customWidth="1"/>
    <col min="13315" max="13315" width="14.42578125" style="244" customWidth="1"/>
    <col min="13316" max="13316" width="11.140625" style="244" customWidth="1"/>
    <col min="13317" max="13317" width="10.28515625" style="244" customWidth="1"/>
    <col min="13318" max="13318" width="13" style="244" customWidth="1"/>
    <col min="13319" max="13319" width="8.28515625" style="244" customWidth="1"/>
    <col min="13320" max="13565" width="9.140625" style="244"/>
    <col min="13566" max="13566" width="2.5703125" style="244" customWidth="1"/>
    <col min="13567" max="13567" width="7.140625" style="244" customWidth="1"/>
    <col min="13568" max="13568" width="27.7109375" style="244" customWidth="1"/>
    <col min="13569" max="13569" width="9.7109375" style="244" customWidth="1"/>
    <col min="13570" max="13570" width="4.7109375" style="244" customWidth="1"/>
    <col min="13571" max="13571" width="14.42578125" style="244" customWidth="1"/>
    <col min="13572" max="13572" width="11.140625" style="244" customWidth="1"/>
    <col min="13573" max="13573" width="10.28515625" style="244" customWidth="1"/>
    <col min="13574" max="13574" width="13" style="244" customWidth="1"/>
    <col min="13575" max="13575" width="8.28515625" style="244" customWidth="1"/>
    <col min="13576" max="13821" width="9.140625" style="244"/>
    <col min="13822" max="13822" width="2.5703125" style="244" customWidth="1"/>
    <col min="13823" max="13823" width="7.140625" style="244" customWidth="1"/>
    <col min="13824" max="13824" width="27.7109375" style="244" customWidth="1"/>
    <col min="13825" max="13825" width="9.7109375" style="244" customWidth="1"/>
    <col min="13826" max="13826" width="4.7109375" style="244" customWidth="1"/>
    <col min="13827" max="13827" width="14.42578125" style="244" customWidth="1"/>
    <col min="13828" max="13828" width="11.140625" style="244" customWidth="1"/>
    <col min="13829" max="13829" width="10.28515625" style="244" customWidth="1"/>
    <col min="13830" max="13830" width="13" style="244" customWidth="1"/>
    <col min="13831" max="13831" width="8.28515625" style="244" customWidth="1"/>
    <col min="13832" max="14077" width="9.140625" style="244"/>
    <col min="14078" max="14078" width="2.5703125" style="244" customWidth="1"/>
    <col min="14079" max="14079" width="7.140625" style="244" customWidth="1"/>
    <col min="14080" max="14080" width="27.7109375" style="244" customWidth="1"/>
    <col min="14081" max="14081" width="9.7109375" style="244" customWidth="1"/>
    <col min="14082" max="14082" width="4.7109375" style="244" customWidth="1"/>
    <col min="14083" max="14083" width="14.42578125" style="244" customWidth="1"/>
    <col min="14084" max="14084" width="11.140625" style="244" customWidth="1"/>
    <col min="14085" max="14085" width="10.28515625" style="244" customWidth="1"/>
    <col min="14086" max="14086" width="13" style="244" customWidth="1"/>
    <col min="14087" max="14087" width="8.28515625" style="244" customWidth="1"/>
    <col min="14088" max="14333" width="9.140625" style="244"/>
    <col min="14334" max="14334" width="2.5703125" style="244" customWidth="1"/>
    <col min="14335" max="14335" width="7.140625" style="244" customWidth="1"/>
    <col min="14336" max="14336" width="27.7109375" style="244" customWidth="1"/>
    <col min="14337" max="14337" width="9.7109375" style="244" customWidth="1"/>
    <col min="14338" max="14338" width="4.7109375" style="244" customWidth="1"/>
    <col min="14339" max="14339" width="14.42578125" style="244" customWidth="1"/>
    <col min="14340" max="14340" width="11.140625" style="244" customWidth="1"/>
    <col min="14341" max="14341" width="10.28515625" style="244" customWidth="1"/>
    <col min="14342" max="14342" width="13" style="244" customWidth="1"/>
    <col min="14343" max="14343" width="8.28515625" style="244" customWidth="1"/>
    <col min="14344" max="14589" width="9.140625" style="244"/>
    <col min="14590" max="14590" width="2.5703125" style="244" customWidth="1"/>
    <col min="14591" max="14591" width="7.140625" style="244" customWidth="1"/>
    <col min="14592" max="14592" width="27.7109375" style="244" customWidth="1"/>
    <col min="14593" max="14593" width="9.7109375" style="244" customWidth="1"/>
    <col min="14594" max="14594" width="4.7109375" style="244" customWidth="1"/>
    <col min="14595" max="14595" width="14.42578125" style="244" customWidth="1"/>
    <col min="14596" max="14596" width="11.140625" style="244" customWidth="1"/>
    <col min="14597" max="14597" width="10.28515625" style="244" customWidth="1"/>
    <col min="14598" max="14598" width="13" style="244" customWidth="1"/>
    <col min="14599" max="14599" width="8.28515625" style="244" customWidth="1"/>
    <col min="14600" max="14845" width="9.140625" style="244"/>
    <col min="14846" max="14846" width="2.5703125" style="244" customWidth="1"/>
    <col min="14847" max="14847" width="7.140625" style="244" customWidth="1"/>
    <col min="14848" max="14848" width="27.7109375" style="244" customWidth="1"/>
    <col min="14849" max="14849" width="9.7109375" style="244" customWidth="1"/>
    <col min="14850" max="14850" width="4.7109375" style="244" customWidth="1"/>
    <col min="14851" max="14851" width="14.42578125" style="244" customWidth="1"/>
    <col min="14852" max="14852" width="11.140625" style="244" customWidth="1"/>
    <col min="14853" max="14853" width="10.28515625" style="244" customWidth="1"/>
    <col min="14854" max="14854" width="13" style="244" customWidth="1"/>
    <col min="14855" max="14855" width="8.28515625" style="244" customWidth="1"/>
    <col min="14856" max="15101" width="9.140625" style="244"/>
    <col min="15102" max="15102" width="2.5703125" style="244" customWidth="1"/>
    <col min="15103" max="15103" width="7.140625" style="244" customWidth="1"/>
    <col min="15104" max="15104" width="27.7109375" style="244" customWidth="1"/>
    <col min="15105" max="15105" width="9.7109375" style="244" customWidth="1"/>
    <col min="15106" max="15106" width="4.7109375" style="244" customWidth="1"/>
    <col min="15107" max="15107" width="14.42578125" style="244" customWidth="1"/>
    <col min="15108" max="15108" width="11.140625" style="244" customWidth="1"/>
    <col min="15109" max="15109" width="10.28515625" style="244" customWidth="1"/>
    <col min="15110" max="15110" width="13" style="244" customWidth="1"/>
    <col min="15111" max="15111" width="8.28515625" style="244" customWidth="1"/>
    <col min="15112" max="15357" width="9.140625" style="244"/>
    <col min="15358" max="15358" width="2.5703125" style="244" customWidth="1"/>
    <col min="15359" max="15359" width="7.140625" style="244" customWidth="1"/>
    <col min="15360" max="15360" width="27.7109375" style="244" customWidth="1"/>
    <col min="15361" max="15361" width="9.7109375" style="244" customWidth="1"/>
    <col min="15362" max="15362" width="4.7109375" style="244" customWidth="1"/>
    <col min="15363" max="15363" width="14.42578125" style="244" customWidth="1"/>
    <col min="15364" max="15364" width="11.140625" style="244" customWidth="1"/>
    <col min="15365" max="15365" width="10.28515625" style="244" customWidth="1"/>
    <col min="15366" max="15366" width="13" style="244" customWidth="1"/>
    <col min="15367" max="15367" width="8.28515625" style="244" customWidth="1"/>
    <col min="15368" max="15613" width="9.140625" style="244"/>
    <col min="15614" max="15614" width="2.5703125" style="244" customWidth="1"/>
    <col min="15615" max="15615" width="7.140625" style="244" customWidth="1"/>
    <col min="15616" max="15616" width="27.7109375" style="244" customWidth="1"/>
    <col min="15617" max="15617" width="9.7109375" style="244" customWidth="1"/>
    <col min="15618" max="15618" width="4.7109375" style="244" customWidth="1"/>
    <col min="15619" max="15619" width="14.42578125" style="244" customWidth="1"/>
    <col min="15620" max="15620" width="11.140625" style="244" customWidth="1"/>
    <col min="15621" max="15621" width="10.28515625" style="244" customWidth="1"/>
    <col min="15622" max="15622" width="13" style="244" customWidth="1"/>
    <col min="15623" max="15623" width="8.28515625" style="244" customWidth="1"/>
    <col min="15624" max="15869" width="9.140625" style="244"/>
    <col min="15870" max="15870" width="2.5703125" style="244" customWidth="1"/>
    <col min="15871" max="15871" width="7.140625" style="244" customWidth="1"/>
    <col min="15872" max="15872" width="27.7109375" style="244" customWidth="1"/>
    <col min="15873" max="15873" width="9.7109375" style="244" customWidth="1"/>
    <col min="15874" max="15874" width="4.7109375" style="244" customWidth="1"/>
    <col min="15875" max="15875" width="14.42578125" style="244" customWidth="1"/>
    <col min="15876" max="15876" width="11.140625" style="244" customWidth="1"/>
    <col min="15877" max="15877" width="10.28515625" style="244" customWidth="1"/>
    <col min="15878" max="15878" width="13" style="244" customWidth="1"/>
    <col min="15879" max="15879" width="8.28515625" style="244" customWidth="1"/>
    <col min="15880" max="16125" width="9.140625" style="244"/>
    <col min="16126" max="16126" width="2.5703125" style="244" customWidth="1"/>
    <col min="16127" max="16127" width="7.140625" style="244" customWidth="1"/>
    <col min="16128" max="16128" width="27.7109375" style="244" customWidth="1"/>
    <col min="16129" max="16129" width="9.7109375" style="244" customWidth="1"/>
    <col min="16130" max="16130" width="4.7109375" style="244" customWidth="1"/>
    <col min="16131" max="16131" width="14.42578125" style="244" customWidth="1"/>
    <col min="16132" max="16132" width="11.140625" style="244" customWidth="1"/>
    <col min="16133" max="16133" width="10.28515625" style="244" customWidth="1"/>
    <col min="16134" max="16134" width="13" style="244" customWidth="1"/>
    <col min="16135" max="16135" width="8.28515625" style="244" customWidth="1"/>
    <col min="16136" max="16381" width="9.140625" style="244"/>
    <col min="16382" max="16384" width="9.140625" style="244" customWidth="1"/>
  </cols>
  <sheetData>
    <row r="1" spans="1:9">
      <c r="A1" s="17" t="str">
        <f>RevReqSummary!A1</f>
        <v>PacifiCorp General Rate Case UE-140617</v>
      </c>
      <c r="C1" s="241"/>
      <c r="F1" s="241"/>
    </row>
    <row r="2" spans="1:9">
      <c r="A2" s="17" t="str">
        <f>RevReqSummary!A2</f>
        <v>For The Twelve Months Ended December 2013 - Staff Revenue Requirement</v>
      </c>
      <c r="C2" s="241"/>
      <c r="F2" s="241"/>
    </row>
    <row r="3" spans="1:9">
      <c r="A3" s="248" t="s">
        <v>594</v>
      </c>
      <c r="C3" s="241"/>
      <c r="F3" s="241"/>
    </row>
    <row r="4" spans="1:9">
      <c r="A4" s="248" t="s">
        <v>595</v>
      </c>
      <c r="C4" s="241"/>
      <c r="F4" s="241"/>
    </row>
    <row r="5" spans="1:9">
      <c r="C5" s="241"/>
      <c r="F5" s="241"/>
    </row>
    <row r="6" spans="1:9">
      <c r="B6" s="23"/>
      <c r="C6" s="23"/>
      <c r="D6" s="23" t="s">
        <v>131</v>
      </c>
      <c r="E6" s="23"/>
      <c r="F6" s="23"/>
      <c r="G6" s="23" t="s">
        <v>236</v>
      </c>
    </row>
    <row r="7" spans="1:9">
      <c r="A7" s="240" t="s">
        <v>222</v>
      </c>
      <c r="B7" s="26" t="s">
        <v>132</v>
      </c>
      <c r="C7" s="26" t="s">
        <v>660</v>
      </c>
      <c r="D7" s="26" t="s">
        <v>134</v>
      </c>
      <c r="E7" s="26" t="s">
        <v>135</v>
      </c>
      <c r="F7" s="26" t="s">
        <v>136</v>
      </c>
      <c r="G7" s="26" t="s">
        <v>137</v>
      </c>
    </row>
    <row r="8" spans="1:9">
      <c r="A8" s="240"/>
      <c r="B8" s="517"/>
      <c r="C8" s="517"/>
      <c r="D8" s="527"/>
      <c r="E8" s="517"/>
      <c r="F8" s="517"/>
      <c r="G8" s="526"/>
    </row>
    <row r="9" spans="1:9">
      <c r="A9" s="244" t="s">
        <v>769</v>
      </c>
      <c r="B9" s="241">
        <v>332</v>
      </c>
      <c r="C9" s="241">
        <v>1</v>
      </c>
      <c r="D9" s="1332">
        <v>-2098.02</v>
      </c>
      <c r="E9" s="241" t="s">
        <v>214</v>
      </c>
      <c r="F9" s="528">
        <f>INDEX(WCAAllocations,IFERROR(MATCH(E9,WCAFactors,0),2),IFERROR(MATCH(E9,WCAStates,0),4))</f>
        <v>0</v>
      </c>
      <c r="G9" s="1127">
        <f>D9*F9</f>
        <v>0</v>
      </c>
    </row>
    <row r="10" spans="1:9">
      <c r="A10" s="244" t="s">
        <v>770</v>
      </c>
      <c r="B10" s="241">
        <v>353</v>
      </c>
      <c r="C10" s="241">
        <v>1</v>
      </c>
      <c r="D10" s="1332">
        <v>0</v>
      </c>
      <c r="E10" s="241" t="s">
        <v>214</v>
      </c>
      <c r="F10" s="528">
        <f>INDEX(WCAAllocations,IFERROR(MATCH(E10,WCAFactors,0),2),IFERROR(MATCH(E10,WCAStates,0),4))</f>
        <v>0</v>
      </c>
      <c r="G10" s="1127">
        <f>D10*F10</f>
        <v>0</v>
      </c>
    </row>
    <row r="11" spans="1:9" ht="13.15" customHeight="1">
      <c r="A11" s="244" t="s">
        <v>771</v>
      </c>
      <c r="B11" s="241">
        <v>361</v>
      </c>
      <c r="C11" s="241">
        <v>1</v>
      </c>
      <c r="D11" s="1332">
        <v>0</v>
      </c>
      <c r="E11" s="241" t="s">
        <v>173</v>
      </c>
      <c r="F11" s="528">
        <f>INDEX(WCAAllocations,IFERROR(MATCH(E11,WCAFactors,0),2),IFERROR(MATCH(E11,WCAStates,0),4))</f>
        <v>0</v>
      </c>
      <c r="G11" s="1127">
        <f>D11*F9</f>
        <v>0</v>
      </c>
    </row>
    <row r="12" spans="1:9">
      <c r="A12" s="530"/>
      <c r="B12" s="30"/>
      <c r="C12" s="241"/>
      <c r="D12" s="531">
        <f>SUM(D9:D11)</f>
        <v>-2098.02</v>
      </c>
      <c r="E12" s="30"/>
      <c r="F12" s="532"/>
      <c r="G12" s="531">
        <f>SUM(G9:G11)</f>
        <v>0</v>
      </c>
      <c r="H12" s="37"/>
      <c r="I12" s="29"/>
    </row>
    <row r="13" spans="1:9">
      <c r="A13" s="533"/>
      <c r="B13" s="30"/>
      <c r="C13" s="241"/>
      <c r="E13" s="30"/>
      <c r="F13" s="532"/>
      <c r="H13" s="37"/>
      <c r="I13" s="29"/>
    </row>
    <row r="14" spans="1:9">
      <c r="A14" s="534" t="s">
        <v>596</v>
      </c>
      <c r="B14" s="30"/>
      <c r="C14" s="241"/>
      <c r="D14" s="529"/>
      <c r="E14" s="30"/>
      <c r="F14" s="532"/>
      <c r="G14" s="529"/>
      <c r="H14" s="37"/>
      <c r="I14" s="29"/>
    </row>
    <row r="15" spans="1:9">
      <c r="A15" s="244" t="s">
        <v>772</v>
      </c>
      <c r="B15" s="241" t="s">
        <v>175</v>
      </c>
      <c r="C15" s="241">
        <v>1</v>
      </c>
      <c r="D15" s="1332">
        <v>0</v>
      </c>
      <c r="E15" s="241" t="s">
        <v>214</v>
      </c>
      <c r="F15" s="528">
        <f>INDEX(WCAAllocations,IFERROR(MATCH(E15,WCAFactors,0),2),IFERROR(MATCH(E15,WCAStates,0),4))</f>
        <v>0</v>
      </c>
      <c r="G15" s="1127">
        <f>D15*F15</f>
        <v>0</v>
      </c>
      <c r="H15" s="37"/>
      <c r="I15" s="29"/>
    </row>
    <row r="16" spans="1:9">
      <c r="A16" s="244" t="s">
        <v>773</v>
      </c>
      <c r="B16" s="241" t="s">
        <v>179</v>
      </c>
      <c r="C16" s="241">
        <v>1</v>
      </c>
      <c r="D16" s="1332">
        <v>0</v>
      </c>
      <c r="E16" s="241" t="s">
        <v>214</v>
      </c>
      <c r="F16" s="528">
        <f>INDEX(WCAAllocations,IFERROR(MATCH(E16,WCAFactors,0),2),IFERROR(MATCH(E16,WCAStates,0),4))</f>
        <v>0</v>
      </c>
      <c r="G16" s="1127">
        <f>D16*F16</f>
        <v>0</v>
      </c>
      <c r="H16" s="37"/>
      <c r="I16" s="29"/>
    </row>
    <row r="17" spans="1:9">
      <c r="A17" s="244" t="s">
        <v>774</v>
      </c>
      <c r="B17" s="241">
        <v>108361</v>
      </c>
      <c r="C17" s="241">
        <v>1</v>
      </c>
      <c r="D17" s="1332">
        <v>0</v>
      </c>
      <c r="E17" s="241" t="s">
        <v>173</v>
      </c>
      <c r="F17" s="528">
        <f>INDEX(WCAAllocations,IFERROR(MATCH(E17,WCAFactors,0),2),IFERROR(MATCH(E17,WCAStates,0),4))</f>
        <v>0</v>
      </c>
      <c r="G17" s="1127">
        <f>D17*F17</f>
        <v>0</v>
      </c>
    </row>
    <row r="18" spans="1:9">
      <c r="A18" s="530"/>
      <c r="B18" s="30"/>
      <c r="C18" s="241"/>
      <c r="E18" s="535"/>
      <c r="F18" s="532"/>
    </row>
    <row r="19" spans="1:9">
      <c r="A19" s="248" t="s">
        <v>597</v>
      </c>
      <c r="C19" s="241"/>
      <c r="F19" s="532"/>
      <c r="H19" s="37"/>
    </row>
    <row r="20" spans="1:9">
      <c r="A20" s="244" t="s">
        <v>775</v>
      </c>
      <c r="B20" s="241" t="s">
        <v>184</v>
      </c>
      <c r="C20" s="241">
        <v>1</v>
      </c>
      <c r="D20" s="1332">
        <v>-1548951</v>
      </c>
      <c r="E20" s="241" t="s">
        <v>203</v>
      </c>
      <c r="F20" s="528">
        <f>INDEX(WCAAllocations,IFERROR(MATCH(E20,WCAFactors,0),2),IFERROR(MATCH(E20,WCAStates,0),4))</f>
        <v>0.23084885646883446</v>
      </c>
      <c r="G20" s="1127">
        <f>D20*F20</f>
        <v>-357573.5670762576</v>
      </c>
      <c r="H20" s="37"/>
      <c r="I20" s="536"/>
    </row>
    <row r="21" spans="1:9">
      <c r="C21" s="241"/>
      <c r="F21" s="528">
        <f>INDEX(WCAAllocations,IFERROR(MATCH(E21,WCAFactors,0),2),IFERROR(MATCH(E21,WCAStates,0),4))</f>
        <v>1</v>
      </c>
      <c r="G21" s="1127">
        <f>D21*F21</f>
        <v>0</v>
      </c>
      <c r="H21" s="37"/>
      <c r="I21" s="536"/>
    </row>
    <row r="22" spans="1:9">
      <c r="A22" s="244" t="s">
        <v>776</v>
      </c>
      <c r="B22" s="241" t="s">
        <v>184</v>
      </c>
      <c r="C22" s="241">
        <v>1</v>
      </c>
      <c r="D22" s="1332">
        <v>-32788.29</v>
      </c>
      <c r="E22" s="241" t="s">
        <v>214</v>
      </c>
      <c r="F22" s="528">
        <f>INDEX(WCAAllocations,IFERROR(MATCH(E22,WCAFactors,0),2),IFERROR(MATCH(E22,WCAStates,0),4))</f>
        <v>0</v>
      </c>
      <c r="G22" s="1127">
        <f>D22*F22</f>
        <v>0</v>
      </c>
      <c r="H22" s="37"/>
      <c r="I22" s="536"/>
    </row>
    <row r="23" spans="1:9">
      <c r="A23" s="244" t="s">
        <v>777</v>
      </c>
      <c r="B23" s="241" t="s">
        <v>187</v>
      </c>
      <c r="C23" s="241">
        <v>1</v>
      </c>
      <c r="D23" s="1332">
        <v>-1667.18</v>
      </c>
      <c r="E23" s="241" t="s">
        <v>214</v>
      </c>
      <c r="F23" s="528">
        <f>INDEX(WCAAllocations,IFERROR(MATCH(E23,WCAFactors,0),2),IFERROR(MATCH(E23,WCAStates,0),4))</f>
        <v>0</v>
      </c>
      <c r="G23" s="1127">
        <f>D23*F23</f>
        <v>0</v>
      </c>
      <c r="H23" s="37"/>
      <c r="I23" s="536"/>
    </row>
    <row r="24" spans="1:9">
      <c r="A24" s="244" t="s">
        <v>778</v>
      </c>
      <c r="B24" s="241">
        <v>403361</v>
      </c>
      <c r="C24" s="241">
        <v>1</v>
      </c>
      <c r="D24" s="1332">
        <v>-88.86</v>
      </c>
      <c r="E24" s="241" t="s">
        <v>173</v>
      </c>
      <c r="F24" s="528">
        <f>INDEX(WCAAllocations,IFERROR(MATCH(E24,WCAFactors,0),2),IFERROR(MATCH(E24,WCAStates,0),4))</f>
        <v>0</v>
      </c>
      <c r="G24" s="1127">
        <f>D24*F24</f>
        <v>0</v>
      </c>
    </row>
    <row r="25" spans="1:9">
      <c r="A25" s="530"/>
      <c r="C25" s="241"/>
      <c r="D25" s="537">
        <f>SUM(D20:D24)</f>
        <v>-1583495.33</v>
      </c>
      <c r="E25" s="30"/>
      <c r="F25" s="532"/>
      <c r="G25" s="531">
        <f>SUM(G20:G24)</f>
        <v>-357573.5670762576</v>
      </c>
    </row>
    <row r="26" spans="1:9">
      <c r="C26" s="241"/>
    </row>
    <row r="27" spans="1:9">
      <c r="A27" s="248" t="s">
        <v>199</v>
      </c>
    </row>
    <row r="28" spans="1:9">
      <c r="A28" s="244" t="s">
        <v>598</v>
      </c>
      <c r="B28" s="241">
        <v>539</v>
      </c>
      <c r="C28" s="244">
        <v>1</v>
      </c>
      <c r="D28" s="1332">
        <v>-30254.560000000001</v>
      </c>
      <c r="E28" s="241" t="s">
        <v>203</v>
      </c>
      <c r="F28" s="528">
        <f>INDEX(WCAAllocations,IFERROR(MATCH(E28,WCAFactors,0),2),IFERROR(MATCH(E28,WCAStates,0),4))</f>
        <v>0.23084885646883446</v>
      </c>
      <c r="G28" s="1127">
        <f>D28*F28</f>
        <v>-6984.2305789677403</v>
      </c>
    </row>
    <row r="29" spans="1:9">
      <c r="A29" s="244" t="s">
        <v>779</v>
      </c>
      <c r="B29" s="241">
        <v>539</v>
      </c>
      <c r="C29" s="244">
        <v>1</v>
      </c>
      <c r="D29" s="1332">
        <v>-38860.180000000008</v>
      </c>
      <c r="E29" s="241" t="s">
        <v>214</v>
      </c>
      <c r="F29" s="528">
        <f>INDEX(WCAAllocations,IFERROR(MATCH(E29,WCAFactors,0),2),IFERROR(MATCH(E29,WCAStates,0),4))</f>
        <v>0</v>
      </c>
      <c r="G29" s="1127">
        <f>D29*F29</f>
        <v>0</v>
      </c>
    </row>
    <row r="30" spans="1:9">
      <c r="A30" s="244" t="s">
        <v>780</v>
      </c>
      <c r="B30" s="241">
        <v>539</v>
      </c>
      <c r="C30" s="244">
        <v>1</v>
      </c>
      <c r="D30" s="1332">
        <v>-852.3</v>
      </c>
      <c r="E30" s="241" t="s">
        <v>214</v>
      </c>
      <c r="F30" s="538">
        <f>INDEX(WCAAllocations,IFERROR(MATCH(E30,WCAFactors,0),2),IFERROR(MATCH(E30,WCAStates,0),4))</f>
        <v>0</v>
      </c>
      <c r="G30" s="1127">
        <f>D30*F30</f>
        <v>0</v>
      </c>
    </row>
    <row r="31" spans="1:9">
      <c r="F31" s="253"/>
      <c r="G31" s="1127"/>
    </row>
    <row r="32" spans="1:9">
      <c r="F32" s="253"/>
      <c r="G32" s="1127"/>
    </row>
    <row r="33" spans="1:7">
      <c r="A33" s="244" t="s">
        <v>781</v>
      </c>
      <c r="B33" s="241" t="s">
        <v>191</v>
      </c>
      <c r="C33" s="244">
        <v>1</v>
      </c>
      <c r="D33" s="1332">
        <v>-32788.29</v>
      </c>
      <c r="E33" s="241" t="s">
        <v>214</v>
      </c>
      <c r="F33" s="528">
        <f t="shared" ref="F33:F43" si="0">INDEX(WCAAllocations,IFERROR(MATCH(E33,WCAFactors,0),2),IFERROR(MATCH(E33,WCAStates,0),4))</f>
        <v>0</v>
      </c>
      <c r="G33" s="1127">
        <f t="shared" ref="G33:G43" si="1">D33*F33</f>
        <v>0</v>
      </c>
    </row>
    <row r="34" spans="1:7">
      <c r="A34" s="244" t="s">
        <v>781</v>
      </c>
      <c r="B34" s="241" t="s">
        <v>191</v>
      </c>
      <c r="C34" s="244">
        <v>1</v>
      </c>
      <c r="D34" s="1332">
        <v>-1667.18</v>
      </c>
      <c r="E34" s="354" t="s">
        <v>214</v>
      </c>
      <c r="F34" s="528">
        <f t="shared" si="0"/>
        <v>0</v>
      </c>
      <c r="G34" s="1127">
        <f t="shared" si="1"/>
        <v>0</v>
      </c>
    </row>
    <row r="35" spans="1:7">
      <c r="A35" s="244" t="s">
        <v>781</v>
      </c>
      <c r="B35" s="241" t="s">
        <v>191</v>
      </c>
      <c r="C35" s="244">
        <v>1</v>
      </c>
      <c r="D35" s="1332">
        <v>-88.86</v>
      </c>
      <c r="E35" s="241" t="s">
        <v>173</v>
      </c>
      <c r="F35" s="538">
        <f t="shared" si="0"/>
        <v>0</v>
      </c>
      <c r="G35" s="1127">
        <f t="shared" si="1"/>
        <v>0</v>
      </c>
    </row>
    <row r="36" spans="1:7">
      <c r="G36" s="1127"/>
    </row>
    <row r="37" spans="1:7">
      <c r="A37" s="244" t="s">
        <v>782</v>
      </c>
      <c r="B37" s="241">
        <v>41110</v>
      </c>
      <c r="C37" s="244">
        <v>1</v>
      </c>
      <c r="D37" s="1332">
        <v>12443</v>
      </c>
      <c r="E37" s="241" t="s">
        <v>214</v>
      </c>
      <c r="F37" s="528">
        <f t="shared" si="0"/>
        <v>0</v>
      </c>
      <c r="G37" s="1127">
        <f t="shared" si="1"/>
        <v>0</v>
      </c>
    </row>
    <row r="38" spans="1:7" ht="14.45" customHeight="1">
      <c r="A38" s="244" t="s">
        <v>782</v>
      </c>
      <c r="B38" s="241">
        <v>41110</v>
      </c>
      <c r="C38" s="244">
        <v>1</v>
      </c>
      <c r="D38" s="1332">
        <v>633</v>
      </c>
      <c r="E38" s="241" t="s">
        <v>214</v>
      </c>
      <c r="F38" s="538">
        <f t="shared" si="0"/>
        <v>0</v>
      </c>
      <c r="G38" s="1127">
        <f t="shared" si="1"/>
        <v>0</v>
      </c>
    </row>
    <row r="39" spans="1:7">
      <c r="A39" s="244" t="s">
        <v>782</v>
      </c>
      <c r="B39" s="241">
        <v>41110</v>
      </c>
      <c r="C39" s="244">
        <v>1</v>
      </c>
      <c r="D39" s="1332">
        <v>34</v>
      </c>
      <c r="E39" s="241" t="s">
        <v>173</v>
      </c>
      <c r="F39" s="528">
        <f t="shared" si="0"/>
        <v>0</v>
      </c>
      <c r="G39" s="1127">
        <f t="shared" si="1"/>
        <v>0</v>
      </c>
    </row>
    <row r="40" spans="1:7">
      <c r="F40" s="528">
        <f t="shared" si="0"/>
        <v>1</v>
      </c>
      <c r="G40" s="1127">
        <f t="shared" si="1"/>
        <v>0</v>
      </c>
    </row>
    <row r="41" spans="1:7">
      <c r="A41" s="244" t="s">
        <v>783</v>
      </c>
      <c r="B41" s="241">
        <v>282</v>
      </c>
      <c r="C41" s="244">
        <v>1</v>
      </c>
      <c r="D41" s="1332">
        <v>-6222</v>
      </c>
      <c r="E41" s="241" t="s">
        <v>214</v>
      </c>
      <c r="F41" s="538">
        <f t="shared" si="0"/>
        <v>0</v>
      </c>
      <c r="G41" s="1127">
        <f t="shared" si="1"/>
        <v>0</v>
      </c>
    </row>
    <row r="42" spans="1:7">
      <c r="A42" s="244" t="s">
        <v>783</v>
      </c>
      <c r="B42" s="241">
        <v>282</v>
      </c>
      <c r="C42" s="244">
        <v>1</v>
      </c>
      <c r="D42" s="1332">
        <v>-317</v>
      </c>
      <c r="E42" s="241" t="s">
        <v>214</v>
      </c>
      <c r="F42" s="528">
        <f t="shared" si="0"/>
        <v>0</v>
      </c>
      <c r="G42" s="1127">
        <f t="shared" si="1"/>
        <v>0</v>
      </c>
    </row>
    <row r="43" spans="1:7">
      <c r="A43" s="244" t="s">
        <v>783</v>
      </c>
      <c r="B43" s="241">
        <v>282</v>
      </c>
      <c r="C43" s="244">
        <v>1</v>
      </c>
      <c r="D43" s="1332">
        <v>-17</v>
      </c>
      <c r="E43" s="241" t="s">
        <v>173</v>
      </c>
      <c r="F43" s="528">
        <f t="shared" si="0"/>
        <v>0</v>
      </c>
      <c r="G43" s="1127">
        <f t="shared" si="1"/>
        <v>0</v>
      </c>
    </row>
    <row r="44" spans="1:7">
      <c r="F44" s="253"/>
    </row>
    <row r="45" spans="1:7">
      <c r="F45" s="253"/>
    </row>
    <row r="46" spans="1:7">
      <c r="A46" s="248" t="s">
        <v>212</v>
      </c>
      <c r="C46" s="241"/>
      <c r="D46" s="539"/>
      <c r="F46" s="155"/>
      <c r="G46" s="529"/>
    </row>
    <row r="47" spans="1:7">
      <c r="A47" s="1408" t="s">
        <v>1082</v>
      </c>
      <c r="B47" s="1408"/>
      <c r="C47" s="1408"/>
      <c r="D47" s="1408"/>
      <c r="E47" s="1408"/>
      <c r="F47" s="1408"/>
      <c r="G47" s="1408"/>
    </row>
    <row r="48" spans="1:7">
      <c r="A48" s="1408"/>
      <c r="B48" s="1408"/>
      <c r="C48" s="1408"/>
      <c r="D48" s="1408"/>
      <c r="E48" s="1408"/>
      <c r="F48" s="1408"/>
      <c r="G48" s="1408"/>
    </row>
    <row r="49" spans="1:7">
      <c r="A49" s="1408"/>
      <c r="B49" s="1408"/>
      <c r="C49" s="1408"/>
      <c r="D49" s="1408"/>
      <c r="E49" s="1408"/>
      <c r="F49" s="1408"/>
      <c r="G49" s="1408"/>
    </row>
    <row r="50" spans="1:7">
      <c r="A50" s="1408"/>
      <c r="B50" s="1408"/>
      <c r="C50" s="1408"/>
      <c r="D50" s="1408"/>
      <c r="E50" s="1408"/>
      <c r="F50" s="1408"/>
      <c r="G50" s="1408"/>
    </row>
    <row r="51" spans="1:7">
      <c r="A51" s="1408"/>
      <c r="B51" s="1408"/>
      <c r="C51" s="1408"/>
      <c r="D51" s="1408"/>
      <c r="E51" s="1408"/>
      <c r="F51" s="1408"/>
      <c r="G51" s="1408"/>
    </row>
    <row r="52" spans="1:7">
      <c r="A52" s="1408"/>
      <c r="B52" s="1408"/>
      <c r="C52" s="1408"/>
      <c r="D52" s="1408"/>
      <c r="E52" s="1408"/>
      <c r="F52" s="1408"/>
      <c r="G52" s="1408"/>
    </row>
    <row r="53" spans="1:7">
      <c r="A53" s="1408"/>
      <c r="B53" s="1408"/>
      <c r="C53" s="1408"/>
      <c r="D53" s="1408"/>
      <c r="E53" s="1408"/>
      <c r="F53" s="1408"/>
      <c r="G53" s="1408"/>
    </row>
    <row r="56" spans="1:7">
      <c r="B56" s="517"/>
      <c r="E56" s="517"/>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workbookViewId="0">
      <selection activeCell="F16" sqref="F16"/>
    </sheetView>
  </sheetViews>
  <sheetFormatPr defaultColWidth="9.140625" defaultRowHeight="12.75"/>
  <cols>
    <col min="1" max="1" width="8.85546875" style="1" customWidth="1"/>
    <col min="2" max="2" width="9.7109375" style="1" bestFit="1" customWidth="1"/>
    <col min="3" max="3" width="5.42578125" style="1" bestFit="1" customWidth="1"/>
    <col min="4" max="4" width="12.28515625" style="1" bestFit="1" customWidth="1"/>
    <col min="5" max="5" width="8" style="1" bestFit="1" customWidth="1"/>
    <col min="6" max="6" width="10" style="1" bestFit="1" customWidth="1"/>
    <col min="7" max="7" width="13.28515625" style="1" bestFit="1" customWidth="1"/>
    <col min="8" max="8" width="10.140625" style="1" customWidth="1"/>
    <col min="9" max="16384" width="9.140625" style="1"/>
  </cols>
  <sheetData>
    <row r="1" spans="1:8">
      <c r="A1" s="17" t="str">
        <f>RevReqSummary!A1</f>
        <v>PacifiCorp General Rate Case UE-140617</v>
      </c>
      <c r="B1" s="241"/>
      <c r="C1" s="241"/>
      <c r="D1" s="241"/>
      <c r="E1" s="241"/>
      <c r="F1" s="512"/>
      <c r="G1" s="241"/>
      <c r="H1" s="484"/>
    </row>
    <row r="2" spans="1:8">
      <c r="A2" s="17" t="str">
        <f>RevReqSummary!A2</f>
        <v>For The Twelve Months Ended December 2013 - Staff Revenue Requirement</v>
      </c>
      <c r="B2" s="241"/>
      <c r="C2" s="241"/>
      <c r="D2" s="241"/>
      <c r="E2" s="241"/>
      <c r="F2" s="512"/>
      <c r="G2" s="241"/>
      <c r="H2" s="484"/>
    </row>
    <row r="3" spans="1:8">
      <c r="A3" s="248" t="s">
        <v>1085</v>
      </c>
      <c r="B3" s="241"/>
      <c r="C3" s="241"/>
      <c r="D3" s="241"/>
      <c r="E3" s="241"/>
      <c r="F3" s="512"/>
      <c r="G3" s="241"/>
      <c r="H3" s="484"/>
    </row>
    <row r="4" spans="1:8">
      <c r="A4" s="496" t="s">
        <v>647</v>
      </c>
      <c r="B4" s="241"/>
      <c r="C4" s="241"/>
      <c r="D4" s="241"/>
      <c r="E4" s="241"/>
      <c r="F4" s="512"/>
      <c r="G4" s="241"/>
      <c r="H4" s="484"/>
    </row>
    <row r="5" spans="1:8">
      <c r="A5" s="496"/>
      <c r="B5" s="241"/>
      <c r="C5" s="241"/>
      <c r="D5" s="241"/>
      <c r="E5" s="241"/>
      <c r="F5" s="512"/>
      <c r="G5" s="241"/>
      <c r="H5" s="484"/>
    </row>
    <row r="6" spans="1:8">
      <c r="A6" s="516"/>
      <c r="B6" s="23"/>
      <c r="C6" s="23"/>
      <c r="D6" s="23" t="s">
        <v>131</v>
      </c>
      <c r="E6" s="23"/>
      <c r="F6" s="23"/>
      <c r="G6" s="23" t="s">
        <v>236</v>
      </c>
      <c r="H6" s="484"/>
    </row>
    <row r="7" spans="1:8">
      <c r="A7" s="516"/>
      <c r="B7" s="26" t="s">
        <v>132</v>
      </c>
      <c r="C7" s="26" t="s">
        <v>660</v>
      </c>
      <c r="D7" s="26" t="s">
        <v>134</v>
      </c>
      <c r="E7" s="26" t="s">
        <v>135</v>
      </c>
      <c r="F7" s="26" t="s">
        <v>136</v>
      </c>
      <c r="G7" s="26" t="s">
        <v>137</v>
      </c>
      <c r="H7" s="486"/>
    </row>
    <row r="8" spans="1:8">
      <c r="A8" s="240" t="s">
        <v>222</v>
      </c>
      <c r="B8" s="518"/>
      <c r="C8" s="163"/>
      <c r="D8" s="498"/>
      <c r="E8" s="519"/>
      <c r="F8" s="520"/>
      <c r="G8" s="498"/>
      <c r="H8" s="484"/>
    </row>
    <row r="9" spans="1:8">
      <c r="A9" s="502"/>
      <c r="B9" s="503">
        <v>302</v>
      </c>
      <c r="C9" s="163" t="s">
        <v>140</v>
      </c>
      <c r="D9" s="1332">
        <v>190.51125000044703</v>
      </c>
      <c r="E9" s="504" t="s">
        <v>214</v>
      </c>
      <c r="F9" s="514">
        <f t="shared" ref="F9:F40" si="0">INDEX(WCAAllocations,IFERROR(MATCH(E9,WCAFactors,0),2),IFERROR(MATCH(E9,WCAStates,0),4))</f>
        <v>0</v>
      </c>
      <c r="G9" s="498">
        <f>D9*F9</f>
        <v>0</v>
      </c>
      <c r="H9" s="484"/>
    </row>
    <row r="10" spans="1:8">
      <c r="A10" s="502"/>
      <c r="B10" s="503">
        <v>302</v>
      </c>
      <c r="C10" s="163" t="s">
        <v>140</v>
      </c>
      <c r="D10" s="1332">
        <v>3072.7708340287209</v>
      </c>
      <c r="E10" s="504" t="s">
        <v>203</v>
      </c>
      <c r="F10" s="514">
        <f t="shared" si="0"/>
        <v>0.23084885646883446</v>
      </c>
      <c r="G10" s="498">
        <f t="shared" ref="G10:G73" si="1">D10*F10</f>
        <v>709.34563322631698</v>
      </c>
      <c r="H10" s="484"/>
    </row>
    <row r="11" spans="1:8">
      <c r="A11" s="502"/>
      <c r="B11" s="503">
        <v>303</v>
      </c>
      <c r="C11" s="163" t="s">
        <v>140</v>
      </c>
      <c r="D11" s="1332">
        <v>579.60208333400078</v>
      </c>
      <c r="E11" s="504" t="s">
        <v>170</v>
      </c>
      <c r="F11" s="514">
        <f t="shared" si="0"/>
        <v>0</v>
      </c>
      <c r="G11" s="498">
        <f t="shared" si="1"/>
        <v>0</v>
      </c>
      <c r="H11" s="484"/>
    </row>
    <row r="12" spans="1:8">
      <c r="A12" s="502"/>
      <c r="B12" s="503">
        <v>303</v>
      </c>
      <c r="C12" s="163" t="s">
        <v>140</v>
      </c>
      <c r="D12" s="1332">
        <v>7894.8312499998137</v>
      </c>
      <c r="E12" s="504" t="s">
        <v>261</v>
      </c>
      <c r="F12" s="514">
        <f t="shared" si="0"/>
        <v>0</v>
      </c>
      <c r="G12" s="498">
        <f t="shared" si="1"/>
        <v>0</v>
      </c>
      <c r="H12" s="484"/>
    </row>
    <row r="13" spans="1:8">
      <c r="A13" s="502"/>
      <c r="B13" s="503">
        <v>303</v>
      </c>
      <c r="C13" s="163" t="s">
        <v>140</v>
      </c>
      <c r="D13" s="1332">
        <v>-78805.028333306313</v>
      </c>
      <c r="E13" s="504" t="s">
        <v>214</v>
      </c>
      <c r="F13" s="514">
        <f t="shared" si="0"/>
        <v>0</v>
      </c>
      <c r="G13" s="498">
        <f t="shared" si="1"/>
        <v>0</v>
      </c>
      <c r="H13" s="484"/>
    </row>
    <row r="14" spans="1:8">
      <c r="A14" s="244"/>
      <c r="B14" s="503">
        <v>303</v>
      </c>
      <c r="C14" s="503" t="s">
        <v>140</v>
      </c>
      <c r="D14" s="1332">
        <v>2021806.9849999994</v>
      </c>
      <c r="E14" s="504" t="s">
        <v>203</v>
      </c>
      <c r="F14" s="514">
        <f t="shared" si="0"/>
        <v>0.23084885646883446</v>
      </c>
      <c r="G14" s="498">
        <f t="shared" si="1"/>
        <v>466731.83048795181</v>
      </c>
      <c r="H14" s="484"/>
    </row>
    <row r="15" spans="1:8">
      <c r="A15" s="244"/>
      <c r="B15" s="503">
        <v>303</v>
      </c>
      <c r="C15" s="503" t="s">
        <v>140</v>
      </c>
      <c r="D15" s="1332">
        <v>871530.32583399117</v>
      </c>
      <c r="E15" s="504" t="s">
        <v>152</v>
      </c>
      <c r="F15" s="514">
        <f t="shared" si="0"/>
        <v>6.9173575695716499E-2</v>
      </c>
      <c r="G15" s="498">
        <f t="shared" si="1"/>
        <v>60286.868965190049</v>
      </c>
      <c r="H15" s="484"/>
    </row>
    <row r="16" spans="1:8">
      <c r="A16" s="502"/>
      <c r="B16" s="503">
        <v>303</v>
      </c>
      <c r="C16" s="163" t="s">
        <v>140</v>
      </c>
      <c r="D16" s="1332">
        <v>8681.8954166704789</v>
      </c>
      <c r="E16" s="504" t="s">
        <v>171</v>
      </c>
      <c r="F16" s="514">
        <f t="shared" si="0"/>
        <v>0</v>
      </c>
      <c r="G16" s="498">
        <f t="shared" si="1"/>
        <v>0</v>
      </c>
      <c r="H16" s="484"/>
    </row>
    <row r="17" spans="1:8">
      <c r="A17" s="502"/>
      <c r="B17" s="503">
        <v>303</v>
      </c>
      <c r="C17" s="163" t="s">
        <v>140</v>
      </c>
      <c r="D17" s="1332">
        <v>-158.59375</v>
      </c>
      <c r="E17" s="504" t="s">
        <v>146</v>
      </c>
      <c r="F17" s="514">
        <f t="shared" si="0"/>
        <v>7.9057273540331513E-2</v>
      </c>
      <c r="G17" s="498">
        <f t="shared" si="1"/>
        <v>-12.537989475536952</v>
      </c>
      <c r="H17" s="484"/>
    </row>
    <row r="18" spans="1:8">
      <c r="A18" s="502"/>
      <c r="B18" s="503">
        <v>303</v>
      </c>
      <c r="C18" s="163" t="s">
        <v>140</v>
      </c>
      <c r="D18" s="1332">
        <v>-1623686.0095829964</v>
      </c>
      <c r="E18" s="504" t="s">
        <v>130</v>
      </c>
      <c r="F18" s="514">
        <f t="shared" si="0"/>
        <v>6.8539355270203509E-2</v>
      </c>
      <c r="G18" s="498">
        <f t="shared" si="1"/>
        <v>-111286.39225806805</v>
      </c>
      <c r="H18" s="484"/>
    </row>
    <row r="19" spans="1:8">
      <c r="A19" s="502"/>
      <c r="B19" s="503">
        <v>303</v>
      </c>
      <c r="C19" s="163" t="s">
        <v>140</v>
      </c>
      <c r="D19" s="1332">
        <v>-668.14416666002944</v>
      </c>
      <c r="E19" s="504" t="s">
        <v>172</v>
      </c>
      <c r="F19" s="514">
        <f t="shared" si="0"/>
        <v>0</v>
      </c>
      <c r="G19" s="498">
        <f t="shared" si="1"/>
        <v>0</v>
      </c>
      <c r="H19" s="484"/>
    </row>
    <row r="20" spans="1:8">
      <c r="A20" s="502"/>
      <c r="B20" s="503">
        <v>303</v>
      </c>
      <c r="C20" s="163" t="s">
        <v>140</v>
      </c>
      <c r="D20" s="1332">
        <v>3393.2458333401009</v>
      </c>
      <c r="E20" s="504" t="s">
        <v>141</v>
      </c>
      <c r="F20" s="514">
        <f t="shared" si="0"/>
        <v>1</v>
      </c>
      <c r="G20" s="498">
        <f t="shared" si="1"/>
        <v>3393.2458333401009</v>
      </c>
      <c r="H20" s="484"/>
    </row>
    <row r="21" spans="1:8">
      <c r="A21" s="244"/>
      <c r="B21" s="503">
        <v>310</v>
      </c>
      <c r="C21" s="503" t="s">
        <v>140</v>
      </c>
      <c r="D21" s="1332">
        <v>1088.8362499922514</v>
      </c>
      <c r="E21" s="504" t="s">
        <v>214</v>
      </c>
      <c r="F21" s="514">
        <f t="shared" si="0"/>
        <v>0</v>
      </c>
      <c r="G21" s="498">
        <f t="shared" si="1"/>
        <v>0</v>
      </c>
      <c r="H21" s="484"/>
    </row>
    <row r="22" spans="1:8">
      <c r="A22" s="244"/>
      <c r="B22" s="503">
        <v>310</v>
      </c>
      <c r="C22" s="503" t="s">
        <v>140</v>
      </c>
      <c r="D22" s="1332">
        <v>414239.58333334001</v>
      </c>
      <c r="E22" s="504" t="s">
        <v>203</v>
      </c>
      <c r="F22" s="514">
        <f t="shared" si="0"/>
        <v>0.23084885646883446</v>
      </c>
      <c r="G22" s="498">
        <f t="shared" si="1"/>
        <v>95626.734116627995</v>
      </c>
      <c r="H22" s="484"/>
    </row>
    <row r="23" spans="1:8">
      <c r="A23" s="506"/>
      <c r="B23" s="503">
        <v>311</v>
      </c>
      <c r="C23" s="503" t="s">
        <v>140</v>
      </c>
      <c r="D23" s="1332">
        <v>4259873.8141670227</v>
      </c>
      <c r="E23" s="504" t="s">
        <v>214</v>
      </c>
      <c r="F23" s="514">
        <f t="shared" si="0"/>
        <v>0</v>
      </c>
      <c r="G23" s="498">
        <f t="shared" si="1"/>
        <v>0</v>
      </c>
      <c r="H23" s="484"/>
    </row>
    <row r="24" spans="1:8">
      <c r="A24" s="490"/>
      <c r="B24" s="503">
        <v>311</v>
      </c>
      <c r="C24" s="503" t="s">
        <v>140</v>
      </c>
      <c r="D24" s="1332">
        <v>518643.93124999851</v>
      </c>
      <c r="E24" s="504" t="s">
        <v>203</v>
      </c>
      <c r="F24" s="514">
        <f t="shared" si="0"/>
        <v>0.23084885646883446</v>
      </c>
      <c r="G24" s="498">
        <f t="shared" si="1"/>
        <v>119728.35844356296</v>
      </c>
      <c r="H24" s="484"/>
    </row>
    <row r="25" spans="1:8">
      <c r="A25" s="507"/>
      <c r="B25" s="508">
        <v>311</v>
      </c>
      <c r="C25" s="508" t="s">
        <v>140</v>
      </c>
      <c r="D25" s="1332">
        <v>-676310.17833298445</v>
      </c>
      <c r="E25" s="504" t="s">
        <v>231</v>
      </c>
      <c r="F25" s="514">
        <f t="shared" si="0"/>
        <v>0.22953887558714423</v>
      </c>
      <c r="G25" s="498">
        <f t="shared" si="1"/>
        <v>-155239.47788269425</v>
      </c>
      <c r="H25" s="484"/>
    </row>
    <row r="26" spans="1:8">
      <c r="A26" s="507"/>
      <c r="B26" s="508">
        <v>312</v>
      </c>
      <c r="C26" s="508" t="s">
        <v>140</v>
      </c>
      <c r="D26" s="1332">
        <v>6387652.0187497139</v>
      </c>
      <c r="E26" s="504" t="s">
        <v>214</v>
      </c>
      <c r="F26" s="514">
        <f t="shared" si="0"/>
        <v>0</v>
      </c>
      <c r="G26" s="498">
        <f t="shared" si="1"/>
        <v>0</v>
      </c>
      <c r="H26" s="484"/>
    </row>
    <row r="27" spans="1:8">
      <c r="A27" s="507"/>
      <c r="B27" s="508">
        <v>312</v>
      </c>
      <c r="C27" s="508" t="s">
        <v>140</v>
      </c>
      <c r="D27" s="1332">
        <v>564002.91666699946</v>
      </c>
      <c r="E27" s="504" t="s">
        <v>203</v>
      </c>
      <c r="F27" s="514">
        <f t="shared" si="0"/>
        <v>0.23084885646883446</v>
      </c>
      <c r="G27" s="498">
        <f t="shared" si="1"/>
        <v>130199.42835766416</v>
      </c>
      <c r="H27" s="484"/>
    </row>
    <row r="28" spans="1:8">
      <c r="A28" s="507"/>
      <c r="B28" s="508">
        <v>312</v>
      </c>
      <c r="C28" s="508" t="s">
        <v>140</v>
      </c>
      <c r="D28" s="1332">
        <v>4746520.6762499809</v>
      </c>
      <c r="E28" s="504" t="s">
        <v>231</v>
      </c>
      <c r="F28" s="514">
        <f t="shared" si="0"/>
        <v>0.22953887558714423</v>
      </c>
      <c r="G28" s="498">
        <f t="shared" si="1"/>
        <v>1089511.018977552</v>
      </c>
      <c r="H28" s="484"/>
    </row>
    <row r="29" spans="1:8">
      <c r="A29" s="507"/>
      <c r="B29" s="508">
        <v>314</v>
      </c>
      <c r="C29" s="508" t="s">
        <v>140</v>
      </c>
      <c r="D29" s="1332">
        <v>-4891249.5391659737</v>
      </c>
      <c r="E29" s="504" t="s">
        <v>214</v>
      </c>
      <c r="F29" s="514">
        <f t="shared" si="0"/>
        <v>0</v>
      </c>
      <c r="G29" s="498">
        <f t="shared" si="1"/>
        <v>0</v>
      </c>
      <c r="H29" s="484"/>
    </row>
    <row r="30" spans="1:8">
      <c r="A30" s="507"/>
      <c r="B30" s="508">
        <v>314</v>
      </c>
      <c r="C30" s="508" t="s">
        <v>140</v>
      </c>
      <c r="D30" s="1332">
        <v>735141.52083340287</v>
      </c>
      <c r="E30" s="504" t="s">
        <v>203</v>
      </c>
      <c r="F30" s="514">
        <f t="shared" si="0"/>
        <v>0.23084885646883446</v>
      </c>
      <c r="G30" s="498">
        <f t="shared" si="1"/>
        <v>169706.57942715089</v>
      </c>
      <c r="H30" s="484"/>
    </row>
    <row r="31" spans="1:8">
      <c r="A31" s="507"/>
      <c r="B31" s="508">
        <v>314</v>
      </c>
      <c r="C31" s="508" t="s">
        <v>140</v>
      </c>
      <c r="D31" s="1332">
        <v>8969789.5579169989</v>
      </c>
      <c r="E31" s="504" t="s">
        <v>231</v>
      </c>
      <c r="F31" s="514">
        <f t="shared" si="0"/>
        <v>0.22953887558714423</v>
      </c>
      <c r="G31" s="498">
        <f t="shared" si="1"/>
        <v>2058915.4093775754</v>
      </c>
      <c r="H31" s="484"/>
    </row>
    <row r="32" spans="1:8">
      <c r="A32" s="507"/>
      <c r="B32" s="508">
        <v>315</v>
      </c>
      <c r="C32" s="508" t="s">
        <v>140</v>
      </c>
      <c r="D32" s="1332">
        <v>2531449.9316670299</v>
      </c>
      <c r="E32" s="504" t="s">
        <v>214</v>
      </c>
      <c r="F32" s="514">
        <f t="shared" si="0"/>
        <v>0</v>
      </c>
      <c r="G32" s="498">
        <f t="shared" si="1"/>
        <v>0</v>
      </c>
      <c r="H32" s="484"/>
    </row>
    <row r="33" spans="1:8">
      <c r="A33" s="507"/>
      <c r="B33" s="508">
        <v>315</v>
      </c>
      <c r="C33" s="508" t="s">
        <v>140</v>
      </c>
      <c r="D33" s="1332">
        <v>2393.1795834004879</v>
      </c>
      <c r="E33" s="504" t="s">
        <v>203</v>
      </c>
      <c r="F33" s="514">
        <f t="shared" si="0"/>
        <v>0.23084885646883446</v>
      </c>
      <c r="G33" s="498">
        <f t="shared" si="1"/>
        <v>552.4627701525643</v>
      </c>
      <c r="H33" s="484"/>
    </row>
    <row r="34" spans="1:8">
      <c r="A34" s="507"/>
      <c r="B34" s="508">
        <v>315</v>
      </c>
      <c r="C34" s="508" t="s">
        <v>140</v>
      </c>
      <c r="D34" s="1332">
        <v>281707.41541670263</v>
      </c>
      <c r="E34" s="353" t="s">
        <v>231</v>
      </c>
      <c r="F34" s="514">
        <f t="shared" si="0"/>
        <v>0.22953887558714423</v>
      </c>
      <c r="G34" s="498">
        <f t="shared" si="1"/>
        <v>64662.803379310462</v>
      </c>
      <c r="H34" s="484"/>
    </row>
    <row r="35" spans="1:8">
      <c r="A35" s="510"/>
      <c r="B35" s="511">
        <v>316</v>
      </c>
      <c r="C35" s="511" t="s">
        <v>140</v>
      </c>
      <c r="D35" s="1332">
        <v>-866039.11791659892</v>
      </c>
      <c r="E35" s="504" t="s">
        <v>214</v>
      </c>
      <c r="F35" s="514">
        <f t="shared" si="0"/>
        <v>0</v>
      </c>
      <c r="G35" s="498">
        <f t="shared" si="1"/>
        <v>0</v>
      </c>
      <c r="H35" s="484"/>
    </row>
    <row r="36" spans="1:8">
      <c r="A36" s="507"/>
      <c r="B36" s="508">
        <v>316</v>
      </c>
      <c r="C36" s="508" t="s">
        <v>140</v>
      </c>
      <c r="D36" s="1332">
        <v>-936964.08541665995</v>
      </c>
      <c r="E36" s="504" t="s">
        <v>203</v>
      </c>
      <c r="F36" s="514">
        <f t="shared" si="0"/>
        <v>0.23084885646883446</v>
      </c>
      <c r="G36" s="498">
        <f t="shared" si="1"/>
        <v>-216297.08767080327</v>
      </c>
      <c r="H36" s="484"/>
    </row>
    <row r="37" spans="1:8">
      <c r="A37" s="507"/>
      <c r="B37" s="508">
        <v>316</v>
      </c>
      <c r="C37" s="508" t="s">
        <v>140</v>
      </c>
      <c r="D37" s="1332">
        <v>68558.34166667005</v>
      </c>
      <c r="E37" s="504" t="s">
        <v>231</v>
      </c>
      <c r="F37" s="514">
        <f t="shared" si="0"/>
        <v>0.22953887558714423</v>
      </c>
      <c r="G37" s="498">
        <f t="shared" si="1"/>
        <v>15736.804658286703</v>
      </c>
      <c r="H37" s="484"/>
    </row>
    <row r="38" spans="1:8">
      <c r="A38" s="507"/>
      <c r="B38" s="508">
        <v>330</v>
      </c>
      <c r="C38" s="508" t="s">
        <v>140</v>
      </c>
      <c r="D38" s="1332">
        <v>-5528.7562500005588</v>
      </c>
      <c r="E38" s="504" t="s">
        <v>214</v>
      </c>
      <c r="F38" s="514">
        <f t="shared" si="0"/>
        <v>0</v>
      </c>
      <c r="G38" s="498">
        <f t="shared" si="1"/>
        <v>0</v>
      </c>
      <c r="H38" s="484"/>
    </row>
    <row r="39" spans="1:8">
      <c r="A39" s="507"/>
      <c r="B39" s="508">
        <v>330</v>
      </c>
      <c r="C39" s="508" t="s">
        <v>140</v>
      </c>
      <c r="D39" s="1332">
        <v>-2728.6229166015983</v>
      </c>
      <c r="E39" s="504" t="s">
        <v>203</v>
      </c>
      <c r="F39" s="514">
        <f t="shared" si="0"/>
        <v>0.23084885646883446</v>
      </c>
      <c r="G39" s="498">
        <f t="shared" si="1"/>
        <v>-629.89948003213487</v>
      </c>
      <c r="H39" s="484"/>
    </row>
    <row r="40" spans="1:8">
      <c r="A40" s="507"/>
      <c r="B40" s="508">
        <v>331</v>
      </c>
      <c r="C40" s="508" t="s">
        <v>140</v>
      </c>
      <c r="D40" s="1332">
        <v>343705.57583340071</v>
      </c>
      <c r="E40" s="504" t="s">
        <v>214</v>
      </c>
      <c r="F40" s="514">
        <f t="shared" si="0"/>
        <v>0</v>
      </c>
      <c r="G40" s="498">
        <f t="shared" si="1"/>
        <v>0</v>
      </c>
      <c r="H40" s="484"/>
    </row>
    <row r="41" spans="1:8">
      <c r="A41" s="507"/>
      <c r="B41" s="508">
        <v>331</v>
      </c>
      <c r="C41" s="508" t="s">
        <v>140</v>
      </c>
      <c r="D41" s="1332">
        <v>5340307.1537500024</v>
      </c>
      <c r="E41" s="504" t="s">
        <v>203</v>
      </c>
      <c r="F41" s="514">
        <f t="shared" ref="F41:F72" si="2">INDEX(WCAAllocations,IFERROR(MATCH(E41,WCAFactors,0),2),IFERROR(MATCH(E41,WCAStates,0),4))</f>
        <v>0.23084885646883446</v>
      </c>
      <c r="G41" s="498">
        <f t="shared" si="1"/>
        <v>1232803.7996355242</v>
      </c>
      <c r="H41" s="484"/>
    </row>
    <row r="42" spans="1:8">
      <c r="A42" s="507"/>
      <c r="B42" s="508">
        <v>332</v>
      </c>
      <c r="C42" s="508" t="s">
        <v>140</v>
      </c>
      <c r="D42" s="1332">
        <v>-438789.67833329737</v>
      </c>
      <c r="E42" s="504" t="s">
        <v>214</v>
      </c>
      <c r="F42" s="514">
        <f t="shared" si="2"/>
        <v>0</v>
      </c>
      <c r="G42" s="498">
        <f t="shared" si="1"/>
        <v>0</v>
      </c>
      <c r="H42" s="484"/>
    </row>
    <row r="43" spans="1:8">
      <c r="A43" s="507"/>
      <c r="B43" s="508">
        <v>332</v>
      </c>
      <c r="C43" s="508" t="s">
        <v>140</v>
      </c>
      <c r="D43" s="1332">
        <v>16141856.148750007</v>
      </c>
      <c r="E43" s="504" t="s">
        <v>203</v>
      </c>
      <c r="F43" s="514">
        <f t="shared" si="2"/>
        <v>0.23084885646883446</v>
      </c>
      <c r="G43" s="498">
        <f t="shared" si="1"/>
        <v>3726329.0332233636</v>
      </c>
      <c r="H43" s="484"/>
    </row>
    <row r="44" spans="1:8">
      <c r="A44" s="507"/>
      <c r="B44" s="508">
        <v>333</v>
      </c>
      <c r="C44" s="508" t="s">
        <v>140</v>
      </c>
      <c r="D44" s="1332">
        <v>-221453.96208329499</v>
      </c>
      <c r="E44" s="504" t="s">
        <v>214</v>
      </c>
      <c r="F44" s="514">
        <f t="shared" si="2"/>
        <v>0</v>
      </c>
      <c r="G44" s="498">
        <f t="shared" si="1"/>
        <v>0</v>
      </c>
      <c r="H44" s="484"/>
    </row>
    <row r="45" spans="1:8">
      <c r="A45" s="507"/>
      <c r="B45" s="508">
        <v>333</v>
      </c>
      <c r="C45" s="508" t="s">
        <v>140</v>
      </c>
      <c r="D45" s="1332">
        <v>678889.10500000417</v>
      </c>
      <c r="E45" s="504" t="s">
        <v>203</v>
      </c>
      <c r="F45" s="514">
        <f t="shared" si="2"/>
        <v>0.23084885646883446</v>
      </c>
      <c r="G45" s="498">
        <f t="shared" si="1"/>
        <v>156720.77355840144</v>
      </c>
      <c r="H45" s="484"/>
    </row>
    <row r="46" spans="1:8">
      <c r="A46" s="509"/>
      <c r="B46" s="511">
        <v>334</v>
      </c>
      <c r="C46" s="511" t="s">
        <v>140</v>
      </c>
      <c r="D46" s="1332">
        <v>-106981.2424999997</v>
      </c>
      <c r="E46" s="504" t="s">
        <v>214</v>
      </c>
      <c r="F46" s="514">
        <f t="shared" si="2"/>
        <v>0</v>
      </c>
      <c r="G46" s="498">
        <f t="shared" si="1"/>
        <v>0</v>
      </c>
      <c r="H46" s="484"/>
    </row>
    <row r="47" spans="1:8">
      <c r="A47" s="507"/>
      <c r="B47" s="508">
        <v>334</v>
      </c>
      <c r="C47" s="508" t="s">
        <v>140</v>
      </c>
      <c r="D47" s="1332">
        <v>1115888.2550000027</v>
      </c>
      <c r="E47" s="504" t="s">
        <v>203</v>
      </c>
      <c r="F47" s="514">
        <f t="shared" si="2"/>
        <v>0.23084885646883446</v>
      </c>
      <c r="G47" s="498">
        <f t="shared" si="1"/>
        <v>257601.52761375377</v>
      </c>
      <c r="H47" s="484"/>
    </row>
    <row r="48" spans="1:8">
      <c r="A48" s="507"/>
      <c r="B48" s="508">
        <v>335</v>
      </c>
      <c r="C48" s="508" t="s">
        <v>140</v>
      </c>
      <c r="D48" s="1332">
        <v>-439.88333333301125</v>
      </c>
      <c r="E48" s="504" t="s">
        <v>214</v>
      </c>
      <c r="F48" s="514">
        <f t="shared" si="2"/>
        <v>0</v>
      </c>
      <c r="G48" s="498">
        <f t="shared" si="1"/>
        <v>0</v>
      </c>
      <c r="H48" s="484"/>
    </row>
    <row r="49" spans="1:8">
      <c r="A49" s="507"/>
      <c r="B49" s="508">
        <v>335</v>
      </c>
      <c r="C49" s="508" t="s">
        <v>140</v>
      </c>
      <c r="D49" s="1332">
        <v>921.91666666977108</v>
      </c>
      <c r="E49" s="504" t="s">
        <v>203</v>
      </c>
      <c r="F49" s="514">
        <f t="shared" si="2"/>
        <v>0.23084885646883446</v>
      </c>
      <c r="G49" s="498">
        <f t="shared" si="1"/>
        <v>212.8234082602763</v>
      </c>
      <c r="H49" s="484"/>
    </row>
    <row r="50" spans="1:8">
      <c r="A50" s="507"/>
      <c r="B50" s="508">
        <v>336</v>
      </c>
      <c r="C50" s="508" t="s">
        <v>140</v>
      </c>
      <c r="D50" s="1332">
        <v>205730.17833333998</v>
      </c>
      <c r="E50" s="504" t="s">
        <v>214</v>
      </c>
      <c r="F50" s="514">
        <f t="shared" si="2"/>
        <v>0</v>
      </c>
      <c r="G50" s="498">
        <f t="shared" si="1"/>
        <v>0</v>
      </c>
      <c r="H50" s="484"/>
    </row>
    <row r="51" spans="1:8">
      <c r="A51" s="507"/>
      <c r="B51" s="508">
        <v>336</v>
      </c>
      <c r="C51" s="508" t="s">
        <v>140</v>
      </c>
      <c r="D51" s="1332">
        <v>692789.53833340108</v>
      </c>
      <c r="E51" s="504" t="s">
        <v>203</v>
      </c>
      <c r="F51" s="514">
        <f t="shared" si="2"/>
        <v>0.23084885646883446</v>
      </c>
      <c r="G51" s="498">
        <f t="shared" si="1"/>
        <v>159929.67269783741</v>
      </c>
      <c r="H51" s="484"/>
    </row>
    <row r="52" spans="1:8">
      <c r="A52" s="507"/>
      <c r="B52" s="508">
        <v>340</v>
      </c>
      <c r="C52" s="508" t="s">
        <v>140</v>
      </c>
      <c r="D52" s="1332">
        <v>-291.14249999821186</v>
      </c>
      <c r="E52" s="504" t="s">
        <v>214</v>
      </c>
      <c r="F52" s="514">
        <f t="shared" si="2"/>
        <v>0</v>
      </c>
      <c r="G52" s="498">
        <f t="shared" si="1"/>
        <v>0</v>
      </c>
      <c r="H52" s="484"/>
    </row>
    <row r="53" spans="1:8">
      <c r="A53" s="507"/>
      <c r="B53" s="508">
        <v>341</v>
      </c>
      <c r="C53" s="508" t="s">
        <v>140</v>
      </c>
      <c r="D53" s="1332">
        <v>435146.81874999404</v>
      </c>
      <c r="E53" s="504" t="s">
        <v>214</v>
      </c>
      <c r="F53" s="514">
        <f t="shared" si="2"/>
        <v>0</v>
      </c>
      <c r="G53" s="498">
        <f t="shared" si="1"/>
        <v>0</v>
      </c>
      <c r="H53" s="484"/>
    </row>
    <row r="54" spans="1:8">
      <c r="A54" s="507"/>
      <c r="B54" s="508">
        <v>341</v>
      </c>
      <c r="C54" s="508" t="s">
        <v>140</v>
      </c>
      <c r="D54" s="1332">
        <v>303672.5958333984</v>
      </c>
      <c r="E54" s="504" t="s">
        <v>203</v>
      </c>
      <c r="F54" s="514">
        <f t="shared" si="2"/>
        <v>0.23084885646883446</v>
      </c>
      <c r="G54" s="498">
        <f t="shared" si="1"/>
        <v>70102.471489062562</v>
      </c>
      <c r="H54" s="484"/>
    </row>
    <row r="55" spans="1:8">
      <c r="A55" s="507"/>
      <c r="B55" s="508">
        <v>342</v>
      </c>
      <c r="C55" s="508" t="s">
        <v>140</v>
      </c>
      <c r="D55" s="1332">
        <v>336036.87625000067</v>
      </c>
      <c r="E55" s="504" t="s">
        <v>214</v>
      </c>
      <c r="F55" s="514">
        <f t="shared" si="2"/>
        <v>0</v>
      </c>
      <c r="G55" s="498">
        <f t="shared" si="1"/>
        <v>0</v>
      </c>
      <c r="H55" s="254"/>
    </row>
    <row r="56" spans="1:8">
      <c r="A56" s="507"/>
      <c r="B56" s="508">
        <v>343</v>
      </c>
      <c r="C56" s="508" t="s">
        <v>140</v>
      </c>
      <c r="D56" s="1332">
        <v>23268502.565000057</v>
      </c>
      <c r="E56" s="504" t="s">
        <v>214</v>
      </c>
      <c r="F56" s="514">
        <f t="shared" si="2"/>
        <v>0</v>
      </c>
      <c r="G56" s="498">
        <f t="shared" si="1"/>
        <v>0</v>
      </c>
      <c r="H56" s="254"/>
    </row>
    <row r="57" spans="1:8">
      <c r="A57" s="490"/>
      <c r="B57" s="503">
        <v>343</v>
      </c>
      <c r="C57" s="503" t="s">
        <v>140</v>
      </c>
      <c r="D57" s="1332">
        <v>9792825.785834074</v>
      </c>
      <c r="E57" s="504" t="s">
        <v>203</v>
      </c>
      <c r="F57" s="514">
        <f t="shared" si="2"/>
        <v>0.23084885646883446</v>
      </c>
      <c r="G57" s="498">
        <f t="shared" si="1"/>
        <v>2260662.6342583112</v>
      </c>
      <c r="H57" s="484"/>
    </row>
    <row r="58" spans="1:8">
      <c r="A58" s="507"/>
      <c r="B58" s="508">
        <v>344</v>
      </c>
      <c r="C58" s="508" t="s">
        <v>140</v>
      </c>
      <c r="D58" s="1332">
        <v>-15830327.955415994</v>
      </c>
      <c r="E58" s="504" t="s">
        <v>214</v>
      </c>
      <c r="F58" s="514">
        <f t="shared" si="2"/>
        <v>0</v>
      </c>
      <c r="G58" s="498">
        <f t="shared" si="1"/>
        <v>0</v>
      </c>
      <c r="H58" s="484"/>
    </row>
    <row r="59" spans="1:8">
      <c r="A59" s="507"/>
      <c r="B59" s="508">
        <v>344</v>
      </c>
      <c r="C59" s="508" t="s">
        <v>140</v>
      </c>
      <c r="D59" s="1332">
        <v>-8672210.9274999946</v>
      </c>
      <c r="E59" s="504" t="s">
        <v>203</v>
      </c>
      <c r="F59" s="514">
        <f t="shared" si="2"/>
        <v>0.23084885646883446</v>
      </c>
      <c r="G59" s="498">
        <f t="shared" si="1"/>
        <v>-2001969.9756699041</v>
      </c>
      <c r="H59" s="484"/>
    </row>
    <row r="60" spans="1:8">
      <c r="A60" s="507"/>
      <c r="B60" s="508">
        <v>345</v>
      </c>
      <c r="C60" s="508" t="s">
        <v>140</v>
      </c>
      <c r="D60" s="1332">
        <v>-14431.825415998697</v>
      </c>
      <c r="E60" s="504" t="s">
        <v>214</v>
      </c>
      <c r="F60" s="514">
        <f t="shared" si="2"/>
        <v>0</v>
      </c>
      <c r="G60" s="498">
        <f t="shared" si="1"/>
        <v>0</v>
      </c>
      <c r="H60" s="484"/>
    </row>
    <row r="61" spans="1:8">
      <c r="A61" s="507"/>
      <c r="B61" s="508">
        <v>345</v>
      </c>
      <c r="C61" s="508" t="s">
        <v>140</v>
      </c>
      <c r="D61" s="1332">
        <v>288050.33999998868</v>
      </c>
      <c r="E61" s="504" t="s">
        <v>203</v>
      </c>
      <c r="F61" s="514">
        <f t="shared" si="2"/>
        <v>0.23084885646883446</v>
      </c>
      <c r="G61" s="498">
        <f t="shared" si="1"/>
        <v>66496.091594456346</v>
      </c>
      <c r="H61" s="484"/>
    </row>
    <row r="62" spans="1:8">
      <c r="A62" s="507"/>
      <c r="B62" s="508">
        <v>346</v>
      </c>
      <c r="C62" s="508" t="s">
        <v>140</v>
      </c>
      <c r="D62" s="1332">
        <v>26562.73291666992</v>
      </c>
      <c r="E62" s="504" t="s">
        <v>214</v>
      </c>
      <c r="F62" s="514">
        <f t="shared" si="2"/>
        <v>0</v>
      </c>
      <c r="G62" s="498">
        <f t="shared" si="1"/>
        <v>0</v>
      </c>
      <c r="H62" s="484"/>
    </row>
    <row r="63" spans="1:8">
      <c r="A63" s="507"/>
      <c r="B63" s="508">
        <v>346</v>
      </c>
      <c r="C63" s="508" t="s">
        <v>140</v>
      </c>
      <c r="D63" s="1332">
        <v>-101079.52666665986</v>
      </c>
      <c r="E63" s="504" t="s">
        <v>203</v>
      </c>
      <c r="F63" s="514">
        <f t="shared" si="2"/>
        <v>0.23084885646883446</v>
      </c>
      <c r="G63" s="498">
        <f t="shared" si="1"/>
        <v>-23334.093143409489</v>
      </c>
      <c r="H63" s="484"/>
    </row>
    <row r="64" spans="1:8">
      <c r="A64" s="507"/>
      <c r="B64" s="508">
        <v>350</v>
      </c>
      <c r="C64" s="508" t="s">
        <v>140</v>
      </c>
      <c r="D64" s="1332">
        <v>12925899.597916991</v>
      </c>
      <c r="E64" s="504" t="s">
        <v>214</v>
      </c>
      <c r="F64" s="514">
        <f t="shared" si="2"/>
        <v>0</v>
      </c>
      <c r="G64" s="498">
        <f t="shared" si="1"/>
        <v>0</v>
      </c>
      <c r="H64" s="484"/>
    </row>
    <row r="65" spans="1:8">
      <c r="A65" s="507"/>
      <c r="B65" s="508">
        <v>350</v>
      </c>
      <c r="C65" s="508" t="s">
        <v>140</v>
      </c>
      <c r="D65" s="1332">
        <v>222787.74958340079</v>
      </c>
      <c r="E65" s="504" t="s">
        <v>203</v>
      </c>
      <c r="F65" s="514">
        <f t="shared" si="2"/>
        <v>0.23084885646883446</v>
      </c>
      <c r="G65" s="498">
        <f t="shared" si="1"/>
        <v>51430.297226593124</v>
      </c>
      <c r="H65" s="484"/>
    </row>
    <row r="66" spans="1:8">
      <c r="A66" s="507"/>
      <c r="B66" s="508">
        <v>352</v>
      </c>
      <c r="C66" s="508" t="s">
        <v>140</v>
      </c>
      <c r="D66" s="1332">
        <v>6746905.0391670167</v>
      </c>
      <c r="E66" s="504" t="s">
        <v>214</v>
      </c>
      <c r="F66" s="514">
        <f t="shared" si="2"/>
        <v>0</v>
      </c>
      <c r="G66" s="498">
        <f t="shared" si="1"/>
        <v>0</v>
      </c>
      <c r="H66" s="484"/>
    </row>
    <row r="67" spans="1:8">
      <c r="A67" s="507"/>
      <c r="B67" s="508">
        <v>352</v>
      </c>
      <c r="C67" s="508" t="s">
        <v>140</v>
      </c>
      <c r="D67" s="1332">
        <v>1555207.2208333984</v>
      </c>
      <c r="E67" s="504" t="s">
        <v>203</v>
      </c>
      <c r="F67" s="514">
        <f t="shared" si="2"/>
        <v>0.23084885646883446</v>
      </c>
      <c r="G67" s="498">
        <f t="shared" si="1"/>
        <v>359017.80850146414</v>
      </c>
      <c r="H67" s="484"/>
    </row>
    <row r="68" spans="1:8">
      <c r="A68" s="490"/>
      <c r="B68" s="503">
        <v>352</v>
      </c>
      <c r="C68" s="503" t="s">
        <v>140</v>
      </c>
      <c r="D68" s="1332">
        <v>27300.539583340054</v>
      </c>
      <c r="E68" s="504" t="s">
        <v>231</v>
      </c>
      <c r="F68" s="514">
        <f t="shared" si="2"/>
        <v>0.22953887558714423</v>
      </c>
      <c r="G68" s="498">
        <f t="shared" si="1"/>
        <v>6266.5351588821986</v>
      </c>
      <c r="H68" s="484"/>
    </row>
    <row r="69" spans="1:8">
      <c r="A69" s="507"/>
      <c r="B69" s="508">
        <v>353</v>
      </c>
      <c r="C69" s="508" t="s">
        <v>140</v>
      </c>
      <c r="D69" s="1332">
        <v>29667881.291669846</v>
      </c>
      <c r="E69" s="504" t="s">
        <v>214</v>
      </c>
      <c r="F69" s="514">
        <f t="shared" si="2"/>
        <v>0</v>
      </c>
      <c r="G69" s="498">
        <f t="shared" si="1"/>
        <v>0</v>
      </c>
      <c r="H69" s="484"/>
    </row>
    <row r="70" spans="1:8">
      <c r="A70" s="507"/>
      <c r="B70" s="508">
        <v>353</v>
      </c>
      <c r="C70" s="508" t="s">
        <v>140</v>
      </c>
      <c r="D70" s="1332">
        <v>2878741.5825000405</v>
      </c>
      <c r="E70" s="504" t="s">
        <v>203</v>
      </c>
      <c r="F70" s="514">
        <f t="shared" si="2"/>
        <v>0.23084885646883446</v>
      </c>
      <c r="G70" s="498">
        <f t="shared" si="1"/>
        <v>664554.20238941722</v>
      </c>
      <c r="H70" s="484"/>
    </row>
    <row r="71" spans="1:8">
      <c r="A71" s="507"/>
      <c r="B71" s="508">
        <v>353</v>
      </c>
      <c r="C71" s="508" t="s">
        <v>140</v>
      </c>
      <c r="D71" s="1332">
        <v>165516.74208340049</v>
      </c>
      <c r="E71" s="504" t="s">
        <v>231</v>
      </c>
      <c r="F71" s="514">
        <f t="shared" si="2"/>
        <v>0.22953887558714423</v>
      </c>
      <c r="G71" s="498">
        <f t="shared" si="1"/>
        <v>37992.526868671106</v>
      </c>
      <c r="H71" s="484"/>
    </row>
    <row r="72" spans="1:8">
      <c r="A72" s="507"/>
      <c r="B72" s="508">
        <v>354</v>
      </c>
      <c r="C72" s="508" t="s">
        <v>140</v>
      </c>
      <c r="D72" s="1332">
        <v>149392669.75416696</v>
      </c>
      <c r="E72" s="504" t="s">
        <v>214</v>
      </c>
      <c r="F72" s="514">
        <f t="shared" si="2"/>
        <v>0</v>
      </c>
      <c r="G72" s="498">
        <f t="shared" si="1"/>
        <v>0</v>
      </c>
      <c r="H72" s="484"/>
    </row>
    <row r="73" spans="1:8">
      <c r="A73" s="507"/>
      <c r="B73" s="508">
        <v>354</v>
      </c>
      <c r="C73" s="508" t="s">
        <v>140</v>
      </c>
      <c r="D73" s="1332">
        <v>158715.37874999642</v>
      </c>
      <c r="E73" s="504" t="s">
        <v>203</v>
      </c>
      <c r="F73" s="514">
        <f t="shared" ref="F73:F83" si="3">INDEX(WCAAllocations,IFERROR(MATCH(E73,WCAFactors,0),2),IFERROR(MATCH(E73,WCAStates,0),4))</f>
        <v>0.23084885646883446</v>
      </c>
      <c r="G73" s="498">
        <f t="shared" si="1"/>
        <v>36639.263688454623</v>
      </c>
      <c r="H73" s="484"/>
    </row>
    <row r="74" spans="1:8">
      <c r="A74" s="507"/>
      <c r="B74" s="508">
        <v>355</v>
      </c>
      <c r="C74" s="508" t="s">
        <v>140</v>
      </c>
      <c r="D74" s="1332">
        <v>8036408.5220839977</v>
      </c>
      <c r="E74" s="504" t="s">
        <v>214</v>
      </c>
      <c r="F74" s="514">
        <f t="shared" si="3"/>
        <v>0</v>
      </c>
      <c r="G74" s="498">
        <f t="shared" ref="G74:G83" si="4">D74*F74</f>
        <v>0</v>
      </c>
      <c r="H74" s="484"/>
    </row>
    <row r="75" spans="1:8">
      <c r="A75" s="507"/>
      <c r="B75" s="508">
        <v>355</v>
      </c>
      <c r="C75" s="508" t="s">
        <v>140</v>
      </c>
      <c r="D75" s="1332">
        <v>5081112.4037500024</v>
      </c>
      <c r="E75" s="504" t="s">
        <v>203</v>
      </c>
      <c r="F75" s="514">
        <f t="shared" si="3"/>
        <v>0.23084885646883446</v>
      </c>
      <c r="G75" s="498">
        <f t="shared" si="4"/>
        <v>1172968.9879952988</v>
      </c>
      <c r="H75" s="484"/>
    </row>
    <row r="76" spans="1:8">
      <c r="A76" s="507"/>
      <c r="B76" s="508">
        <v>355</v>
      </c>
      <c r="C76" s="508" t="s">
        <v>140</v>
      </c>
      <c r="D76" s="1332">
        <v>-47.170416666660003</v>
      </c>
      <c r="E76" s="504" t="s">
        <v>231</v>
      </c>
      <c r="F76" s="514">
        <f t="shared" si="3"/>
        <v>0.22953887558714423</v>
      </c>
      <c r="G76" s="498">
        <f t="shared" si="4"/>
        <v>-10.827444402642225</v>
      </c>
      <c r="H76" s="484"/>
    </row>
    <row r="77" spans="1:8">
      <c r="A77" s="507"/>
      <c r="B77" s="508">
        <v>356</v>
      </c>
      <c r="C77" s="508" t="s">
        <v>140</v>
      </c>
      <c r="D77" s="1332">
        <v>88926456.168334007</v>
      </c>
      <c r="E77" s="504" t="s">
        <v>214</v>
      </c>
      <c r="F77" s="514">
        <f t="shared" si="3"/>
        <v>0</v>
      </c>
      <c r="G77" s="498">
        <f t="shared" si="4"/>
        <v>0</v>
      </c>
      <c r="H77" s="484"/>
    </row>
    <row r="78" spans="1:8">
      <c r="A78" s="507"/>
      <c r="B78" s="508">
        <v>356</v>
      </c>
      <c r="C78" s="508" t="s">
        <v>140</v>
      </c>
      <c r="D78" s="1332">
        <v>2824216.0975000262</v>
      </c>
      <c r="E78" s="504" t="s">
        <v>203</v>
      </c>
      <c r="F78" s="514">
        <f t="shared" si="3"/>
        <v>0.23084885646883446</v>
      </c>
      <c r="G78" s="498">
        <f t="shared" si="4"/>
        <v>651967.05652875535</v>
      </c>
      <c r="H78" s="484"/>
    </row>
    <row r="79" spans="1:8">
      <c r="A79" s="507"/>
      <c r="B79" s="508">
        <v>356</v>
      </c>
      <c r="C79" s="508" t="s">
        <v>140</v>
      </c>
      <c r="D79" s="1332">
        <v>5002.3945833398029</v>
      </c>
      <c r="E79" s="504" t="s">
        <v>231</v>
      </c>
      <c r="F79" s="514">
        <f t="shared" si="3"/>
        <v>0.22953887558714423</v>
      </c>
      <c r="G79" s="498">
        <f t="shared" si="4"/>
        <v>1148.2440279030393</v>
      </c>
      <c r="H79" s="484"/>
    </row>
    <row r="80" spans="1:8">
      <c r="A80" s="507"/>
      <c r="B80" s="508">
        <v>356</v>
      </c>
      <c r="C80" s="508" t="s">
        <v>140</v>
      </c>
      <c r="D80" s="1332">
        <v>1826.0250000001397</v>
      </c>
      <c r="E80" s="504" t="s">
        <v>146</v>
      </c>
      <c r="F80" s="514">
        <f t="shared" si="3"/>
        <v>7.9057273540331513E-2</v>
      </c>
      <c r="G80" s="498">
        <f t="shared" si="4"/>
        <v>144.36055791649488</v>
      </c>
      <c r="H80" s="484"/>
    </row>
    <row r="81" spans="1:8">
      <c r="A81" s="507"/>
      <c r="B81" s="508">
        <v>357</v>
      </c>
      <c r="C81" s="508" t="s">
        <v>140</v>
      </c>
      <c r="D81" s="1332">
        <v>13590.083749999991</v>
      </c>
      <c r="E81" s="504" t="s">
        <v>203</v>
      </c>
      <c r="F81" s="514">
        <f t="shared" si="3"/>
        <v>0.23084885646883446</v>
      </c>
      <c r="G81" s="498">
        <f t="shared" si="4"/>
        <v>3137.2552930031875</v>
      </c>
      <c r="H81" s="484"/>
    </row>
    <row r="82" spans="1:8">
      <c r="A82" s="507"/>
      <c r="B82" s="508">
        <v>358</v>
      </c>
      <c r="C82" s="508" t="s">
        <v>140</v>
      </c>
      <c r="D82" s="1332">
        <v>1774.6612499999464</v>
      </c>
      <c r="E82" s="504" t="s">
        <v>203</v>
      </c>
      <c r="F82" s="514">
        <f t="shared" si="3"/>
        <v>0.23084885646883446</v>
      </c>
      <c r="G82" s="498">
        <f t="shared" si="4"/>
        <v>409.67852018204002</v>
      </c>
      <c r="H82" s="484"/>
    </row>
    <row r="83" spans="1:8">
      <c r="A83" s="507"/>
      <c r="B83" s="508">
        <v>359</v>
      </c>
      <c r="C83" s="508" t="s">
        <v>140</v>
      </c>
      <c r="D83" s="1332">
        <v>104619.9479166707</v>
      </c>
      <c r="E83" s="504" t="s">
        <v>203</v>
      </c>
      <c r="F83" s="514">
        <f t="shared" si="3"/>
        <v>0.23084885646883446</v>
      </c>
      <c r="G83" s="498">
        <f t="shared" si="4"/>
        <v>24151.395340392453</v>
      </c>
      <c r="H83" s="484"/>
    </row>
    <row r="84" spans="1:8">
      <c r="A84" s="502"/>
      <c r="B84" s="503">
        <v>360</v>
      </c>
      <c r="C84" s="163" t="s">
        <v>140</v>
      </c>
      <c r="D84" s="1332">
        <v>3126.4912499999627</v>
      </c>
      <c r="E84" s="504" t="s">
        <v>170</v>
      </c>
      <c r="F84" s="514">
        <f>INDEX(WCAAllocations,IFERROR(MATCH(E84,WCAFactors,0),2),IFERROR(MATCH(E84,WCAStates,0),4))</f>
        <v>0</v>
      </c>
      <c r="G84" s="498">
        <f>D84*F84</f>
        <v>0</v>
      </c>
      <c r="H84" s="484"/>
    </row>
    <row r="85" spans="1:8">
      <c r="A85" s="502"/>
      <c r="B85" s="503">
        <v>360</v>
      </c>
      <c r="C85" s="163" t="s">
        <v>140</v>
      </c>
      <c r="D85" s="1332">
        <v>32317.637916670181</v>
      </c>
      <c r="E85" s="504" t="s">
        <v>173</v>
      </c>
      <c r="F85" s="514">
        <f t="shared" ref="F85:F148" si="5">INDEX(WCAAllocations,IFERROR(MATCH(E85,WCAFactors,0),2),IFERROR(MATCH(E85,WCAStates,0),4))</f>
        <v>0</v>
      </c>
      <c r="G85" s="498">
        <f t="shared" ref="G85:G148" si="6">D85*F85</f>
        <v>0</v>
      </c>
      <c r="H85" s="484"/>
    </row>
    <row r="86" spans="1:8">
      <c r="A86" s="502"/>
      <c r="B86" s="503">
        <v>360</v>
      </c>
      <c r="C86" s="163" t="s">
        <v>140</v>
      </c>
      <c r="D86" s="1332">
        <v>84331.51708340086</v>
      </c>
      <c r="E86" s="504" t="s">
        <v>171</v>
      </c>
      <c r="F86" s="514">
        <f t="shared" si="5"/>
        <v>0</v>
      </c>
      <c r="G86" s="498">
        <f t="shared" si="6"/>
        <v>0</v>
      </c>
      <c r="H86" s="484"/>
    </row>
    <row r="87" spans="1:8">
      <c r="A87" s="502"/>
      <c r="B87" s="503">
        <v>360</v>
      </c>
      <c r="C87" s="163" t="s">
        <v>140</v>
      </c>
      <c r="D87" s="1332">
        <v>744690.62833340466</v>
      </c>
      <c r="E87" s="504" t="s">
        <v>172</v>
      </c>
      <c r="F87" s="514">
        <f t="shared" si="5"/>
        <v>0</v>
      </c>
      <c r="G87" s="498">
        <f t="shared" si="6"/>
        <v>0</v>
      </c>
      <c r="H87" s="484"/>
    </row>
    <row r="88" spans="1:8">
      <c r="A88" s="502"/>
      <c r="B88" s="503">
        <v>360</v>
      </c>
      <c r="C88" s="163" t="s">
        <v>140</v>
      </c>
      <c r="D88" s="1332">
        <v>112697.87291666982</v>
      </c>
      <c r="E88" s="504" t="s">
        <v>141</v>
      </c>
      <c r="F88" s="514">
        <f t="shared" si="5"/>
        <v>1</v>
      </c>
      <c r="G88" s="498">
        <f t="shared" si="6"/>
        <v>112697.87291666982</v>
      </c>
      <c r="H88" s="484"/>
    </row>
    <row r="89" spans="1:8">
      <c r="A89" s="244"/>
      <c r="B89" s="503">
        <v>360</v>
      </c>
      <c r="C89" s="503" t="s">
        <v>140</v>
      </c>
      <c r="D89" s="1332">
        <v>-966.64208332961425</v>
      </c>
      <c r="E89" s="504" t="s">
        <v>517</v>
      </c>
      <c r="F89" s="514">
        <f t="shared" si="5"/>
        <v>0</v>
      </c>
      <c r="G89" s="498">
        <f t="shared" si="6"/>
        <v>0</v>
      </c>
      <c r="H89" s="484"/>
    </row>
    <row r="90" spans="1:8">
      <c r="A90" s="244"/>
      <c r="B90" s="503">
        <v>360</v>
      </c>
      <c r="C90" s="503" t="s">
        <v>140</v>
      </c>
      <c r="D90" s="1332">
        <v>117018.01166666998</v>
      </c>
      <c r="E90" s="504" t="s">
        <v>517</v>
      </c>
      <c r="F90" s="514">
        <f t="shared" si="5"/>
        <v>0</v>
      </c>
      <c r="G90" s="498">
        <f t="shared" si="6"/>
        <v>0</v>
      </c>
      <c r="H90" s="484"/>
    </row>
    <row r="91" spans="1:8">
      <c r="A91" s="502"/>
      <c r="B91" s="503">
        <v>361</v>
      </c>
      <c r="C91" s="163" t="s">
        <v>140</v>
      </c>
      <c r="D91" s="1332">
        <v>130461.58333333954</v>
      </c>
      <c r="E91" s="504" t="s">
        <v>170</v>
      </c>
      <c r="F91" s="514">
        <f t="shared" si="5"/>
        <v>0</v>
      </c>
      <c r="G91" s="498">
        <f t="shared" si="6"/>
        <v>0</v>
      </c>
      <c r="H91" s="484"/>
    </row>
    <row r="92" spans="1:8">
      <c r="A92" s="502"/>
      <c r="B92" s="503">
        <v>361</v>
      </c>
      <c r="C92" s="163" t="s">
        <v>140</v>
      </c>
      <c r="D92" s="1332">
        <v>-5766.4083333299495</v>
      </c>
      <c r="E92" s="504" t="s">
        <v>173</v>
      </c>
      <c r="F92" s="514">
        <f t="shared" si="5"/>
        <v>0</v>
      </c>
      <c r="G92" s="498">
        <f t="shared" si="6"/>
        <v>0</v>
      </c>
      <c r="H92" s="484"/>
    </row>
    <row r="93" spans="1:8">
      <c r="A93" s="502"/>
      <c r="B93" s="503">
        <v>361</v>
      </c>
      <c r="C93" s="163" t="s">
        <v>140</v>
      </c>
      <c r="D93" s="1332">
        <v>620644.64624999836</v>
      </c>
      <c r="E93" s="504" t="s">
        <v>171</v>
      </c>
      <c r="F93" s="514">
        <f t="shared" si="5"/>
        <v>0</v>
      </c>
      <c r="G93" s="498">
        <f t="shared" si="6"/>
        <v>0</v>
      </c>
      <c r="H93" s="484"/>
    </row>
    <row r="94" spans="1:8">
      <c r="A94" s="502"/>
      <c r="B94" s="503">
        <v>361</v>
      </c>
      <c r="C94" s="163" t="s">
        <v>140</v>
      </c>
      <c r="D94" s="1332">
        <v>2737088.5083333999</v>
      </c>
      <c r="E94" s="504" t="s">
        <v>172</v>
      </c>
      <c r="F94" s="514">
        <f t="shared" si="5"/>
        <v>0</v>
      </c>
      <c r="G94" s="498">
        <f t="shared" si="6"/>
        <v>0</v>
      </c>
      <c r="H94" s="484"/>
    </row>
    <row r="95" spans="1:8">
      <c r="A95" s="502"/>
      <c r="B95" s="503">
        <v>361</v>
      </c>
      <c r="C95" s="163" t="s">
        <v>140</v>
      </c>
      <c r="D95" s="1332">
        <v>8769.5520833400078</v>
      </c>
      <c r="E95" s="504" t="s">
        <v>141</v>
      </c>
      <c r="F95" s="514">
        <f t="shared" si="5"/>
        <v>1</v>
      </c>
      <c r="G95" s="498">
        <f t="shared" si="6"/>
        <v>8769.5520833400078</v>
      </c>
      <c r="H95" s="484"/>
    </row>
    <row r="96" spans="1:8">
      <c r="A96" s="244"/>
      <c r="B96" s="503">
        <v>361</v>
      </c>
      <c r="C96" s="503" t="s">
        <v>140</v>
      </c>
      <c r="D96" s="1332">
        <v>369843.26833339967</v>
      </c>
      <c r="E96" s="504" t="s">
        <v>517</v>
      </c>
      <c r="F96" s="514">
        <f t="shared" si="5"/>
        <v>0</v>
      </c>
      <c r="G96" s="498">
        <f t="shared" si="6"/>
        <v>0</v>
      </c>
      <c r="H96" s="484"/>
    </row>
    <row r="97" spans="1:8">
      <c r="A97" s="244"/>
      <c r="B97" s="503">
        <v>361</v>
      </c>
      <c r="C97" s="503" t="s">
        <v>140</v>
      </c>
      <c r="D97" s="1332">
        <v>193001.89041667012</v>
      </c>
      <c r="E97" s="504" t="s">
        <v>517</v>
      </c>
      <c r="F97" s="514">
        <f t="shared" si="5"/>
        <v>0</v>
      </c>
      <c r="G97" s="498">
        <f t="shared" si="6"/>
        <v>0</v>
      </c>
      <c r="H97" s="484"/>
    </row>
    <row r="98" spans="1:8">
      <c r="A98" s="506"/>
      <c r="B98" s="503">
        <v>362</v>
      </c>
      <c r="C98" s="503" t="s">
        <v>140</v>
      </c>
      <c r="D98" s="1332">
        <v>279182.81958340108</v>
      </c>
      <c r="E98" s="504" t="s">
        <v>170</v>
      </c>
      <c r="F98" s="514">
        <f t="shared" si="5"/>
        <v>0</v>
      </c>
      <c r="G98" s="498">
        <f t="shared" si="6"/>
        <v>0</v>
      </c>
      <c r="H98" s="484"/>
    </row>
    <row r="99" spans="1:8">
      <c r="A99" s="490"/>
      <c r="B99" s="503">
        <v>362</v>
      </c>
      <c r="C99" s="503" t="s">
        <v>140</v>
      </c>
      <c r="D99" s="1332">
        <v>32261.375</v>
      </c>
      <c r="E99" s="504" t="s">
        <v>173</v>
      </c>
      <c r="F99" s="514">
        <f t="shared" si="5"/>
        <v>0</v>
      </c>
      <c r="G99" s="498">
        <f t="shared" si="6"/>
        <v>0</v>
      </c>
      <c r="H99" s="484"/>
    </row>
    <row r="100" spans="1:8">
      <c r="A100" s="507"/>
      <c r="B100" s="508">
        <v>362</v>
      </c>
      <c r="C100" s="508" t="s">
        <v>140</v>
      </c>
      <c r="D100" s="1332">
        <v>6073963.25</v>
      </c>
      <c r="E100" s="504" t="s">
        <v>171</v>
      </c>
      <c r="F100" s="514">
        <f t="shared" si="5"/>
        <v>0</v>
      </c>
      <c r="G100" s="498">
        <f t="shared" si="6"/>
        <v>0</v>
      </c>
      <c r="H100" s="484"/>
    </row>
    <row r="101" spans="1:8">
      <c r="A101" s="507"/>
      <c r="B101" s="508">
        <v>362</v>
      </c>
      <c r="C101" s="508" t="s">
        <v>140</v>
      </c>
      <c r="D101" s="1332">
        <v>3567662.7749999762</v>
      </c>
      <c r="E101" s="504" t="s">
        <v>172</v>
      </c>
      <c r="F101" s="514">
        <f t="shared" si="5"/>
        <v>0</v>
      </c>
      <c r="G101" s="498">
        <f t="shared" si="6"/>
        <v>0</v>
      </c>
      <c r="H101" s="484"/>
    </row>
    <row r="102" spans="1:8">
      <c r="A102" s="507"/>
      <c r="B102" s="508">
        <v>362</v>
      </c>
      <c r="C102" s="508" t="s">
        <v>140</v>
      </c>
      <c r="D102" s="1332">
        <v>540046.97291669995</v>
      </c>
      <c r="E102" s="504" t="s">
        <v>141</v>
      </c>
      <c r="F102" s="514">
        <f t="shared" si="5"/>
        <v>1</v>
      </c>
      <c r="G102" s="498">
        <f t="shared" si="6"/>
        <v>540046.97291669995</v>
      </c>
      <c r="H102" s="484"/>
    </row>
    <row r="103" spans="1:8">
      <c r="A103" s="507"/>
      <c r="B103" s="508">
        <v>362</v>
      </c>
      <c r="C103" s="508" t="s">
        <v>140</v>
      </c>
      <c r="D103" s="1332">
        <v>-273828.65874999762</v>
      </c>
      <c r="E103" s="504" t="s">
        <v>517</v>
      </c>
      <c r="F103" s="514">
        <f t="shared" si="5"/>
        <v>0</v>
      </c>
      <c r="G103" s="498">
        <f t="shared" si="6"/>
        <v>0</v>
      </c>
      <c r="H103" s="484"/>
    </row>
    <row r="104" spans="1:8">
      <c r="A104" s="507"/>
      <c r="B104" s="508">
        <v>362</v>
      </c>
      <c r="C104" s="508" t="s">
        <v>140</v>
      </c>
      <c r="D104" s="1332">
        <v>24610.967916700989</v>
      </c>
      <c r="E104" s="504" t="s">
        <v>517</v>
      </c>
      <c r="F104" s="514">
        <f t="shared" si="5"/>
        <v>0</v>
      </c>
      <c r="G104" s="498">
        <f t="shared" si="6"/>
        <v>0</v>
      </c>
      <c r="H104" s="484"/>
    </row>
    <row r="105" spans="1:8">
      <c r="A105" s="507"/>
      <c r="B105" s="508">
        <v>364</v>
      </c>
      <c r="C105" s="508" t="s">
        <v>140</v>
      </c>
      <c r="D105" s="1332">
        <v>1977583.0133334026</v>
      </c>
      <c r="E105" s="504" t="s">
        <v>170</v>
      </c>
      <c r="F105" s="514">
        <f t="shared" si="5"/>
        <v>0</v>
      </c>
      <c r="G105" s="498">
        <f t="shared" si="6"/>
        <v>0</v>
      </c>
      <c r="H105" s="484"/>
    </row>
    <row r="106" spans="1:8">
      <c r="A106" s="507"/>
      <c r="B106" s="508">
        <v>364</v>
      </c>
      <c r="C106" s="508" t="s">
        <v>140</v>
      </c>
      <c r="D106" s="1332">
        <v>1465393.5533334017</v>
      </c>
      <c r="E106" s="504" t="s">
        <v>173</v>
      </c>
      <c r="F106" s="514">
        <f t="shared" si="5"/>
        <v>0</v>
      </c>
      <c r="G106" s="498">
        <f t="shared" si="6"/>
        <v>0</v>
      </c>
      <c r="H106" s="484"/>
    </row>
    <row r="107" spans="1:8">
      <c r="A107" s="507"/>
      <c r="B107" s="508">
        <v>364</v>
      </c>
      <c r="C107" s="508" t="s">
        <v>140</v>
      </c>
      <c r="D107" s="1332">
        <v>4642918.5224999785</v>
      </c>
      <c r="E107" s="504" t="s">
        <v>171</v>
      </c>
      <c r="F107" s="514">
        <f t="shared" si="5"/>
        <v>0</v>
      </c>
      <c r="G107" s="498">
        <f t="shared" si="6"/>
        <v>0</v>
      </c>
      <c r="H107" s="484"/>
    </row>
    <row r="108" spans="1:8">
      <c r="A108" s="507"/>
      <c r="B108" s="508">
        <v>364</v>
      </c>
      <c r="C108" s="508" t="s">
        <v>140</v>
      </c>
      <c r="D108" s="1332">
        <v>4739668.7291669846</v>
      </c>
      <c r="E108" s="504" t="s">
        <v>172</v>
      </c>
      <c r="F108" s="514">
        <f t="shared" si="5"/>
        <v>0</v>
      </c>
      <c r="G108" s="498">
        <f t="shared" si="6"/>
        <v>0</v>
      </c>
      <c r="H108" s="484"/>
    </row>
    <row r="109" spans="1:8">
      <c r="A109" s="507"/>
      <c r="B109" s="508">
        <v>364</v>
      </c>
      <c r="C109" s="508" t="s">
        <v>140</v>
      </c>
      <c r="D109" s="1332">
        <v>1173388.65625</v>
      </c>
      <c r="E109" s="504" t="s">
        <v>141</v>
      </c>
      <c r="F109" s="514">
        <f t="shared" si="5"/>
        <v>1</v>
      </c>
      <c r="G109" s="498">
        <f t="shared" si="6"/>
        <v>1173388.65625</v>
      </c>
      <c r="H109" s="484"/>
    </row>
    <row r="110" spans="1:8">
      <c r="A110" s="510"/>
      <c r="B110" s="511">
        <v>364</v>
      </c>
      <c r="C110" s="511" t="s">
        <v>140</v>
      </c>
      <c r="D110" s="1332">
        <v>2439470.1950000077</v>
      </c>
      <c r="E110" s="353" t="s">
        <v>517</v>
      </c>
      <c r="F110" s="514">
        <f t="shared" si="5"/>
        <v>0</v>
      </c>
      <c r="G110" s="498">
        <f t="shared" si="6"/>
        <v>0</v>
      </c>
      <c r="H110" s="484"/>
    </row>
    <row r="111" spans="1:8">
      <c r="A111" s="507"/>
      <c r="B111" s="508">
        <v>364</v>
      </c>
      <c r="C111" s="508" t="s">
        <v>140</v>
      </c>
      <c r="D111" s="1332">
        <v>1270287.9570834003</v>
      </c>
      <c r="E111" s="504" t="s">
        <v>517</v>
      </c>
      <c r="F111" s="514">
        <f t="shared" si="5"/>
        <v>0</v>
      </c>
      <c r="G111" s="498">
        <f t="shared" si="6"/>
        <v>0</v>
      </c>
      <c r="H111" s="484"/>
    </row>
    <row r="112" spans="1:8">
      <c r="A112" s="507"/>
      <c r="B112" s="508">
        <v>365</v>
      </c>
      <c r="C112" s="508" t="s">
        <v>140</v>
      </c>
      <c r="D112" s="1332">
        <v>575356.37208340317</v>
      </c>
      <c r="E112" s="504" t="s">
        <v>170</v>
      </c>
      <c r="F112" s="514">
        <f t="shared" si="5"/>
        <v>0</v>
      </c>
      <c r="G112" s="498">
        <f t="shared" si="6"/>
        <v>0</v>
      </c>
      <c r="H112" s="484"/>
    </row>
    <row r="113" spans="1:8">
      <c r="A113" s="507"/>
      <c r="B113" s="508">
        <v>365</v>
      </c>
      <c r="C113" s="508" t="s">
        <v>140</v>
      </c>
      <c r="D113" s="1332">
        <v>238885.71083340049</v>
      </c>
      <c r="E113" s="504" t="s">
        <v>173</v>
      </c>
      <c r="F113" s="514">
        <f t="shared" si="5"/>
        <v>0</v>
      </c>
      <c r="G113" s="498">
        <f t="shared" si="6"/>
        <v>0</v>
      </c>
      <c r="H113" s="484"/>
    </row>
    <row r="114" spans="1:8">
      <c r="A114" s="507"/>
      <c r="B114" s="508">
        <v>365</v>
      </c>
      <c r="C114" s="508" t="s">
        <v>140</v>
      </c>
      <c r="D114" s="1332">
        <v>2105706.0554170012</v>
      </c>
      <c r="E114" s="504" t="s">
        <v>171</v>
      </c>
      <c r="F114" s="514">
        <f t="shared" si="5"/>
        <v>0</v>
      </c>
      <c r="G114" s="498">
        <f t="shared" si="6"/>
        <v>0</v>
      </c>
      <c r="H114" s="484"/>
    </row>
    <row r="115" spans="1:8">
      <c r="A115" s="507"/>
      <c r="B115" s="508">
        <v>365</v>
      </c>
      <c r="C115" s="508" t="s">
        <v>140</v>
      </c>
      <c r="D115" s="1332">
        <v>1925214.0895840228</v>
      </c>
      <c r="E115" s="504" t="s">
        <v>172</v>
      </c>
      <c r="F115" s="514">
        <f t="shared" si="5"/>
        <v>0</v>
      </c>
      <c r="G115" s="498">
        <f t="shared" si="6"/>
        <v>0</v>
      </c>
      <c r="H115" s="484"/>
    </row>
    <row r="116" spans="1:8">
      <c r="A116" s="507"/>
      <c r="B116" s="508">
        <v>365</v>
      </c>
      <c r="C116" s="508" t="s">
        <v>140</v>
      </c>
      <c r="D116" s="1332">
        <v>762668.24374999851</v>
      </c>
      <c r="E116" s="504" t="s">
        <v>141</v>
      </c>
      <c r="F116" s="514">
        <f t="shared" si="5"/>
        <v>1</v>
      </c>
      <c r="G116" s="498">
        <f t="shared" si="6"/>
        <v>762668.24374999851</v>
      </c>
      <c r="H116" s="484"/>
    </row>
    <row r="117" spans="1:8">
      <c r="A117" s="507"/>
      <c r="B117" s="508">
        <v>365</v>
      </c>
      <c r="C117" s="508" t="s">
        <v>140</v>
      </c>
      <c r="D117" s="1332">
        <v>1470950.9616667032</v>
      </c>
      <c r="E117" s="504" t="s">
        <v>517</v>
      </c>
      <c r="F117" s="514">
        <f t="shared" si="5"/>
        <v>0</v>
      </c>
      <c r="G117" s="498">
        <f t="shared" si="6"/>
        <v>0</v>
      </c>
      <c r="H117" s="484"/>
    </row>
    <row r="118" spans="1:8">
      <c r="A118" s="507"/>
      <c r="B118" s="508">
        <v>365</v>
      </c>
      <c r="C118" s="508" t="s">
        <v>140</v>
      </c>
      <c r="D118" s="1332">
        <v>296722.4229166992</v>
      </c>
      <c r="E118" s="504" t="s">
        <v>517</v>
      </c>
      <c r="F118" s="514">
        <f t="shared" si="5"/>
        <v>0</v>
      </c>
      <c r="G118" s="498">
        <f t="shared" si="6"/>
        <v>0</v>
      </c>
      <c r="H118" s="484"/>
    </row>
    <row r="119" spans="1:8">
      <c r="A119" s="507"/>
      <c r="B119" s="508">
        <v>366</v>
      </c>
      <c r="C119" s="508" t="s">
        <v>140</v>
      </c>
      <c r="D119" s="1332">
        <v>158064.43208339997</v>
      </c>
      <c r="E119" s="504" t="s">
        <v>170</v>
      </c>
      <c r="F119" s="514">
        <f t="shared" si="5"/>
        <v>0</v>
      </c>
      <c r="G119" s="498">
        <f t="shared" si="6"/>
        <v>0</v>
      </c>
      <c r="H119" s="484"/>
    </row>
    <row r="120" spans="1:8">
      <c r="A120" s="507"/>
      <c r="B120" s="508">
        <v>366</v>
      </c>
      <c r="C120" s="508" t="s">
        <v>140</v>
      </c>
      <c r="D120" s="1332">
        <v>94301.300416668877</v>
      </c>
      <c r="E120" s="504" t="s">
        <v>173</v>
      </c>
      <c r="F120" s="514">
        <f t="shared" si="5"/>
        <v>0</v>
      </c>
      <c r="G120" s="498">
        <f t="shared" si="6"/>
        <v>0</v>
      </c>
      <c r="H120" s="484"/>
    </row>
    <row r="121" spans="1:8">
      <c r="A121" s="509"/>
      <c r="B121" s="511">
        <v>366</v>
      </c>
      <c r="C121" s="511" t="s">
        <v>140</v>
      </c>
      <c r="D121" s="1332">
        <v>582868.2025000006</v>
      </c>
      <c r="E121" s="504" t="s">
        <v>171</v>
      </c>
      <c r="F121" s="514">
        <f t="shared" si="5"/>
        <v>0</v>
      </c>
      <c r="G121" s="498">
        <f t="shared" si="6"/>
        <v>0</v>
      </c>
      <c r="H121" s="484"/>
    </row>
    <row r="122" spans="1:8">
      <c r="A122" s="507"/>
      <c r="B122" s="508">
        <v>366</v>
      </c>
      <c r="C122" s="508" t="s">
        <v>140</v>
      </c>
      <c r="D122" s="1332">
        <v>1996213.4883340001</v>
      </c>
      <c r="E122" s="504" t="s">
        <v>172</v>
      </c>
      <c r="F122" s="514">
        <f t="shared" si="5"/>
        <v>0</v>
      </c>
      <c r="G122" s="498">
        <f t="shared" si="6"/>
        <v>0</v>
      </c>
      <c r="H122" s="484"/>
    </row>
    <row r="123" spans="1:8">
      <c r="A123" s="507"/>
      <c r="B123" s="508">
        <v>366</v>
      </c>
      <c r="C123" s="508" t="s">
        <v>140</v>
      </c>
      <c r="D123" s="1332">
        <v>85927.315000001341</v>
      </c>
      <c r="E123" s="504" t="s">
        <v>141</v>
      </c>
      <c r="F123" s="514">
        <f t="shared" si="5"/>
        <v>1</v>
      </c>
      <c r="G123" s="498">
        <f t="shared" si="6"/>
        <v>85927.315000001341</v>
      </c>
      <c r="H123" s="484"/>
    </row>
    <row r="124" spans="1:8">
      <c r="A124" s="507"/>
      <c r="B124" s="508">
        <v>366</v>
      </c>
      <c r="C124" s="508" t="s">
        <v>140</v>
      </c>
      <c r="D124" s="1332">
        <v>1343034.0583334025</v>
      </c>
      <c r="E124" s="504" t="s">
        <v>517</v>
      </c>
      <c r="F124" s="514">
        <f t="shared" si="5"/>
        <v>0</v>
      </c>
      <c r="G124" s="498">
        <f t="shared" si="6"/>
        <v>0</v>
      </c>
      <c r="H124" s="484"/>
    </row>
    <row r="125" spans="1:8">
      <c r="A125" s="507"/>
      <c r="B125" s="508">
        <v>366</v>
      </c>
      <c r="C125" s="508" t="s">
        <v>140</v>
      </c>
      <c r="D125" s="1332">
        <v>132294.08749999991</v>
      </c>
      <c r="E125" s="504" t="s">
        <v>517</v>
      </c>
      <c r="F125" s="514">
        <f t="shared" si="5"/>
        <v>0</v>
      </c>
      <c r="G125" s="498">
        <f t="shared" si="6"/>
        <v>0</v>
      </c>
      <c r="H125" s="484"/>
    </row>
    <row r="126" spans="1:8">
      <c r="A126" s="507"/>
      <c r="B126" s="508">
        <v>367</v>
      </c>
      <c r="C126" s="508" t="s">
        <v>140</v>
      </c>
      <c r="D126" s="1332">
        <v>322246.7520833984</v>
      </c>
      <c r="E126" s="504" t="s">
        <v>170</v>
      </c>
      <c r="F126" s="514">
        <f t="shared" si="5"/>
        <v>0</v>
      </c>
      <c r="G126" s="498">
        <f t="shared" si="6"/>
        <v>0</v>
      </c>
      <c r="H126" s="484"/>
    </row>
    <row r="127" spans="1:8">
      <c r="A127" s="507"/>
      <c r="B127" s="508">
        <v>367</v>
      </c>
      <c r="C127" s="508" t="s">
        <v>140</v>
      </c>
      <c r="D127" s="1332">
        <v>284789.27666670084</v>
      </c>
      <c r="E127" s="504" t="s">
        <v>173</v>
      </c>
      <c r="F127" s="514">
        <f t="shared" si="5"/>
        <v>0</v>
      </c>
      <c r="G127" s="498">
        <f t="shared" si="6"/>
        <v>0</v>
      </c>
      <c r="H127" s="484"/>
    </row>
    <row r="128" spans="1:8">
      <c r="A128" s="507"/>
      <c r="B128" s="508">
        <v>367</v>
      </c>
      <c r="C128" s="508" t="s">
        <v>140</v>
      </c>
      <c r="D128" s="1332">
        <v>1624418.4287500083</v>
      </c>
      <c r="E128" s="504" t="s">
        <v>171</v>
      </c>
      <c r="F128" s="514">
        <f t="shared" si="5"/>
        <v>0</v>
      </c>
      <c r="G128" s="498">
        <f t="shared" si="6"/>
        <v>0</v>
      </c>
      <c r="H128" s="484"/>
    </row>
    <row r="129" spans="1:8">
      <c r="A129" s="507"/>
      <c r="B129" s="508">
        <v>367</v>
      </c>
      <c r="C129" s="508" t="s">
        <v>140</v>
      </c>
      <c r="D129" s="1332">
        <v>4909224.2925000191</v>
      </c>
      <c r="E129" s="504" t="s">
        <v>172</v>
      </c>
      <c r="F129" s="514">
        <f t="shared" si="5"/>
        <v>0</v>
      </c>
      <c r="G129" s="498">
        <f t="shared" si="6"/>
        <v>0</v>
      </c>
      <c r="H129" s="484"/>
    </row>
    <row r="130" spans="1:8">
      <c r="A130" s="507"/>
      <c r="B130" s="508">
        <v>367</v>
      </c>
      <c r="C130" s="508" t="s">
        <v>140</v>
      </c>
      <c r="D130" s="1332">
        <v>243795.16499999911</v>
      </c>
      <c r="E130" s="504" t="s">
        <v>141</v>
      </c>
      <c r="F130" s="514">
        <f t="shared" si="5"/>
        <v>1</v>
      </c>
      <c r="G130" s="498">
        <f t="shared" si="6"/>
        <v>243795.16499999911</v>
      </c>
      <c r="H130" s="484"/>
    </row>
    <row r="131" spans="1:8">
      <c r="A131" s="507"/>
      <c r="B131" s="508">
        <v>367</v>
      </c>
      <c r="C131" s="508" t="s">
        <v>140</v>
      </c>
      <c r="D131" s="1332">
        <v>1525520.4045833945</v>
      </c>
      <c r="E131" s="504" t="s">
        <v>517</v>
      </c>
      <c r="F131" s="514">
        <f t="shared" si="5"/>
        <v>0</v>
      </c>
      <c r="G131" s="498">
        <f t="shared" si="6"/>
        <v>0</v>
      </c>
      <c r="H131" s="484"/>
    </row>
    <row r="132" spans="1:8">
      <c r="A132" s="490"/>
      <c r="B132" s="503">
        <v>367</v>
      </c>
      <c r="C132" s="503" t="s">
        <v>140</v>
      </c>
      <c r="D132" s="1332">
        <v>193052.27083339915</v>
      </c>
      <c r="E132" s="504" t="s">
        <v>517</v>
      </c>
      <c r="F132" s="514">
        <f t="shared" si="5"/>
        <v>0</v>
      </c>
      <c r="G132" s="498">
        <f t="shared" si="6"/>
        <v>0</v>
      </c>
      <c r="H132" s="254"/>
    </row>
    <row r="133" spans="1:8">
      <c r="A133" s="507"/>
      <c r="B133" s="508">
        <v>368</v>
      </c>
      <c r="C133" s="508" t="s">
        <v>140</v>
      </c>
      <c r="D133" s="1332">
        <v>605242.10791669786</v>
      </c>
      <c r="E133" s="504" t="s">
        <v>170</v>
      </c>
      <c r="F133" s="514">
        <f t="shared" si="5"/>
        <v>0</v>
      </c>
      <c r="G133" s="498">
        <f t="shared" si="6"/>
        <v>0</v>
      </c>
      <c r="H133" s="484"/>
    </row>
    <row r="134" spans="1:8">
      <c r="A134" s="507"/>
      <c r="B134" s="508">
        <v>368</v>
      </c>
      <c r="C134" s="508" t="s">
        <v>140</v>
      </c>
      <c r="D134" s="1332">
        <v>1216440.8395834118</v>
      </c>
      <c r="E134" s="504" t="s">
        <v>173</v>
      </c>
      <c r="F134" s="514">
        <f t="shared" si="5"/>
        <v>0</v>
      </c>
      <c r="G134" s="498">
        <f t="shared" si="6"/>
        <v>0</v>
      </c>
      <c r="H134" s="484"/>
    </row>
    <row r="135" spans="1:8">
      <c r="A135" s="507"/>
      <c r="B135" s="508">
        <v>368</v>
      </c>
      <c r="C135" s="508" t="s">
        <v>140</v>
      </c>
      <c r="D135" s="1332">
        <v>3389114.8991670012</v>
      </c>
      <c r="E135" s="504" t="s">
        <v>171</v>
      </c>
      <c r="F135" s="514">
        <f t="shared" si="5"/>
        <v>0</v>
      </c>
      <c r="G135" s="498">
        <f t="shared" si="6"/>
        <v>0</v>
      </c>
      <c r="H135" s="484"/>
    </row>
    <row r="136" spans="1:8">
      <c r="A136" s="507"/>
      <c r="B136" s="508">
        <v>368</v>
      </c>
      <c r="C136" s="508" t="s">
        <v>140</v>
      </c>
      <c r="D136" s="1332">
        <v>8319240.6612499952</v>
      </c>
      <c r="E136" s="504" t="s">
        <v>172</v>
      </c>
      <c r="F136" s="514">
        <f t="shared" si="5"/>
        <v>0</v>
      </c>
      <c r="G136" s="498">
        <f t="shared" si="6"/>
        <v>0</v>
      </c>
      <c r="H136" s="484"/>
    </row>
    <row r="137" spans="1:8">
      <c r="A137" s="507"/>
      <c r="B137" s="508">
        <v>368</v>
      </c>
      <c r="C137" s="508" t="s">
        <v>140</v>
      </c>
      <c r="D137" s="1332">
        <v>1383132.9666669965</v>
      </c>
      <c r="E137" s="504" t="s">
        <v>141</v>
      </c>
      <c r="F137" s="514">
        <f t="shared" si="5"/>
        <v>1</v>
      </c>
      <c r="G137" s="498">
        <f t="shared" si="6"/>
        <v>1383132.9666669965</v>
      </c>
      <c r="H137" s="484"/>
    </row>
    <row r="138" spans="1:8">
      <c r="A138" s="507"/>
      <c r="B138" s="508">
        <v>368</v>
      </c>
      <c r="C138" s="508" t="s">
        <v>140</v>
      </c>
      <c r="D138" s="1332">
        <v>1896135.4333333969</v>
      </c>
      <c r="E138" s="504" t="s">
        <v>517</v>
      </c>
      <c r="F138" s="514">
        <f t="shared" si="5"/>
        <v>0</v>
      </c>
      <c r="G138" s="498">
        <f t="shared" si="6"/>
        <v>0</v>
      </c>
      <c r="H138" s="484"/>
    </row>
    <row r="139" spans="1:8">
      <c r="A139" s="507"/>
      <c r="B139" s="508">
        <v>368</v>
      </c>
      <c r="C139" s="508" t="s">
        <v>140</v>
      </c>
      <c r="D139" s="1332">
        <v>277806.33291669935</v>
      </c>
      <c r="E139" s="504" t="s">
        <v>517</v>
      </c>
      <c r="F139" s="514">
        <f t="shared" si="5"/>
        <v>0</v>
      </c>
      <c r="G139" s="498">
        <f t="shared" si="6"/>
        <v>0</v>
      </c>
      <c r="H139" s="484"/>
    </row>
    <row r="140" spans="1:8">
      <c r="A140" s="507"/>
      <c r="B140" s="508">
        <v>369</v>
      </c>
      <c r="C140" s="508" t="s">
        <v>140</v>
      </c>
      <c r="D140" s="1332">
        <v>237322.68666670099</v>
      </c>
      <c r="E140" s="504" t="s">
        <v>170</v>
      </c>
      <c r="F140" s="514">
        <f t="shared" si="5"/>
        <v>0</v>
      </c>
      <c r="G140" s="498">
        <f t="shared" si="6"/>
        <v>0</v>
      </c>
      <c r="H140" s="484"/>
    </row>
    <row r="141" spans="1:8">
      <c r="A141" s="507"/>
      <c r="B141" s="508">
        <v>369</v>
      </c>
      <c r="C141" s="508" t="s">
        <v>140</v>
      </c>
      <c r="D141" s="1332">
        <v>823902.61583340168</v>
      </c>
      <c r="E141" s="504" t="s">
        <v>173</v>
      </c>
      <c r="F141" s="514">
        <f t="shared" si="5"/>
        <v>0</v>
      </c>
      <c r="G141" s="498">
        <f t="shared" si="6"/>
        <v>0</v>
      </c>
      <c r="H141" s="484"/>
    </row>
    <row r="142" spans="1:8">
      <c r="A142" s="507"/>
      <c r="B142" s="508">
        <v>369</v>
      </c>
      <c r="C142" s="508" t="s">
        <v>140</v>
      </c>
      <c r="D142" s="1332">
        <v>4112290.8591669798</v>
      </c>
      <c r="E142" s="504" t="s">
        <v>171</v>
      </c>
      <c r="F142" s="514">
        <f t="shared" si="5"/>
        <v>0</v>
      </c>
      <c r="G142" s="498">
        <f t="shared" si="6"/>
        <v>0</v>
      </c>
      <c r="H142" s="484"/>
    </row>
    <row r="143" spans="1:8">
      <c r="A143" s="490"/>
      <c r="B143" s="503">
        <v>369</v>
      </c>
      <c r="C143" s="503" t="s">
        <v>140</v>
      </c>
      <c r="D143" s="1332">
        <v>5789767.4208340049</v>
      </c>
      <c r="E143" s="504" t="s">
        <v>172</v>
      </c>
      <c r="F143" s="514">
        <f t="shared" si="5"/>
        <v>0</v>
      </c>
      <c r="G143" s="498">
        <f t="shared" si="6"/>
        <v>0</v>
      </c>
      <c r="H143" s="484"/>
    </row>
    <row r="144" spans="1:8">
      <c r="A144" s="507"/>
      <c r="B144" s="508">
        <v>369</v>
      </c>
      <c r="C144" s="508" t="s">
        <v>140</v>
      </c>
      <c r="D144" s="1332">
        <v>1008164.5145834014</v>
      </c>
      <c r="E144" s="504" t="s">
        <v>141</v>
      </c>
      <c r="F144" s="514">
        <f t="shared" si="5"/>
        <v>1</v>
      </c>
      <c r="G144" s="498">
        <f t="shared" si="6"/>
        <v>1008164.5145834014</v>
      </c>
      <c r="H144" s="484"/>
    </row>
    <row r="145" spans="1:8">
      <c r="A145" s="507"/>
      <c r="B145" s="508">
        <v>369</v>
      </c>
      <c r="C145" s="508" t="s">
        <v>140</v>
      </c>
      <c r="D145" s="1332">
        <v>940761.83458340168</v>
      </c>
      <c r="E145" s="504" t="s">
        <v>517</v>
      </c>
      <c r="F145" s="514">
        <f t="shared" si="5"/>
        <v>0</v>
      </c>
      <c r="G145" s="498">
        <f t="shared" si="6"/>
        <v>0</v>
      </c>
      <c r="H145" s="484"/>
    </row>
    <row r="146" spans="1:8">
      <c r="A146" s="507"/>
      <c r="B146" s="508">
        <v>369</v>
      </c>
      <c r="C146" s="508" t="s">
        <v>140</v>
      </c>
      <c r="D146" s="1332">
        <v>331275.44999999925</v>
      </c>
      <c r="E146" s="504" t="s">
        <v>517</v>
      </c>
      <c r="F146" s="514">
        <f t="shared" si="5"/>
        <v>0</v>
      </c>
      <c r="G146" s="498">
        <f t="shared" si="6"/>
        <v>0</v>
      </c>
      <c r="H146" s="484"/>
    </row>
    <row r="147" spans="1:8">
      <c r="A147" s="507"/>
      <c r="B147" s="508">
        <v>370</v>
      </c>
      <c r="C147" s="508" t="s">
        <v>140</v>
      </c>
      <c r="D147" s="1332">
        <v>25493.485416669864</v>
      </c>
      <c r="E147" s="504" t="s">
        <v>170</v>
      </c>
      <c r="F147" s="514">
        <f t="shared" si="5"/>
        <v>0</v>
      </c>
      <c r="G147" s="498">
        <f t="shared" si="6"/>
        <v>0</v>
      </c>
      <c r="H147" s="484"/>
    </row>
    <row r="148" spans="1:8">
      <c r="A148" s="507"/>
      <c r="B148" s="508">
        <v>370</v>
      </c>
      <c r="C148" s="508" t="s">
        <v>140</v>
      </c>
      <c r="D148" s="1332">
        <v>-5114.0833333004266</v>
      </c>
      <c r="E148" s="504" t="s">
        <v>173</v>
      </c>
      <c r="F148" s="514">
        <f t="shared" si="5"/>
        <v>0</v>
      </c>
      <c r="G148" s="498">
        <f t="shared" si="6"/>
        <v>0</v>
      </c>
      <c r="H148" s="484"/>
    </row>
    <row r="149" spans="1:8">
      <c r="A149" s="507"/>
      <c r="B149" s="508">
        <v>370</v>
      </c>
      <c r="C149" s="508" t="s">
        <v>140</v>
      </c>
      <c r="D149" s="1332">
        <v>153231.38416670263</v>
      </c>
      <c r="E149" s="504" t="s">
        <v>171</v>
      </c>
      <c r="F149" s="514">
        <f t="shared" ref="F149:F168" si="7">INDEX(WCAAllocations,IFERROR(MATCH(E149,WCAFactors,0),2),IFERROR(MATCH(E149,WCAStates,0),4))</f>
        <v>0</v>
      </c>
      <c r="G149" s="498">
        <f t="shared" ref="G149:G168" si="8">D149*F149</f>
        <v>0</v>
      </c>
      <c r="H149" s="484"/>
    </row>
    <row r="150" spans="1:8">
      <c r="A150" s="507"/>
      <c r="B150" s="508">
        <v>370</v>
      </c>
      <c r="C150" s="508" t="s">
        <v>140</v>
      </c>
      <c r="D150" s="1332">
        <v>401158.02125000954</v>
      </c>
      <c r="E150" s="504" t="s">
        <v>172</v>
      </c>
      <c r="F150" s="514">
        <f t="shared" si="7"/>
        <v>0</v>
      </c>
      <c r="G150" s="498">
        <f t="shared" si="8"/>
        <v>0</v>
      </c>
      <c r="H150" s="484"/>
    </row>
    <row r="151" spans="1:8">
      <c r="A151" s="507"/>
      <c r="B151" s="508">
        <v>370</v>
      </c>
      <c r="C151" s="508" t="s">
        <v>140</v>
      </c>
      <c r="D151" s="1332">
        <v>30258.764583399519</v>
      </c>
      <c r="E151" s="504" t="s">
        <v>141</v>
      </c>
      <c r="F151" s="514">
        <f t="shared" si="7"/>
        <v>1</v>
      </c>
      <c r="G151" s="498">
        <f t="shared" si="8"/>
        <v>30258.764583399519</v>
      </c>
      <c r="H151" s="484"/>
    </row>
    <row r="152" spans="1:8">
      <c r="A152" s="507"/>
      <c r="B152" s="508">
        <v>370</v>
      </c>
      <c r="C152" s="508" t="s">
        <v>140</v>
      </c>
      <c r="D152" s="1332">
        <v>66941.791666699573</v>
      </c>
      <c r="E152" s="504" t="s">
        <v>517</v>
      </c>
      <c r="F152" s="514">
        <f t="shared" si="7"/>
        <v>0</v>
      </c>
      <c r="G152" s="498">
        <f t="shared" si="8"/>
        <v>0</v>
      </c>
      <c r="H152" s="484"/>
    </row>
    <row r="153" spans="1:8">
      <c r="A153" s="507"/>
      <c r="B153" s="508">
        <v>370</v>
      </c>
      <c r="C153" s="508" t="s">
        <v>140</v>
      </c>
      <c r="D153" s="1332">
        <v>-8281.8762499997392</v>
      </c>
      <c r="E153" s="504" t="s">
        <v>517</v>
      </c>
      <c r="F153" s="514">
        <f t="shared" si="7"/>
        <v>0</v>
      </c>
      <c r="G153" s="498">
        <f t="shared" si="8"/>
        <v>0</v>
      </c>
      <c r="H153" s="484"/>
    </row>
    <row r="154" spans="1:8">
      <c r="A154" s="507"/>
      <c r="B154" s="508">
        <v>371</v>
      </c>
      <c r="C154" s="508" t="s">
        <v>140</v>
      </c>
      <c r="D154" s="1332">
        <v>-31.845833332976326</v>
      </c>
      <c r="E154" s="504" t="s">
        <v>170</v>
      </c>
      <c r="F154" s="514">
        <f t="shared" si="7"/>
        <v>0</v>
      </c>
      <c r="G154" s="498">
        <f t="shared" si="8"/>
        <v>0</v>
      </c>
      <c r="H154" s="484"/>
    </row>
    <row r="155" spans="1:8">
      <c r="A155" s="507"/>
      <c r="B155" s="508">
        <v>371</v>
      </c>
      <c r="C155" s="508" t="s">
        <v>140</v>
      </c>
      <c r="D155" s="1332">
        <v>810.7508333339938</v>
      </c>
      <c r="E155" s="504" t="s">
        <v>173</v>
      </c>
      <c r="F155" s="514">
        <f t="shared" si="7"/>
        <v>0</v>
      </c>
      <c r="G155" s="498">
        <f t="shared" si="8"/>
        <v>0</v>
      </c>
      <c r="H155" s="484"/>
    </row>
    <row r="156" spans="1:8">
      <c r="A156" s="507"/>
      <c r="B156" s="508">
        <v>371</v>
      </c>
      <c r="C156" s="508" t="s">
        <v>140</v>
      </c>
      <c r="D156" s="1332">
        <v>5675.2854166701436</v>
      </c>
      <c r="E156" s="504" t="s">
        <v>171</v>
      </c>
      <c r="F156" s="514">
        <f t="shared" si="7"/>
        <v>0</v>
      </c>
      <c r="G156" s="498">
        <f t="shared" si="8"/>
        <v>0</v>
      </c>
      <c r="H156" s="484"/>
    </row>
    <row r="157" spans="1:8">
      <c r="A157" s="507"/>
      <c r="B157" s="508">
        <v>371</v>
      </c>
      <c r="C157" s="508" t="s">
        <v>140</v>
      </c>
      <c r="D157" s="1332">
        <v>-15582.852083330043</v>
      </c>
      <c r="E157" s="504" t="s">
        <v>172</v>
      </c>
      <c r="F157" s="514">
        <f t="shared" si="7"/>
        <v>0</v>
      </c>
      <c r="G157" s="498">
        <f t="shared" si="8"/>
        <v>0</v>
      </c>
      <c r="H157" s="484"/>
    </row>
    <row r="158" spans="1:8">
      <c r="A158" s="507"/>
      <c r="B158" s="508">
        <v>371</v>
      </c>
      <c r="C158" s="508" t="s">
        <v>140</v>
      </c>
      <c r="D158" s="1332">
        <v>-1267.742499999993</v>
      </c>
      <c r="E158" s="504" t="s">
        <v>141</v>
      </c>
      <c r="F158" s="514">
        <f t="shared" si="7"/>
        <v>1</v>
      </c>
      <c r="G158" s="498">
        <f t="shared" si="8"/>
        <v>-1267.742499999993</v>
      </c>
      <c r="H158" s="484"/>
    </row>
    <row r="159" spans="1:8">
      <c r="A159" s="507"/>
      <c r="B159" s="508">
        <v>371</v>
      </c>
      <c r="C159" s="508" t="s">
        <v>140</v>
      </c>
      <c r="D159" s="1332">
        <v>3379.7916666669771</v>
      </c>
      <c r="E159" s="504" t="s">
        <v>517</v>
      </c>
      <c r="F159" s="514">
        <f t="shared" si="7"/>
        <v>0</v>
      </c>
      <c r="G159" s="498">
        <f t="shared" si="8"/>
        <v>0</v>
      </c>
      <c r="H159" s="484"/>
    </row>
    <row r="160" spans="1:8">
      <c r="A160" s="507"/>
      <c r="B160" s="508">
        <v>373</v>
      </c>
      <c r="C160" s="508" t="s">
        <v>140</v>
      </c>
      <c r="D160" s="1332">
        <v>2503.3170833340846</v>
      </c>
      <c r="E160" s="504" t="s">
        <v>170</v>
      </c>
      <c r="F160" s="514">
        <f t="shared" si="7"/>
        <v>0</v>
      </c>
      <c r="G160" s="498">
        <f t="shared" si="8"/>
        <v>0</v>
      </c>
      <c r="H160" s="484"/>
    </row>
    <row r="161" spans="1:8">
      <c r="A161" s="507"/>
      <c r="B161" s="508">
        <v>373</v>
      </c>
      <c r="C161" s="508" t="s">
        <v>140</v>
      </c>
      <c r="D161" s="1332">
        <v>6490.1304166670889</v>
      </c>
      <c r="E161" s="504" t="s">
        <v>173</v>
      </c>
      <c r="F161" s="514">
        <f t="shared" si="7"/>
        <v>0</v>
      </c>
      <c r="G161" s="498">
        <f t="shared" si="8"/>
        <v>0</v>
      </c>
      <c r="H161" s="484"/>
    </row>
    <row r="162" spans="1:8">
      <c r="A162" s="507"/>
      <c r="B162" s="508">
        <v>373</v>
      </c>
      <c r="C162" s="508" t="s">
        <v>140</v>
      </c>
      <c r="D162" s="1332">
        <v>118792.78458339721</v>
      </c>
      <c r="E162" s="504" t="s">
        <v>171</v>
      </c>
      <c r="F162" s="514">
        <f t="shared" si="7"/>
        <v>0</v>
      </c>
      <c r="G162" s="498">
        <f t="shared" si="8"/>
        <v>0</v>
      </c>
      <c r="H162" s="484"/>
    </row>
    <row r="163" spans="1:8">
      <c r="A163" s="507"/>
      <c r="B163" s="508">
        <v>373</v>
      </c>
      <c r="C163" s="508" t="s">
        <v>140</v>
      </c>
      <c r="D163" s="1332">
        <v>-301026.23666660115</v>
      </c>
      <c r="E163" s="504" t="s">
        <v>172</v>
      </c>
      <c r="F163" s="514">
        <f t="shared" si="7"/>
        <v>0</v>
      </c>
      <c r="G163" s="498">
        <f t="shared" si="8"/>
        <v>0</v>
      </c>
      <c r="H163" s="484"/>
    </row>
    <row r="164" spans="1:8">
      <c r="A164" s="507"/>
      <c r="B164" s="508">
        <v>373</v>
      </c>
      <c r="C164" s="508" t="s">
        <v>140</v>
      </c>
      <c r="D164" s="1332">
        <v>30309.529583340045</v>
      </c>
      <c r="E164" s="504" t="s">
        <v>141</v>
      </c>
      <c r="F164" s="514">
        <f t="shared" si="7"/>
        <v>1</v>
      </c>
      <c r="G164" s="498">
        <f t="shared" si="8"/>
        <v>30309.529583340045</v>
      </c>
      <c r="H164" s="484"/>
    </row>
    <row r="165" spans="1:8">
      <c r="A165" s="507"/>
      <c r="B165" s="508">
        <v>373</v>
      </c>
      <c r="C165" s="508" t="s">
        <v>140</v>
      </c>
      <c r="D165" s="1332">
        <v>164319.16333334055</v>
      </c>
      <c r="E165" s="504" t="s">
        <v>517</v>
      </c>
      <c r="F165" s="514">
        <f t="shared" si="7"/>
        <v>0</v>
      </c>
      <c r="G165" s="498">
        <f t="shared" si="8"/>
        <v>0</v>
      </c>
      <c r="H165" s="484"/>
    </row>
    <row r="166" spans="1:8">
      <c r="A166" s="507"/>
      <c r="B166" s="508">
        <v>373</v>
      </c>
      <c r="C166" s="508" t="s">
        <v>140</v>
      </c>
      <c r="D166" s="1332">
        <v>570.74291667016223</v>
      </c>
      <c r="E166" s="504" t="s">
        <v>517</v>
      </c>
      <c r="F166" s="514">
        <f t="shared" si="7"/>
        <v>0</v>
      </c>
      <c r="G166" s="498">
        <f t="shared" si="8"/>
        <v>0</v>
      </c>
      <c r="H166" s="484"/>
    </row>
    <row r="167" spans="1:8">
      <c r="A167" s="507"/>
      <c r="B167" s="508">
        <v>389</v>
      </c>
      <c r="C167" s="508" t="s">
        <v>140</v>
      </c>
      <c r="D167" s="1332">
        <v>1912235.6783333402</v>
      </c>
      <c r="E167" s="504" t="s">
        <v>130</v>
      </c>
      <c r="F167" s="514">
        <f t="shared" si="7"/>
        <v>6.8539355270203509E-2</v>
      </c>
      <c r="G167" s="498">
        <f t="shared" si="8"/>
        <v>131063.4005176474</v>
      </c>
      <c r="H167" s="484"/>
    </row>
    <row r="168" spans="1:8">
      <c r="A168" s="507"/>
      <c r="B168" s="508">
        <v>389</v>
      </c>
      <c r="C168" s="508" t="s">
        <v>140</v>
      </c>
      <c r="D168" s="1332">
        <v>-332.74583333008923</v>
      </c>
      <c r="E168" s="504" t="s">
        <v>517</v>
      </c>
      <c r="F168" s="514">
        <f t="shared" si="7"/>
        <v>0</v>
      </c>
      <c r="G168" s="498">
        <f t="shared" si="8"/>
        <v>0</v>
      </c>
      <c r="H168" s="484"/>
    </row>
    <row r="169" spans="1:8">
      <c r="A169" s="502"/>
      <c r="B169" s="503">
        <v>390</v>
      </c>
      <c r="C169" s="163" t="s">
        <v>140</v>
      </c>
      <c r="D169" s="1332">
        <v>237336.73166667018</v>
      </c>
      <c r="E169" s="504" t="s">
        <v>170</v>
      </c>
      <c r="F169" s="514">
        <f>INDEX(WCAAllocations,IFERROR(MATCH(E169,WCAFactors,0),2),IFERROR(MATCH(E169,WCAStates,0),4))</f>
        <v>0</v>
      </c>
      <c r="G169" s="498">
        <f>D169*F169</f>
        <v>0</v>
      </c>
      <c r="H169" s="484"/>
    </row>
    <row r="170" spans="1:8">
      <c r="A170" s="502"/>
      <c r="B170" s="503">
        <v>390</v>
      </c>
      <c r="C170" s="163" t="s">
        <v>140</v>
      </c>
      <c r="D170" s="1332">
        <v>26420.851666669827</v>
      </c>
      <c r="E170" s="504" t="s">
        <v>214</v>
      </c>
      <c r="F170" s="514">
        <f t="shared" ref="F170:F233" si="9">INDEX(WCAAllocations,IFERROR(MATCH(E170,WCAFactors,0),2),IFERROR(MATCH(E170,WCAStates,0),4))</f>
        <v>0</v>
      </c>
      <c r="G170" s="498">
        <f t="shared" ref="G170:G233" si="10">D170*F170</f>
        <v>0</v>
      </c>
      <c r="H170" s="484"/>
    </row>
    <row r="171" spans="1:8">
      <c r="A171" s="502"/>
      <c r="B171" s="503">
        <v>390</v>
      </c>
      <c r="C171" s="163" t="s">
        <v>140</v>
      </c>
      <c r="D171" s="1332">
        <v>162.36958333989605</v>
      </c>
      <c r="E171" s="504" t="s">
        <v>203</v>
      </c>
      <c r="F171" s="514">
        <f t="shared" si="9"/>
        <v>0.23084885646883446</v>
      </c>
      <c r="G171" s="498">
        <f t="shared" si="10"/>
        <v>37.482832639336117</v>
      </c>
      <c r="H171" s="484"/>
    </row>
    <row r="172" spans="1:8">
      <c r="A172" s="502"/>
      <c r="B172" s="503">
        <v>390</v>
      </c>
      <c r="C172" s="163" t="s">
        <v>140</v>
      </c>
      <c r="D172" s="1332">
        <v>-205142.37208330072</v>
      </c>
      <c r="E172" s="504" t="s">
        <v>152</v>
      </c>
      <c r="F172" s="514">
        <f t="shared" si="9"/>
        <v>6.9173575695716499E-2</v>
      </c>
      <c r="G172" s="498">
        <v>0</v>
      </c>
      <c r="H172" s="484"/>
    </row>
    <row r="173" spans="1:8">
      <c r="A173" s="502"/>
      <c r="B173" s="503">
        <v>390</v>
      </c>
      <c r="C173" s="163" t="s">
        <v>140</v>
      </c>
      <c r="D173" s="1332">
        <v>181497.87291670032</v>
      </c>
      <c r="E173" s="504" t="s">
        <v>173</v>
      </c>
      <c r="F173" s="514">
        <f t="shared" si="9"/>
        <v>0</v>
      </c>
      <c r="G173" s="498">
        <f t="shared" si="10"/>
        <v>0</v>
      </c>
      <c r="H173" s="484"/>
    </row>
    <row r="174" spans="1:8">
      <c r="A174" s="244"/>
      <c r="B174" s="503">
        <v>390</v>
      </c>
      <c r="C174" s="503" t="s">
        <v>140</v>
      </c>
      <c r="D174" s="1332">
        <v>127367.71999999881</v>
      </c>
      <c r="E174" s="504" t="s">
        <v>171</v>
      </c>
      <c r="F174" s="514">
        <f t="shared" si="9"/>
        <v>0</v>
      </c>
      <c r="G174" s="498">
        <f t="shared" si="10"/>
        <v>0</v>
      </c>
      <c r="H174" s="484"/>
    </row>
    <row r="175" spans="1:8">
      <c r="A175" s="244"/>
      <c r="B175" s="503">
        <v>390</v>
      </c>
      <c r="C175" s="503" t="s">
        <v>140</v>
      </c>
      <c r="D175" s="1332">
        <v>1691599.1283334047</v>
      </c>
      <c r="E175" s="504" t="s">
        <v>130</v>
      </c>
      <c r="F175" s="514">
        <f t="shared" si="9"/>
        <v>6.8539355270203509E-2</v>
      </c>
      <c r="G175" s="498">
        <v>0</v>
      </c>
      <c r="H175" s="484"/>
    </row>
    <row r="176" spans="1:8">
      <c r="A176" s="502"/>
      <c r="B176" s="503">
        <v>390</v>
      </c>
      <c r="C176" s="163" t="s">
        <v>140</v>
      </c>
      <c r="D176" s="1332">
        <v>466396.13125000149</v>
      </c>
      <c r="E176" s="504" t="s">
        <v>172</v>
      </c>
      <c r="F176" s="514">
        <f t="shared" si="9"/>
        <v>0</v>
      </c>
      <c r="G176" s="498">
        <f t="shared" si="10"/>
        <v>0</v>
      </c>
      <c r="H176" s="484"/>
    </row>
    <row r="177" spans="1:8">
      <c r="A177" s="502"/>
      <c r="B177" s="503">
        <v>390</v>
      </c>
      <c r="C177" s="163" t="s">
        <v>140</v>
      </c>
      <c r="D177" s="1332">
        <v>274446.6254166998</v>
      </c>
      <c r="E177" s="504" t="s">
        <v>141</v>
      </c>
      <c r="F177" s="514">
        <f t="shared" si="9"/>
        <v>1</v>
      </c>
      <c r="G177" s="498">
        <f t="shared" si="10"/>
        <v>274446.6254166998</v>
      </c>
      <c r="H177" s="484"/>
    </row>
    <row r="178" spans="1:8">
      <c r="A178" s="502"/>
      <c r="B178" s="503">
        <v>390</v>
      </c>
      <c r="C178" s="163" t="s">
        <v>140</v>
      </c>
      <c r="D178" s="1332">
        <v>230538.14666670002</v>
      </c>
      <c r="E178" s="504" t="s">
        <v>517</v>
      </c>
      <c r="F178" s="514">
        <f t="shared" si="9"/>
        <v>0</v>
      </c>
      <c r="G178" s="498">
        <f t="shared" si="10"/>
        <v>0</v>
      </c>
      <c r="H178" s="484"/>
    </row>
    <row r="179" spans="1:8">
      <c r="A179" s="502"/>
      <c r="B179" s="503">
        <v>390</v>
      </c>
      <c r="C179" s="163" t="s">
        <v>140</v>
      </c>
      <c r="D179" s="1332">
        <v>158262.79875000007</v>
      </c>
      <c r="E179" s="504" t="s">
        <v>517</v>
      </c>
      <c r="F179" s="514">
        <f t="shared" si="9"/>
        <v>0</v>
      </c>
      <c r="G179" s="498">
        <f t="shared" si="10"/>
        <v>0</v>
      </c>
      <c r="H179" s="484"/>
    </row>
    <row r="180" spans="1:8">
      <c r="A180" s="502"/>
      <c r="B180" s="503">
        <v>391</v>
      </c>
      <c r="C180" s="163" t="s">
        <v>140</v>
      </c>
      <c r="D180" s="1332">
        <v>-18935.553333332995</v>
      </c>
      <c r="E180" s="504" t="s">
        <v>170</v>
      </c>
      <c r="F180" s="514">
        <f t="shared" si="9"/>
        <v>0</v>
      </c>
      <c r="G180" s="498">
        <f t="shared" si="10"/>
        <v>0</v>
      </c>
      <c r="H180" s="484"/>
    </row>
    <row r="181" spans="1:8">
      <c r="A181" s="244"/>
      <c r="B181" s="503">
        <v>391</v>
      </c>
      <c r="C181" s="503" t="s">
        <v>140</v>
      </c>
      <c r="D181" s="1332">
        <v>3810.5962500000023</v>
      </c>
      <c r="E181" s="504" t="s">
        <v>261</v>
      </c>
      <c r="F181" s="514">
        <f t="shared" si="9"/>
        <v>0</v>
      </c>
      <c r="G181" s="498">
        <f t="shared" si="10"/>
        <v>0</v>
      </c>
      <c r="H181" s="484"/>
    </row>
    <row r="182" spans="1:8">
      <c r="A182" s="244"/>
      <c r="B182" s="503">
        <v>391</v>
      </c>
      <c r="C182" s="503" t="s">
        <v>140</v>
      </c>
      <c r="D182" s="1332">
        <v>-309264.66541666025</v>
      </c>
      <c r="E182" s="504" t="s">
        <v>214</v>
      </c>
      <c r="F182" s="514">
        <f t="shared" si="9"/>
        <v>0</v>
      </c>
      <c r="G182" s="498">
        <f t="shared" si="10"/>
        <v>0</v>
      </c>
      <c r="H182" s="484"/>
    </row>
    <row r="183" spans="1:8">
      <c r="A183" s="506"/>
      <c r="B183" s="503">
        <v>391</v>
      </c>
      <c r="C183" s="503" t="s">
        <v>140</v>
      </c>
      <c r="D183" s="1332">
        <v>-11707.530833333032</v>
      </c>
      <c r="E183" s="504" t="s">
        <v>203</v>
      </c>
      <c r="F183" s="514">
        <f t="shared" si="9"/>
        <v>0.23084885646883446</v>
      </c>
      <c r="G183" s="498">
        <f t="shared" si="10"/>
        <v>-2702.6701049485509</v>
      </c>
      <c r="H183" s="484"/>
    </row>
    <row r="184" spans="1:8">
      <c r="A184" s="490"/>
      <c r="B184" s="503">
        <v>391</v>
      </c>
      <c r="C184" s="503" t="s">
        <v>140</v>
      </c>
      <c r="D184" s="1332">
        <v>-1113637.8683333304</v>
      </c>
      <c r="E184" s="504" t="s">
        <v>152</v>
      </c>
      <c r="F184" s="514">
        <f t="shared" si="9"/>
        <v>6.9173575695716499E-2</v>
      </c>
      <c r="G184" s="498">
        <f t="shared" si="10"/>
        <v>-77034.313382771987</v>
      </c>
      <c r="H184" s="484"/>
    </row>
    <row r="185" spans="1:8">
      <c r="A185" s="507"/>
      <c r="B185" s="508">
        <v>391</v>
      </c>
      <c r="C185" s="508" t="s">
        <v>140</v>
      </c>
      <c r="D185" s="1332">
        <v>-15038.503750000033</v>
      </c>
      <c r="E185" s="504" t="s">
        <v>173</v>
      </c>
      <c r="F185" s="514">
        <f t="shared" si="9"/>
        <v>0</v>
      </c>
      <c r="G185" s="498">
        <f t="shared" si="10"/>
        <v>0</v>
      </c>
      <c r="H185" s="484"/>
    </row>
    <row r="186" spans="1:8">
      <c r="A186" s="507"/>
      <c r="B186" s="508">
        <v>391</v>
      </c>
      <c r="C186" s="508" t="s">
        <v>140</v>
      </c>
      <c r="D186" s="1332">
        <v>-207.64625000000001</v>
      </c>
      <c r="E186" s="504" t="s">
        <v>232</v>
      </c>
      <c r="F186" s="514">
        <f t="shared" si="9"/>
        <v>0.22612324164332259</v>
      </c>
      <c r="G186" s="498">
        <f t="shared" si="10"/>
        <v>-46.953643165079775</v>
      </c>
      <c r="H186" s="484"/>
    </row>
    <row r="187" spans="1:8">
      <c r="A187" s="507"/>
      <c r="B187" s="508">
        <v>391</v>
      </c>
      <c r="C187" s="508" t="s">
        <v>140</v>
      </c>
      <c r="D187" s="1332">
        <v>-105212.70750000002</v>
      </c>
      <c r="E187" s="504" t="s">
        <v>231</v>
      </c>
      <c r="F187" s="514">
        <f t="shared" si="9"/>
        <v>0.22953887558714423</v>
      </c>
      <c r="G187" s="498">
        <f t="shared" si="10"/>
        <v>-24150.406577029102</v>
      </c>
      <c r="H187" s="484"/>
    </row>
    <row r="188" spans="1:8">
      <c r="A188" s="507"/>
      <c r="B188" s="508">
        <v>391</v>
      </c>
      <c r="C188" s="508" t="s">
        <v>140</v>
      </c>
      <c r="D188" s="1332">
        <v>-164444.16125000035</v>
      </c>
      <c r="E188" s="504" t="s">
        <v>171</v>
      </c>
      <c r="F188" s="514">
        <f t="shared" si="9"/>
        <v>0</v>
      </c>
      <c r="G188" s="498">
        <f t="shared" si="10"/>
        <v>0</v>
      </c>
      <c r="H188" s="484"/>
    </row>
    <row r="189" spans="1:8">
      <c r="A189" s="507"/>
      <c r="B189" s="508">
        <v>391</v>
      </c>
      <c r="C189" s="508" t="s">
        <v>140</v>
      </c>
      <c r="D189" s="1332">
        <v>2166052.9566667005</v>
      </c>
      <c r="E189" s="504" t="s">
        <v>130</v>
      </c>
      <c r="F189" s="514">
        <f t="shared" si="9"/>
        <v>6.8539355270203509E-2</v>
      </c>
      <c r="G189" s="498">
        <f t="shared" si="10"/>
        <v>148459.87313105373</v>
      </c>
      <c r="H189" s="484"/>
    </row>
    <row r="190" spans="1:8">
      <c r="A190" s="507"/>
      <c r="B190" s="508">
        <v>391</v>
      </c>
      <c r="C190" s="508" t="s">
        <v>140</v>
      </c>
      <c r="D190" s="1332">
        <v>-418541.06000000006</v>
      </c>
      <c r="E190" s="504" t="s">
        <v>172</v>
      </c>
      <c r="F190" s="514">
        <f t="shared" si="9"/>
        <v>0</v>
      </c>
      <c r="G190" s="498">
        <f t="shared" si="10"/>
        <v>0</v>
      </c>
      <c r="H190" s="484"/>
    </row>
    <row r="191" spans="1:8">
      <c r="A191" s="507"/>
      <c r="B191" s="508">
        <v>391</v>
      </c>
      <c r="C191" s="508" t="s">
        <v>140</v>
      </c>
      <c r="D191" s="1332">
        <v>-102214.19499999983</v>
      </c>
      <c r="E191" s="504" t="s">
        <v>141</v>
      </c>
      <c r="F191" s="514">
        <f t="shared" si="9"/>
        <v>1</v>
      </c>
      <c r="G191" s="498">
        <f t="shared" si="10"/>
        <v>-102214.19499999983</v>
      </c>
      <c r="H191" s="484"/>
    </row>
    <row r="192" spans="1:8">
      <c r="A192" s="507"/>
      <c r="B192" s="508">
        <v>391</v>
      </c>
      <c r="C192" s="508" t="s">
        <v>140</v>
      </c>
      <c r="D192" s="1332">
        <v>-49027.181666659657</v>
      </c>
      <c r="E192" s="504" t="s">
        <v>517</v>
      </c>
      <c r="F192" s="514">
        <f t="shared" si="9"/>
        <v>0</v>
      </c>
      <c r="G192" s="498">
        <f t="shared" si="10"/>
        <v>0</v>
      </c>
      <c r="H192" s="484"/>
    </row>
    <row r="193" spans="1:8">
      <c r="A193" s="507"/>
      <c r="B193" s="508">
        <v>391</v>
      </c>
      <c r="C193" s="508" t="s">
        <v>140</v>
      </c>
      <c r="D193" s="1332">
        <v>-11109.262499999997</v>
      </c>
      <c r="E193" s="504" t="s">
        <v>517</v>
      </c>
      <c r="F193" s="514">
        <f t="shared" si="9"/>
        <v>0</v>
      </c>
      <c r="G193" s="498">
        <f t="shared" si="10"/>
        <v>0</v>
      </c>
      <c r="H193" s="484"/>
    </row>
    <row r="194" spans="1:8">
      <c r="A194" s="507"/>
      <c r="B194" s="508">
        <v>392</v>
      </c>
      <c r="C194" s="508" t="s">
        <v>140</v>
      </c>
      <c r="D194" s="1332">
        <v>100538.00458333967</v>
      </c>
      <c r="E194" s="504" t="s">
        <v>170</v>
      </c>
      <c r="F194" s="514">
        <f t="shared" si="9"/>
        <v>0</v>
      </c>
      <c r="G194" s="498">
        <f t="shared" si="10"/>
        <v>0</v>
      </c>
      <c r="H194" s="484"/>
    </row>
    <row r="195" spans="1:8">
      <c r="A195" s="510"/>
      <c r="B195" s="511">
        <v>392</v>
      </c>
      <c r="C195" s="511" t="s">
        <v>140</v>
      </c>
      <c r="D195" s="1332">
        <v>-772.18791666597826</v>
      </c>
      <c r="E195" s="353" t="s">
        <v>261</v>
      </c>
      <c r="F195" s="514">
        <f t="shared" si="9"/>
        <v>0</v>
      </c>
      <c r="G195" s="498">
        <f t="shared" si="10"/>
        <v>0</v>
      </c>
      <c r="H195" s="484"/>
    </row>
    <row r="196" spans="1:8">
      <c r="A196" s="507"/>
      <c r="B196" s="508">
        <v>392</v>
      </c>
      <c r="C196" s="508" t="s">
        <v>140</v>
      </c>
      <c r="D196" s="1332">
        <v>-107369.04041660018</v>
      </c>
      <c r="E196" s="504" t="s">
        <v>214</v>
      </c>
      <c r="F196" s="514">
        <f t="shared" si="9"/>
        <v>0</v>
      </c>
      <c r="G196" s="498">
        <f t="shared" si="10"/>
        <v>0</v>
      </c>
      <c r="H196" s="484"/>
    </row>
    <row r="197" spans="1:8">
      <c r="A197" s="507"/>
      <c r="B197" s="508">
        <v>392</v>
      </c>
      <c r="C197" s="508" t="s">
        <v>140</v>
      </c>
      <c r="D197" s="1332">
        <v>124372.58208334073</v>
      </c>
      <c r="E197" s="504" t="s">
        <v>203</v>
      </c>
      <c r="F197" s="514">
        <f t="shared" si="9"/>
        <v>0.23084885646883446</v>
      </c>
      <c r="G197" s="498">
        <f t="shared" si="10"/>
        <v>28711.268350015456</v>
      </c>
      <c r="H197" s="484"/>
    </row>
    <row r="198" spans="1:8">
      <c r="A198" s="507"/>
      <c r="B198" s="508">
        <v>392</v>
      </c>
      <c r="C198" s="508" t="s">
        <v>140</v>
      </c>
      <c r="D198" s="1332">
        <v>2928.2516666706651</v>
      </c>
      <c r="E198" s="504" t="s">
        <v>173</v>
      </c>
      <c r="F198" s="514">
        <f t="shared" si="9"/>
        <v>0</v>
      </c>
      <c r="G198" s="498">
        <f t="shared" si="10"/>
        <v>0</v>
      </c>
      <c r="H198" s="484"/>
    </row>
    <row r="199" spans="1:8">
      <c r="A199" s="507"/>
      <c r="B199" s="508">
        <v>392</v>
      </c>
      <c r="C199" s="508" t="s">
        <v>140</v>
      </c>
      <c r="D199" s="1332">
        <v>394752.07125000283</v>
      </c>
      <c r="E199" s="504" t="s">
        <v>171</v>
      </c>
      <c r="F199" s="514">
        <f t="shared" si="9"/>
        <v>0</v>
      </c>
      <c r="G199" s="498">
        <f t="shared" si="10"/>
        <v>0</v>
      </c>
      <c r="H199" s="484"/>
    </row>
    <row r="200" spans="1:8">
      <c r="A200" s="507"/>
      <c r="B200" s="508">
        <v>392</v>
      </c>
      <c r="C200" s="508" t="s">
        <v>140</v>
      </c>
      <c r="D200" s="1332">
        <v>-29930.694166660309</v>
      </c>
      <c r="E200" s="504" t="s">
        <v>130</v>
      </c>
      <c r="F200" s="514">
        <f t="shared" si="9"/>
        <v>6.8539355270203509E-2</v>
      </c>
      <c r="G200" s="498">
        <f t="shared" si="10"/>
        <v>-2051.4304809725386</v>
      </c>
      <c r="H200" s="484"/>
    </row>
    <row r="201" spans="1:8">
      <c r="A201" s="507"/>
      <c r="B201" s="508">
        <v>392</v>
      </c>
      <c r="C201" s="508" t="s">
        <v>140</v>
      </c>
      <c r="D201" s="1332">
        <v>690139.35041670129</v>
      </c>
      <c r="E201" s="504" t="s">
        <v>172</v>
      </c>
      <c r="F201" s="514">
        <f t="shared" si="9"/>
        <v>0</v>
      </c>
      <c r="G201" s="498">
        <f t="shared" si="10"/>
        <v>0</v>
      </c>
      <c r="H201" s="484"/>
    </row>
    <row r="202" spans="1:8">
      <c r="A202" s="507"/>
      <c r="B202" s="508">
        <v>392</v>
      </c>
      <c r="C202" s="508" t="s">
        <v>140</v>
      </c>
      <c r="D202" s="1332">
        <v>106475.90249999985</v>
      </c>
      <c r="E202" s="504" t="s">
        <v>141</v>
      </c>
      <c r="F202" s="514">
        <f t="shared" si="9"/>
        <v>1</v>
      </c>
      <c r="G202" s="498">
        <f t="shared" si="10"/>
        <v>106475.90249999985</v>
      </c>
      <c r="H202" s="484"/>
    </row>
    <row r="203" spans="1:8">
      <c r="A203" s="507"/>
      <c r="B203" s="508">
        <v>392</v>
      </c>
      <c r="C203" s="508" t="s">
        <v>140</v>
      </c>
      <c r="D203" s="1332">
        <v>104593.00249999948</v>
      </c>
      <c r="E203" s="504" t="s">
        <v>517</v>
      </c>
      <c r="F203" s="514">
        <f t="shared" si="9"/>
        <v>0</v>
      </c>
      <c r="G203" s="498">
        <f t="shared" si="10"/>
        <v>0</v>
      </c>
      <c r="H203" s="484"/>
    </row>
    <row r="204" spans="1:8">
      <c r="A204" s="507"/>
      <c r="B204" s="508">
        <v>392</v>
      </c>
      <c r="C204" s="508" t="s">
        <v>140</v>
      </c>
      <c r="D204" s="1332">
        <v>31067.369999999879</v>
      </c>
      <c r="E204" s="504" t="s">
        <v>517</v>
      </c>
      <c r="F204" s="514">
        <f t="shared" si="9"/>
        <v>0</v>
      </c>
      <c r="G204" s="498">
        <f t="shared" si="10"/>
        <v>0</v>
      </c>
      <c r="H204" s="484"/>
    </row>
    <row r="205" spans="1:8">
      <c r="A205" s="507"/>
      <c r="B205" s="508">
        <v>393</v>
      </c>
      <c r="C205" s="508" t="s">
        <v>140</v>
      </c>
      <c r="D205" s="1332">
        <v>-484.56333333300427</v>
      </c>
      <c r="E205" s="504" t="s">
        <v>170</v>
      </c>
      <c r="F205" s="514">
        <f t="shared" si="9"/>
        <v>0</v>
      </c>
      <c r="G205" s="498">
        <f t="shared" si="10"/>
        <v>0</v>
      </c>
      <c r="H205" s="484"/>
    </row>
    <row r="206" spans="1:8">
      <c r="A206" s="509"/>
      <c r="B206" s="511">
        <v>393</v>
      </c>
      <c r="C206" s="511" t="s">
        <v>140</v>
      </c>
      <c r="D206" s="1332">
        <v>17561.027500000317</v>
      </c>
      <c r="E206" s="504" t="s">
        <v>214</v>
      </c>
      <c r="F206" s="514">
        <f t="shared" si="9"/>
        <v>0</v>
      </c>
      <c r="G206" s="498">
        <f t="shared" si="10"/>
        <v>0</v>
      </c>
      <c r="H206" s="484"/>
    </row>
    <row r="207" spans="1:8">
      <c r="A207" s="507"/>
      <c r="B207" s="508">
        <v>393</v>
      </c>
      <c r="C207" s="508" t="s">
        <v>140</v>
      </c>
      <c r="D207" s="1332">
        <v>56376.239583333954</v>
      </c>
      <c r="E207" s="504" t="s">
        <v>203</v>
      </c>
      <c r="F207" s="514">
        <f t="shared" si="9"/>
        <v>0.23084885646883446</v>
      </c>
      <c r="G207" s="498">
        <f t="shared" si="10"/>
        <v>13014.390439825684</v>
      </c>
      <c r="H207" s="484"/>
    </row>
    <row r="208" spans="1:8">
      <c r="A208" s="507"/>
      <c r="B208" s="508">
        <v>393</v>
      </c>
      <c r="C208" s="508" t="s">
        <v>140</v>
      </c>
      <c r="D208" s="1332">
        <v>-107.05625000002328</v>
      </c>
      <c r="E208" s="504" t="s">
        <v>173</v>
      </c>
      <c r="F208" s="514">
        <f t="shared" si="9"/>
        <v>0</v>
      </c>
      <c r="G208" s="498">
        <f t="shared" si="10"/>
        <v>0</v>
      </c>
      <c r="H208" s="484"/>
    </row>
    <row r="209" spans="1:8">
      <c r="A209" s="507"/>
      <c r="B209" s="508">
        <v>393</v>
      </c>
      <c r="C209" s="508" t="s">
        <v>140</v>
      </c>
      <c r="D209" s="1332">
        <v>12943.998333340045</v>
      </c>
      <c r="E209" s="504" t="s">
        <v>171</v>
      </c>
      <c r="F209" s="514">
        <f t="shared" si="9"/>
        <v>0</v>
      </c>
      <c r="G209" s="498">
        <f t="shared" si="10"/>
        <v>0</v>
      </c>
      <c r="H209" s="484"/>
    </row>
    <row r="210" spans="1:8">
      <c r="A210" s="507"/>
      <c r="B210" s="508">
        <v>393</v>
      </c>
      <c r="C210" s="508" t="s">
        <v>140</v>
      </c>
      <c r="D210" s="1332">
        <v>49457.579166669864</v>
      </c>
      <c r="E210" s="504" t="s">
        <v>172</v>
      </c>
      <c r="F210" s="514">
        <f t="shared" si="9"/>
        <v>0</v>
      </c>
      <c r="G210" s="498">
        <f t="shared" si="10"/>
        <v>0</v>
      </c>
      <c r="H210" s="484"/>
    </row>
    <row r="211" spans="1:8">
      <c r="A211" s="507"/>
      <c r="B211" s="508">
        <v>393</v>
      </c>
      <c r="C211" s="508" t="s">
        <v>140</v>
      </c>
      <c r="D211" s="1332">
        <v>1.0879166669910774</v>
      </c>
      <c r="E211" s="504" t="s">
        <v>141</v>
      </c>
      <c r="F211" s="514">
        <f t="shared" si="9"/>
        <v>1</v>
      </c>
      <c r="G211" s="498">
        <f t="shared" si="10"/>
        <v>1.0879166669910774</v>
      </c>
      <c r="H211" s="484"/>
    </row>
    <row r="212" spans="1:8">
      <c r="A212" s="507"/>
      <c r="B212" s="508">
        <v>393</v>
      </c>
      <c r="C212" s="508" t="s">
        <v>140</v>
      </c>
      <c r="D212" s="1332">
        <v>-532.54041666002013</v>
      </c>
      <c r="E212" s="504" t="s">
        <v>517</v>
      </c>
      <c r="F212" s="514">
        <f t="shared" si="9"/>
        <v>0</v>
      </c>
      <c r="G212" s="498">
        <f t="shared" si="10"/>
        <v>0</v>
      </c>
      <c r="H212" s="484"/>
    </row>
    <row r="213" spans="1:8">
      <c r="A213" s="507"/>
      <c r="B213" s="508">
        <v>393</v>
      </c>
      <c r="C213" s="508" t="s">
        <v>140</v>
      </c>
      <c r="D213" s="1332">
        <v>-227.81458333329647</v>
      </c>
      <c r="E213" s="504" t="s">
        <v>517</v>
      </c>
      <c r="F213" s="514">
        <f t="shared" si="9"/>
        <v>0</v>
      </c>
      <c r="G213" s="498">
        <f t="shared" si="10"/>
        <v>0</v>
      </c>
      <c r="H213" s="484"/>
    </row>
    <row r="214" spans="1:8">
      <c r="A214" s="507"/>
      <c r="B214" s="508">
        <v>394</v>
      </c>
      <c r="C214" s="508" t="s">
        <v>140</v>
      </c>
      <c r="D214" s="1332">
        <v>26738.886250000098</v>
      </c>
      <c r="E214" s="504" t="s">
        <v>170</v>
      </c>
      <c r="F214" s="514">
        <f t="shared" si="9"/>
        <v>0</v>
      </c>
      <c r="G214" s="498">
        <f t="shared" si="10"/>
        <v>0</v>
      </c>
      <c r="H214" s="484"/>
    </row>
    <row r="215" spans="1:8">
      <c r="A215" s="507"/>
      <c r="B215" s="508">
        <v>394</v>
      </c>
      <c r="C215" s="508" t="s">
        <v>140</v>
      </c>
      <c r="D215" s="1332">
        <v>185730.66083339974</v>
      </c>
      <c r="E215" s="504" t="s">
        <v>214</v>
      </c>
      <c r="F215" s="514">
        <f t="shared" si="9"/>
        <v>0</v>
      </c>
      <c r="G215" s="498">
        <f t="shared" si="10"/>
        <v>0</v>
      </c>
      <c r="H215" s="484"/>
    </row>
    <row r="216" spans="1:8">
      <c r="A216" s="507"/>
      <c r="B216" s="508">
        <v>394</v>
      </c>
      <c r="C216" s="508" t="s">
        <v>140</v>
      </c>
      <c r="D216" s="1332">
        <v>292560.09125000006</v>
      </c>
      <c r="E216" s="504" t="s">
        <v>203</v>
      </c>
      <c r="F216" s="514">
        <f t="shared" si="9"/>
        <v>0.23084885646883446</v>
      </c>
      <c r="G216" s="498">
        <f t="shared" si="10"/>
        <v>67537.162513480376</v>
      </c>
      <c r="H216" s="484"/>
    </row>
    <row r="217" spans="1:8">
      <c r="A217" s="490"/>
      <c r="B217" s="503">
        <v>394</v>
      </c>
      <c r="C217" s="503" t="s">
        <v>140</v>
      </c>
      <c r="D217" s="1332">
        <v>56064.943750000093</v>
      </c>
      <c r="E217" s="504" t="s">
        <v>173</v>
      </c>
      <c r="F217" s="514">
        <f t="shared" si="9"/>
        <v>0</v>
      </c>
      <c r="G217" s="498">
        <f t="shared" si="10"/>
        <v>0</v>
      </c>
      <c r="H217" s="254"/>
    </row>
    <row r="218" spans="1:8">
      <c r="A218" s="507"/>
      <c r="B218" s="508">
        <v>394</v>
      </c>
      <c r="C218" s="508" t="s">
        <v>140</v>
      </c>
      <c r="D218" s="1332">
        <v>23903.719166669995</v>
      </c>
      <c r="E218" s="504" t="s">
        <v>231</v>
      </c>
      <c r="F218" s="514">
        <f t="shared" si="9"/>
        <v>0.22953887558714423</v>
      </c>
      <c r="G218" s="498">
        <f t="shared" si="10"/>
        <v>5486.8328198682984</v>
      </c>
      <c r="H218" s="484"/>
    </row>
    <row r="219" spans="1:8">
      <c r="A219" s="507"/>
      <c r="B219" s="508">
        <v>394</v>
      </c>
      <c r="C219" s="508" t="s">
        <v>140</v>
      </c>
      <c r="D219" s="1332">
        <v>127883.13791669905</v>
      </c>
      <c r="E219" s="504" t="s">
        <v>171</v>
      </c>
      <c r="F219" s="514">
        <f t="shared" si="9"/>
        <v>0</v>
      </c>
      <c r="G219" s="498">
        <f t="shared" si="10"/>
        <v>0</v>
      </c>
      <c r="H219" s="484"/>
    </row>
    <row r="220" spans="1:8">
      <c r="A220" s="507"/>
      <c r="B220" s="508">
        <v>394</v>
      </c>
      <c r="C220" s="508" t="s">
        <v>140</v>
      </c>
      <c r="D220" s="1332">
        <v>4049.8329166700132</v>
      </c>
      <c r="E220" s="504" t="s">
        <v>130</v>
      </c>
      <c r="F220" s="514">
        <f t="shared" si="9"/>
        <v>6.8539355270203509E-2</v>
      </c>
      <c r="G220" s="498">
        <f t="shared" si="10"/>
        <v>277.57293706061051</v>
      </c>
      <c r="H220" s="484"/>
    </row>
    <row r="221" spans="1:8">
      <c r="A221" s="507"/>
      <c r="B221" s="508">
        <v>394</v>
      </c>
      <c r="C221" s="508" t="s">
        <v>140</v>
      </c>
      <c r="D221" s="1332">
        <v>430249.16999999993</v>
      </c>
      <c r="E221" s="504" t="s">
        <v>172</v>
      </c>
      <c r="F221" s="514">
        <f t="shared" si="9"/>
        <v>0</v>
      </c>
      <c r="G221" s="498">
        <f t="shared" si="10"/>
        <v>0</v>
      </c>
      <c r="H221" s="484"/>
    </row>
    <row r="222" spans="1:8">
      <c r="A222" s="507"/>
      <c r="B222" s="508">
        <v>394</v>
      </c>
      <c r="C222" s="508" t="s">
        <v>140</v>
      </c>
      <c r="D222" s="1332">
        <v>15824.818333339877</v>
      </c>
      <c r="E222" s="504" t="s">
        <v>141</v>
      </c>
      <c r="F222" s="514">
        <f t="shared" si="9"/>
        <v>1</v>
      </c>
      <c r="G222" s="498">
        <f t="shared" si="10"/>
        <v>15824.818333339877</v>
      </c>
      <c r="H222" s="484"/>
    </row>
    <row r="223" spans="1:8">
      <c r="A223" s="507"/>
      <c r="B223" s="508">
        <v>394</v>
      </c>
      <c r="C223" s="508" t="s">
        <v>140</v>
      </c>
      <c r="D223" s="1332">
        <v>120128.94416667009</v>
      </c>
      <c r="E223" s="504" t="s">
        <v>517</v>
      </c>
      <c r="F223" s="514">
        <f t="shared" si="9"/>
        <v>0</v>
      </c>
      <c r="G223" s="498">
        <f t="shared" si="10"/>
        <v>0</v>
      </c>
      <c r="H223" s="484"/>
    </row>
    <row r="224" spans="1:8">
      <c r="A224" s="507"/>
      <c r="B224" s="508">
        <v>394</v>
      </c>
      <c r="C224" s="508" t="s">
        <v>140</v>
      </c>
      <c r="D224" s="1332">
        <v>-832.3608333329903</v>
      </c>
      <c r="E224" s="504" t="s">
        <v>517</v>
      </c>
      <c r="F224" s="514">
        <f t="shared" si="9"/>
        <v>0</v>
      </c>
      <c r="G224" s="498">
        <f t="shared" si="10"/>
        <v>0</v>
      </c>
      <c r="H224" s="484"/>
    </row>
    <row r="225" spans="1:8">
      <c r="A225" s="507"/>
      <c r="B225" s="508">
        <v>395</v>
      </c>
      <c r="C225" s="508" t="s">
        <v>140</v>
      </c>
      <c r="D225" s="1332">
        <v>318.53958333400078</v>
      </c>
      <c r="E225" s="504" t="s">
        <v>170</v>
      </c>
      <c r="F225" s="514">
        <f t="shared" si="9"/>
        <v>0</v>
      </c>
      <c r="G225" s="498">
        <f t="shared" si="10"/>
        <v>0</v>
      </c>
      <c r="H225" s="484"/>
    </row>
    <row r="226" spans="1:8">
      <c r="A226" s="507"/>
      <c r="B226" s="508">
        <v>395</v>
      </c>
      <c r="C226" s="508" t="s">
        <v>140</v>
      </c>
      <c r="D226" s="1332">
        <v>91865.341666670516</v>
      </c>
      <c r="E226" s="504" t="s">
        <v>214</v>
      </c>
      <c r="F226" s="514">
        <f t="shared" si="9"/>
        <v>0</v>
      </c>
      <c r="G226" s="498">
        <f t="shared" si="10"/>
        <v>0</v>
      </c>
      <c r="H226" s="484"/>
    </row>
    <row r="227" spans="1:8">
      <c r="A227" s="507"/>
      <c r="B227" s="508">
        <v>395</v>
      </c>
      <c r="C227" s="508" t="s">
        <v>140</v>
      </c>
      <c r="D227" s="1332">
        <v>55015.104166670004</v>
      </c>
      <c r="E227" s="504" t="s">
        <v>203</v>
      </c>
      <c r="F227" s="514">
        <f t="shared" si="9"/>
        <v>0.23084885646883446</v>
      </c>
      <c r="G227" s="498">
        <f t="shared" si="10"/>
        <v>12700.17388538958</v>
      </c>
      <c r="H227" s="484"/>
    </row>
    <row r="228" spans="1:8">
      <c r="A228" s="490"/>
      <c r="B228" s="503">
        <v>395</v>
      </c>
      <c r="C228" s="503" t="s">
        <v>140</v>
      </c>
      <c r="D228" s="1332">
        <v>17248.203333339887</v>
      </c>
      <c r="E228" s="504" t="s">
        <v>173</v>
      </c>
      <c r="F228" s="514">
        <f t="shared" si="9"/>
        <v>0</v>
      </c>
      <c r="G228" s="498">
        <f t="shared" si="10"/>
        <v>0</v>
      </c>
      <c r="H228" s="484"/>
    </row>
    <row r="229" spans="1:8">
      <c r="A229" s="507"/>
      <c r="B229" s="508">
        <v>395</v>
      </c>
      <c r="C229" s="508" t="s">
        <v>140</v>
      </c>
      <c r="D229" s="1332">
        <v>-6486.1408333330182</v>
      </c>
      <c r="E229" s="504" t="s">
        <v>231</v>
      </c>
      <c r="F229" s="514">
        <f t="shared" si="9"/>
        <v>0.22953887558714423</v>
      </c>
      <c r="G229" s="498">
        <f t="shared" si="10"/>
        <v>-1488.8214737831236</v>
      </c>
      <c r="H229" s="484"/>
    </row>
    <row r="230" spans="1:8">
      <c r="A230" s="507"/>
      <c r="B230" s="508">
        <v>395</v>
      </c>
      <c r="C230" s="508" t="s">
        <v>140</v>
      </c>
      <c r="D230" s="1332">
        <v>66371.094999998808</v>
      </c>
      <c r="E230" s="504" t="s">
        <v>171</v>
      </c>
      <c r="F230" s="514">
        <f t="shared" si="9"/>
        <v>0</v>
      </c>
      <c r="G230" s="498">
        <f t="shared" si="10"/>
        <v>0</v>
      </c>
      <c r="H230" s="484"/>
    </row>
    <row r="231" spans="1:8">
      <c r="A231" s="507"/>
      <c r="B231" s="508">
        <v>395</v>
      </c>
      <c r="C231" s="508" t="s">
        <v>140</v>
      </c>
      <c r="D231" s="1332">
        <v>25570.941666670144</v>
      </c>
      <c r="E231" s="504" t="s">
        <v>130</v>
      </c>
      <c r="F231" s="514">
        <f t="shared" si="9"/>
        <v>6.8539355270203509E-2</v>
      </c>
      <c r="G231" s="498">
        <f t="shared" si="10"/>
        <v>1752.6158554855549</v>
      </c>
      <c r="H231" s="484"/>
    </row>
    <row r="232" spans="1:8">
      <c r="A232" s="507"/>
      <c r="B232" s="508">
        <v>395</v>
      </c>
      <c r="C232" s="508" t="s">
        <v>140</v>
      </c>
      <c r="D232" s="1332">
        <v>9831.292500000447</v>
      </c>
      <c r="E232" s="504" t="s">
        <v>172</v>
      </c>
      <c r="F232" s="514">
        <f t="shared" si="9"/>
        <v>0</v>
      </c>
      <c r="G232" s="498">
        <f t="shared" si="10"/>
        <v>0</v>
      </c>
      <c r="H232" s="484"/>
    </row>
    <row r="233" spans="1:8">
      <c r="A233" s="507"/>
      <c r="B233" s="508">
        <v>395</v>
      </c>
      <c r="C233" s="508" t="s">
        <v>140</v>
      </c>
      <c r="D233" s="1332">
        <v>-9326.9854166600853</v>
      </c>
      <c r="E233" s="504" t="s">
        <v>141</v>
      </c>
      <c r="F233" s="514">
        <f t="shared" si="9"/>
        <v>1</v>
      </c>
      <c r="G233" s="498">
        <f t="shared" si="10"/>
        <v>-9326.9854166600853</v>
      </c>
      <c r="H233" s="484"/>
    </row>
    <row r="234" spans="1:8">
      <c r="A234" s="507"/>
      <c r="B234" s="508">
        <v>395</v>
      </c>
      <c r="C234" s="508" t="s">
        <v>140</v>
      </c>
      <c r="D234" s="1332">
        <v>-9852.0100000002421</v>
      </c>
      <c r="E234" s="504" t="s">
        <v>517</v>
      </c>
      <c r="F234" s="514">
        <f t="shared" ref="F234:F285" si="11">INDEX(WCAAllocations,IFERROR(MATCH(E234,WCAFactors,0),2),IFERROR(MATCH(E234,WCAStates,0),4))</f>
        <v>0</v>
      </c>
      <c r="G234" s="498">
        <f t="shared" ref="G234:G285" si="12">D234*F234</f>
        <v>0</v>
      </c>
      <c r="H234" s="484"/>
    </row>
    <row r="235" spans="1:8">
      <c r="A235" s="507"/>
      <c r="B235" s="508">
        <v>395</v>
      </c>
      <c r="C235" s="508" t="s">
        <v>140</v>
      </c>
      <c r="D235" s="1332">
        <v>-2680.5554166659713</v>
      </c>
      <c r="E235" s="504" t="s">
        <v>517</v>
      </c>
      <c r="F235" s="514">
        <f t="shared" si="11"/>
        <v>0</v>
      </c>
      <c r="G235" s="498">
        <f t="shared" si="12"/>
        <v>0</v>
      </c>
      <c r="H235" s="484"/>
    </row>
    <row r="236" spans="1:8">
      <c r="A236" s="507"/>
      <c r="B236" s="508">
        <v>396</v>
      </c>
      <c r="C236" s="508" t="s">
        <v>140</v>
      </c>
      <c r="D236" s="1332">
        <v>286312.55791667011</v>
      </c>
      <c r="E236" s="504" t="s">
        <v>170</v>
      </c>
      <c r="F236" s="514">
        <f t="shared" si="11"/>
        <v>0</v>
      </c>
      <c r="G236" s="498">
        <f t="shared" si="12"/>
        <v>0</v>
      </c>
      <c r="H236" s="484"/>
    </row>
    <row r="237" spans="1:8">
      <c r="A237" s="507"/>
      <c r="B237" s="508">
        <v>396</v>
      </c>
      <c r="C237" s="508" t="s">
        <v>140</v>
      </c>
      <c r="D237" s="1332">
        <v>75368.908333402127</v>
      </c>
      <c r="E237" s="504" t="s">
        <v>214</v>
      </c>
      <c r="F237" s="514">
        <f t="shared" si="11"/>
        <v>0</v>
      </c>
      <c r="G237" s="498">
        <f t="shared" si="12"/>
        <v>0</v>
      </c>
      <c r="H237" s="484"/>
    </row>
    <row r="238" spans="1:8">
      <c r="A238" s="507"/>
      <c r="B238" s="508">
        <v>396</v>
      </c>
      <c r="C238" s="508" t="s">
        <v>140</v>
      </c>
      <c r="D238" s="1332">
        <v>-4902.3566666599363</v>
      </c>
      <c r="E238" s="504" t="s">
        <v>203</v>
      </c>
      <c r="F238" s="514">
        <f t="shared" si="11"/>
        <v>0.23084885646883446</v>
      </c>
      <c r="G238" s="498">
        <f t="shared" si="12"/>
        <v>-1131.7034305008133</v>
      </c>
      <c r="H238" s="484"/>
    </row>
    <row r="239" spans="1:8">
      <c r="A239" s="507"/>
      <c r="B239" s="508">
        <v>396</v>
      </c>
      <c r="C239" s="508" t="s">
        <v>140</v>
      </c>
      <c r="D239" s="1332">
        <v>258149.14166667033</v>
      </c>
      <c r="E239" s="504" t="s">
        <v>173</v>
      </c>
      <c r="F239" s="514">
        <f t="shared" si="11"/>
        <v>0</v>
      </c>
      <c r="G239" s="498">
        <f t="shared" si="12"/>
        <v>0</v>
      </c>
      <c r="H239" s="484"/>
    </row>
    <row r="240" spans="1:8">
      <c r="A240" s="507"/>
      <c r="B240" s="508">
        <v>396</v>
      </c>
      <c r="C240" s="508" t="s">
        <v>140</v>
      </c>
      <c r="D240" s="1332">
        <v>172428.52083333954</v>
      </c>
      <c r="E240" s="504" t="s">
        <v>231</v>
      </c>
      <c r="F240" s="514">
        <f t="shared" si="11"/>
        <v>0.22953887558714423</v>
      </c>
      <c r="G240" s="498">
        <f t="shared" si="12"/>
        <v>39579.048791239235</v>
      </c>
      <c r="H240" s="484"/>
    </row>
    <row r="241" spans="1:8">
      <c r="A241" s="507"/>
      <c r="B241" s="508">
        <v>396</v>
      </c>
      <c r="C241" s="508" t="s">
        <v>140</v>
      </c>
      <c r="D241" s="1332">
        <v>6291.9066666997969</v>
      </c>
      <c r="E241" s="504" t="s">
        <v>171</v>
      </c>
      <c r="F241" s="514">
        <f t="shared" si="11"/>
        <v>0</v>
      </c>
      <c r="G241" s="498">
        <f t="shared" si="12"/>
        <v>0</v>
      </c>
      <c r="H241" s="484"/>
    </row>
    <row r="242" spans="1:8">
      <c r="A242" s="507"/>
      <c r="B242" s="508">
        <v>396</v>
      </c>
      <c r="C242" s="508" t="s">
        <v>140</v>
      </c>
      <c r="D242" s="1332">
        <v>85461.521666669985</v>
      </c>
      <c r="E242" s="504" t="s">
        <v>130</v>
      </c>
      <c r="F242" s="514">
        <f t="shared" si="11"/>
        <v>6.8539355270203509E-2</v>
      </c>
      <c r="G242" s="498">
        <f t="shared" si="12"/>
        <v>5857.4775954440884</v>
      </c>
      <c r="H242" s="484"/>
    </row>
    <row r="243" spans="1:8">
      <c r="A243" s="507"/>
      <c r="B243" s="508">
        <v>396</v>
      </c>
      <c r="C243" s="508" t="s">
        <v>140</v>
      </c>
      <c r="D243" s="1332">
        <v>1833556.0416667014</v>
      </c>
      <c r="E243" s="504" t="s">
        <v>172</v>
      </c>
      <c r="F243" s="514">
        <f t="shared" si="11"/>
        <v>0</v>
      </c>
      <c r="G243" s="498">
        <f t="shared" si="12"/>
        <v>0</v>
      </c>
      <c r="H243" s="484"/>
    </row>
    <row r="244" spans="1:8">
      <c r="A244" s="507"/>
      <c r="B244" s="508">
        <v>396</v>
      </c>
      <c r="C244" s="508" t="s">
        <v>140</v>
      </c>
      <c r="D244" s="1332">
        <v>-224749.84624999948</v>
      </c>
      <c r="E244" s="504" t="s">
        <v>141</v>
      </c>
      <c r="F244" s="514">
        <f t="shared" si="11"/>
        <v>1</v>
      </c>
      <c r="G244" s="498">
        <f t="shared" si="12"/>
        <v>-224749.84624999948</v>
      </c>
      <c r="H244" s="484"/>
    </row>
    <row r="245" spans="1:8">
      <c r="A245" s="507"/>
      <c r="B245" s="508">
        <v>396</v>
      </c>
      <c r="C245" s="508" t="s">
        <v>140</v>
      </c>
      <c r="D245" s="1332">
        <v>-56108.02041660063</v>
      </c>
      <c r="E245" s="504" t="s">
        <v>517</v>
      </c>
      <c r="F245" s="514">
        <f t="shared" si="11"/>
        <v>0</v>
      </c>
      <c r="G245" s="498">
        <f t="shared" si="12"/>
        <v>0</v>
      </c>
      <c r="H245" s="484"/>
    </row>
    <row r="246" spans="1:8">
      <c r="A246" s="507"/>
      <c r="B246" s="508">
        <v>396</v>
      </c>
      <c r="C246" s="508" t="s">
        <v>140</v>
      </c>
      <c r="D246" s="1332">
        <v>-2415.0400000000373</v>
      </c>
      <c r="E246" s="504" t="s">
        <v>517</v>
      </c>
      <c r="F246" s="514">
        <f t="shared" si="11"/>
        <v>0</v>
      </c>
      <c r="G246" s="498">
        <f t="shared" si="12"/>
        <v>0</v>
      </c>
      <c r="H246" s="484"/>
    </row>
    <row r="247" spans="1:8">
      <c r="A247" s="507"/>
      <c r="B247" s="508">
        <v>397</v>
      </c>
      <c r="C247" s="508" t="s">
        <v>140</v>
      </c>
      <c r="D247" s="1332">
        <v>347743.6637500003</v>
      </c>
      <c r="E247" s="504" t="s">
        <v>170</v>
      </c>
      <c r="F247" s="514">
        <f t="shared" si="11"/>
        <v>0</v>
      </c>
      <c r="G247" s="498">
        <f t="shared" si="12"/>
        <v>0</v>
      </c>
      <c r="H247" s="484"/>
    </row>
    <row r="248" spans="1:8">
      <c r="A248" s="507"/>
      <c r="B248" s="508">
        <v>397</v>
      </c>
      <c r="C248" s="508" t="s">
        <v>140</v>
      </c>
      <c r="D248" s="1332">
        <v>33894.052083334012</v>
      </c>
      <c r="E248" s="504" t="s">
        <v>261</v>
      </c>
      <c r="F248" s="514">
        <f t="shared" si="11"/>
        <v>0</v>
      </c>
      <c r="G248" s="498">
        <f t="shared" si="12"/>
        <v>0</v>
      </c>
      <c r="H248" s="484"/>
    </row>
    <row r="249" spans="1:8">
      <c r="A249" s="507"/>
      <c r="B249" s="508">
        <v>397</v>
      </c>
      <c r="C249" s="508" t="s">
        <v>140</v>
      </c>
      <c r="D249" s="1332">
        <v>6698659.506249994</v>
      </c>
      <c r="E249" s="504" t="s">
        <v>214</v>
      </c>
      <c r="F249" s="514">
        <f t="shared" si="11"/>
        <v>0</v>
      </c>
      <c r="G249" s="498">
        <f t="shared" si="12"/>
        <v>0</v>
      </c>
      <c r="H249" s="484"/>
    </row>
    <row r="250" spans="1:8">
      <c r="A250" s="507"/>
      <c r="B250" s="508">
        <v>397</v>
      </c>
      <c r="C250" s="508" t="s">
        <v>140</v>
      </c>
      <c r="D250" s="1332">
        <v>2458511.5225000009</v>
      </c>
      <c r="E250" s="504" t="s">
        <v>203</v>
      </c>
      <c r="F250" s="514">
        <f t="shared" si="11"/>
        <v>0.23084885646883446</v>
      </c>
      <c r="G250" s="498">
        <f t="shared" si="12"/>
        <v>567544.57358457835</v>
      </c>
      <c r="H250" s="484"/>
    </row>
    <row r="251" spans="1:8">
      <c r="A251" s="507"/>
      <c r="B251" s="508">
        <v>397</v>
      </c>
      <c r="C251" s="508" t="s">
        <v>140</v>
      </c>
      <c r="D251" s="1332">
        <v>535142.78249999974</v>
      </c>
      <c r="E251" s="504" t="s">
        <v>152</v>
      </c>
      <c r="F251" s="514">
        <f t="shared" si="11"/>
        <v>6.9173575695716499E-2</v>
      </c>
      <c r="G251" s="498">
        <f t="shared" si="12"/>
        <v>37017.739773280082</v>
      </c>
      <c r="H251" s="484"/>
    </row>
    <row r="252" spans="1:8">
      <c r="A252" s="507"/>
      <c r="B252" s="508">
        <v>397</v>
      </c>
      <c r="C252" s="508" t="s">
        <v>140</v>
      </c>
      <c r="D252" s="1332">
        <v>479274.50291666947</v>
      </c>
      <c r="E252" s="504" t="s">
        <v>173</v>
      </c>
      <c r="F252" s="514">
        <f t="shared" si="11"/>
        <v>0</v>
      </c>
      <c r="G252" s="498">
        <f t="shared" si="12"/>
        <v>0</v>
      </c>
      <c r="H252" s="484"/>
    </row>
    <row r="253" spans="1:8">
      <c r="A253" s="507"/>
      <c r="B253" s="508">
        <v>397</v>
      </c>
      <c r="C253" s="508" t="s">
        <v>140</v>
      </c>
      <c r="D253" s="1332">
        <v>318640.45583334006</v>
      </c>
      <c r="E253" s="504" t="s">
        <v>231</v>
      </c>
      <c r="F253" s="514">
        <f t="shared" si="11"/>
        <v>0.22953887558714423</v>
      </c>
      <c r="G253" s="498">
        <f t="shared" si="12"/>
        <v>73140.371948559972</v>
      </c>
      <c r="H253" s="484"/>
    </row>
    <row r="254" spans="1:8">
      <c r="A254" s="507"/>
      <c r="B254" s="508">
        <v>397</v>
      </c>
      <c r="C254" s="508" t="s">
        <v>140</v>
      </c>
      <c r="D254" s="1332">
        <v>2576953.9287499934</v>
      </c>
      <c r="E254" s="504" t="s">
        <v>171</v>
      </c>
      <c r="F254" s="514">
        <f t="shared" si="11"/>
        <v>0</v>
      </c>
      <c r="G254" s="498">
        <f t="shared" si="12"/>
        <v>0</v>
      </c>
      <c r="H254" s="484"/>
    </row>
    <row r="255" spans="1:8">
      <c r="A255" s="507"/>
      <c r="B255" s="508">
        <v>397</v>
      </c>
      <c r="C255" s="508" t="s">
        <v>140</v>
      </c>
      <c r="D255" s="1332">
        <v>6737985.3849999905</v>
      </c>
      <c r="E255" s="504" t="s">
        <v>130</v>
      </c>
      <c r="F255" s="514">
        <f t="shared" si="11"/>
        <v>6.8539355270203509E-2</v>
      </c>
      <c r="G255" s="498">
        <f t="shared" si="12"/>
        <v>461817.17410795332</v>
      </c>
      <c r="H255" s="484"/>
    </row>
    <row r="256" spans="1:8">
      <c r="A256" s="507"/>
      <c r="B256" s="508">
        <v>397</v>
      </c>
      <c r="C256" s="508" t="s">
        <v>140</v>
      </c>
      <c r="D256" s="1332">
        <v>1961763.1029167026</v>
      </c>
      <c r="E256" s="504" t="s">
        <v>172</v>
      </c>
      <c r="F256" s="514">
        <f t="shared" si="11"/>
        <v>0</v>
      </c>
      <c r="G256" s="498">
        <f t="shared" si="12"/>
        <v>0</v>
      </c>
      <c r="H256" s="484"/>
    </row>
    <row r="257" spans="1:8">
      <c r="A257" s="507"/>
      <c r="B257" s="508">
        <v>397</v>
      </c>
      <c r="C257" s="508" t="s">
        <v>140</v>
      </c>
      <c r="D257" s="1332">
        <v>-61632.767083300278</v>
      </c>
      <c r="E257" s="504" t="s">
        <v>141</v>
      </c>
      <c r="F257" s="514">
        <f t="shared" si="11"/>
        <v>1</v>
      </c>
      <c r="G257" s="498">
        <f t="shared" si="12"/>
        <v>-61632.767083300278</v>
      </c>
      <c r="H257" s="484"/>
    </row>
    <row r="258" spans="1:8">
      <c r="A258" s="507"/>
      <c r="B258" s="508">
        <v>397</v>
      </c>
      <c r="C258" s="508" t="s">
        <v>140</v>
      </c>
      <c r="D258" s="1332">
        <v>1772826.6758334003</v>
      </c>
      <c r="E258" s="504" t="s">
        <v>517</v>
      </c>
      <c r="F258" s="514">
        <f t="shared" si="11"/>
        <v>0</v>
      </c>
      <c r="G258" s="498">
        <f t="shared" si="12"/>
        <v>0</v>
      </c>
      <c r="H258" s="484"/>
    </row>
    <row r="259" spans="1:8">
      <c r="A259" s="507"/>
      <c r="B259" s="508">
        <v>397</v>
      </c>
      <c r="C259" s="508" t="s">
        <v>140</v>
      </c>
      <c r="D259" s="1332">
        <v>61087.629166669212</v>
      </c>
      <c r="E259" s="504" t="s">
        <v>517</v>
      </c>
      <c r="F259" s="514">
        <f t="shared" si="11"/>
        <v>0</v>
      </c>
      <c r="G259" s="498">
        <f t="shared" si="12"/>
        <v>0</v>
      </c>
      <c r="H259" s="484"/>
    </row>
    <row r="260" spans="1:8">
      <c r="A260" s="502"/>
      <c r="B260" s="503">
        <v>398</v>
      </c>
      <c r="C260" s="163" t="s">
        <v>140</v>
      </c>
      <c r="D260" s="1332">
        <v>131007.9774999998</v>
      </c>
      <c r="E260" s="504" t="s">
        <v>214</v>
      </c>
      <c r="F260" s="505">
        <f t="shared" si="11"/>
        <v>0</v>
      </c>
      <c r="G260" s="498">
        <f t="shared" si="12"/>
        <v>0</v>
      </c>
      <c r="H260" s="484"/>
    </row>
    <row r="261" spans="1:8">
      <c r="A261" s="502"/>
      <c r="B261" s="503">
        <v>398</v>
      </c>
      <c r="C261" s="163" t="s">
        <v>140</v>
      </c>
      <c r="D261" s="1332">
        <v>9956.9416666670004</v>
      </c>
      <c r="E261" s="504" t="s">
        <v>203</v>
      </c>
      <c r="F261" s="505">
        <f t="shared" si="11"/>
        <v>0.23084885646883446</v>
      </c>
      <c r="G261" s="498">
        <f t="shared" si="12"/>
        <v>2298.5485976769678</v>
      </c>
      <c r="H261" s="484"/>
    </row>
    <row r="262" spans="1:8">
      <c r="A262" s="502"/>
      <c r="B262" s="503">
        <v>398</v>
      </c>
      <c r="C262" s="163" t="s">
        <v>140</v>
      </c>
      <c r="D262" s="1332">
        <v>-506.219166666604</v>
      </c>
      <c r="E262" s="504" t="s">
        <v>173</v>
      </c>
      <c r="F262" s="505">
        <f t="shared" si="11"/>
        <v>0</v>
      </c>
      <c r="G262" s="498">
        <f t="shared" si="12"/>
        <v>0</v>
      </c>
      <c r="H262" s="484"/>
    </row>
    <row r="263" spans="1:8">
      <c r="A263" s="502"/>
      <c r="B263" s="503">
        <v>398</v>
      </c>
      <c r="C263" s="163" t="s">
        <v>140</v>
      </c>
      <c r="D263" s="1332">
        <v>14733.551250000004</v>
      </c>
      <c r="E263" s="504" t="s">
        <v>231</v>
      </c>
      <c r="F263" s="505">
        <f t="shared" si="11"/>
        <v>0.22953887558714423</v>
      </c>
      <c r="G263" s="498">
        <f t="shared" si="12"/>
        <v>3381.922787330564</v>
      </c>
      <c r="H263" s="484"/>
    </row>
    <row r="264" spans="1:8">
      <c r="A264" s="502"/>
      <c r="B264" s="503">
        <v>398</v>
      </c>
      <c r="C264" s="163" t="s">
        <v>140</v>
      </c>
      <c r="D264" s="1332">
        <v>-487.56375000020489</v>
      </c>
      <c r="E264" s="504" t="s">
        <v>171</v>
      </c>
      <c r="F264" s="505">
        <f t="shared" si="11"/>
        <v>0</v>
      </c>
      <c r="G264" s="498">
        <f t="shared" si="12"/>
        <v>0</v>
      </c>
      <c r="H264" s="484"/>
    </row>
    <row r="265" spans="1:8">
      <c r="A265" s="244"/>
      <c r="B265" s="503">
        <v>398</v>
      </c>
      <c r="C265" s="503" t="s">
        <v>140</v>
      </c>
      <c r="D265" s="1332">
        <v>15949.77916667005</v>
      </c>
      <c r="E265" s="504" t="s">
        <v>130</v>
      </c>
      <c r="F265" s="505">
        <f t="shared" si="11"/>
        <v>6.8539355270203509E-2</v>
      </c>
      <c r="G265" s="498">
        <f t="shared" si="12"/>
        <v>1093.1875807856891</v>
      </c>
      <c r="H265" s="484"/>
    </row>
    <row r="266" spans="1:8">
      <c r="A266" s="244"/>
      <c r="B266" s="503">
        <v>398</v>
      </c>
      <c r="C266" s="503" t="s">
        <v>140</v>
      </c>
      <c r="D266" s="1332">
        <v>1366.9725000000326</v>
      </c>
      <c r="E266" s="504" t="s">
        <v>172</v>
      </c>
      <c r="F266" s="505">
        <f t="shared" si="11"/>
        <v>0</v>
      </c>
      <c r="G266" s="498">
        <f t="shared" si="12"/>
        <v>0</v>
      </c>
      <c r="H266" s="484"/>
    </row>
    <row r="267" spans="1:8">
      <c r="A267" s="502"/>
      <c r="B267" s="503">
        <v>398</v>
      </c>
      <c r="C267" s="163" t="s">
        <v>140</v>
      </c>
      <c r="D267" s="1332">
        <v>238.54625000001397</v>
      </c>
      <c r="E267" s="504" t="s">
        <v>141</v>
      </c>
      <c r="F267" s="505">
        <f t="shared" si="11"/>
        <v>1</v>
      </c>
      <c r="G267" s="498">
        <f t="shared" si="12"/>
        <v>238.54625000001397</v>
      </c>
      <c r="H267" s="484"/>
    </row>
    <row r="268" spans="1:8">
      <c r="A268" s="502"/>
      <c r="B268" s="503">
        <v>398</v>
      </c>
      <c r="C268" s="163" t="s">
        <v>140</v>
      </c>
      <c r="D268" s="1332">
        <v>13674.538333334</v>
      </c>
      <c r="E268" s="504" t="s">
        <v>517</v>
      </c>
      <c r="F268" s="505">
        <f t="shared" si="11"/>
        <v>0</v>
      </c>
      <c r="G268" s="498">
        <f t="shared" si="12"/>
        <v>0</v>
      </c>
      <c r="H268" s="484"/>
    </row>
    <row r="269" spans="1:8">
      <c r="A269" s="502"/>
      <c r="B269" s="503">
        <v>398</v>
      </c>
      <c r="C269" s="163" t="s">
        <v>140</v>
      </c>
      <c r="D269" s="1332">
        <v>5903.0025000000005</v>
      </c>
      <c r="E269" s="504" t="s">
        <v>517</v>
      </c>
      <c r="F269" s="505">
        <f t="shared" si="11"/>
        <v>0</v>
      </c>
      <c r="G269" s="498">
        <f t="shared" si="12"/>
        <v>0</v>
      </c>
      <c r="H269" s="484"/>
    </row>
    <row r="270" spans="1:8">
      <c r="A270" s="502"/>
      <c r="B270" s="503">
        <v>399</v>
      </c>
      <c r="C270" s="163" t="s">
        <v>140</v>
      </c>
      <c r="D270" s="1332">
        <v>2004370.8237500191</v>
      </c>
      <c r="E270" s="504" t="s">
        <v>261</v>
      </c>
      <c r="F270" s="505">
        <f t="shared" si="11"/>
        <v>0</v>
      </c>
      <c r="G270" s="498">
        <f t="shared" si="12"/>
        <v>0</v>
      </c>
      <c r="H270" s="484"/>
    </row>
    <row r="271" spans="1:8">
      <c r="A271" s="502"/>
      <c r="B271" s="503" t="s">
        <v>600</v>
      </c>
      <c r="C271" s="163" t="s">
        <v>140</v>
      </c>
      <c r="D271" s="1332">
        <v>5019518.2237500008</v>
      </c>
      <c r="E271" s="504" t="s">
        <v>170</v>
      </c>
      <c r="F271" s="505">
        <f t="shared" si="11"/>
        <v>0</v>
      </c>
      <c r="G271" s="498">
        <f t="shared" si="12"/>
        <v>0</v>
      </c>
      <c r="H271" s="484"/>
    </row>
    <row r="272" spans="1:8">
      <c r="A272" s="244"/>
      <c r="B272" s="503" t="s">
        <v>600</v>
      </c>
      <c r="C272" s="503" t="s">
        <v>140</v>
      </c>
      <c r="D272" s="1332">
        <v>656823.97458333406</v>
      </c>
      <c r="E272" s="504" t="s">
        <v>173</v>
      </c>
      <c r="F272" s="505">
        <f t="shared" si="11"/>
        <v>0</v>
      </c>
      <c r="G272" s="498">
        <f t="shared" si="12"/>
        <v>0</v>
      </c>
      <c r="H272" s="484"/>
    </row>
    <row r="273" spans="1:8">
      <c r="A273" s="244"/>
      <c r="B273" s="503" t="s">
        <v>600</v>
      </c>
      <c r="C273" s="503" t="s">
        <v>140</v>
      </c>
      <c r="D273" s="1332">
        <v>2839080.7887500003</v>
      </c>
      <c r="E273" s="504" t="s">
        <v>171</v>
      </c>
      <c r="F273" s="505">
        <f t="shared" si="11"/>
        <v>0</v>
      </c>
      <c r="G273" s="498">
        <f t="shared" si="12"/>
        <v>0</v>
      </c>
      <c r="H273" s="484"/>
    </row>
    <row r="274" spans="1:8">
      <c r="A274" s="506"/>
      <c r="B274" s="503" t="s">
        <v>600</v>
      </c>
      <c r="C274" s="503" t="s">
        <v>140</v>
      </c>
      <c r="D274" s="1332">
        <v>3186843.6829166701</v>
      </c>
      <c r="E274" s="504" t="s">
        <v>172</v>
      </c>
      <c r="F274" s="505">
        <f t="shared" si="11"/>
        <v>0</v>
      </c>
      <c r="G274" s="498">
        <f t="shared" si="12"/>
        <v>0</v>
      </c>
      <c r="H274" s="484"/>
    </row>
    <row r="275" spans="1:8">
      <c r="A275" s="490"/>
      <c r="B275" s="503" t="s">
        <v>600</v>
      </c>
      <c r="C275" s="503" t="s">
        <v>140</v>
      </c>
      <c r="D275" s="1332">
        <v>840019.30166667001</v>
      </c>
      <c r="E275" s="504" t="s">
        <v>141</v>
      </c>
      <c r="F275" s="505">
        <f t="shared" si="11"/>
        <v>1</v>
      </c>
      <c r="G275" s="498">
        <f t="shared" si="12"/>
        <v>840019.30166667001</v>
      </c>
      <c r="H275" s="484"/>
    </row>
    <row r="276" spans="1:8">
      <c r="A276" s="507"/>
      <c r="B276" s="508" t="s">
        <v>600</v>
      </c>
      <c r="C276" s="508" t="s">
        <v>140</v>
      </c>
      <c r="D276" s="1332">
        <v>-1311974.7683333303</v>
      </c>
      <c r="E276" s="504" t="s">
        <v>517</v>
      </c>
      <c r="F276" s="505">
        <f t="shared" si="11"/>
        <v>0</v>
      </c>
      <c r="G276" s="498">
        <f t="shared" si="12"/>
        <v>0</v>
      </c>
      <c r="H276" s="484"/>
    </row>
    <row r="277" spans="1:8">
      <c r="A277" s="507"/>
      <c r="B277" s="508" t="s">
        <v>601</v>
      </c>
      <c r="C277" s="508" t="s">
        <v>140</v>
      </c>
      <c r="D277" s="1332">
        <v>411546.50583334081</v>
      </c>
      <c r="E277" s="504" t="s">
        <v>130</v>
      </c>
      <c r="F277" s="505">
        <f t="shared" si="11"/>
        <v>6.8539355270203509E-2</v>
      </c>
      <c r="G277" s="498">
        <f t="shared" si="12"/>
        <v>28207.132173522226</v>
      </c>
      <c r="H277" s="484"/>
    </row>
    <row r="278" spans="1:8">
      <c r="A278" s="507"/>
      <c r="B278" s="508" t="s">
        <v>602</v>
      </c>
      <c r="C278" s="508" t="s">
        <v>140</v>
      </c>
      <c r="D278" s="1332">
        <v>105010.25583333299</v>
      </c>
      <c r="E278" s="504" t="s">
        <v>130</v>
      </c>
      <c r="F278" s="505">
        <f t="shared" si="11"/>
        <v>6.8539355270203509E-2</v>
      </c>
      <c r="G278" s="498">
        <f t="shared" si="12"/>
        <v>7197.3352315757702</v>
      </c>
      <c r="H278" s="484"/>
    </row>
    <row r="279" spans="1:8">
      <c r="A279" s="507"/>
      <c r="B279" s="508" t="s">
        <v>603</v>
      </c>
      <c r="C279" s="508" t="s">
        <v>140</v>
      </c>
      <c r="D279" s="1332">
        <v>-25833.333333333299</v>
      </c>
      <c r="E279" s="504" t="s">
        <v>214</v>
      </c>
      <c r="F279" s="505">
        <f t="shared" si="11"/>
        <v>0</v>
      </c>
      <c r="G279" s="498">
        <f t="shared" si="12"/>
        <v>0</v>
      </c>
      <c r="H279" s="484"/>
    </row>
    <row r="280" spans="1:8">
      <c r="A280" s="507"/>
      <c r="B280" s="508" t="s">
        <v>603</v>
      </c>
      <c r="C280" s="508" t="s">
        <v>140</v>
      </c>
      <c r="D280" s="1332">
        <v>-3113.7879166666671</v>
      </c>
      <c r="E280" s="504" t="s">
        <v>146</v>
      </c>
      <c r="F280" s="505">
        <f t="shared" si="11"/>
        <v>7.9057273540331513E-2</v>
      </c>
      <c r="G280" s="498">
        <f t="shared" si="12"/>
        <v>-246.1675830744957</v>
      </c>
      <c r="H280" s="484"/>
    </row>
    <row r="281" spans="1:8">
      <c r="A281" s="507"/>
      <c r="B281" s="508" t="s">
        <v>604</v>
      </c>
      <c r="C281" s="508" t="s">
        <v>140</v>
      </c>
      <c r="D281" s="1332">
        <v>-79833.220833339961</v>
      </c>
      <c r="E281" s="504" t="s">
        <v>214</v>
      </c>
      <c r="F281" s="505">
        <f t="shared" si="11"/>
        <v>0</v>
      </c>
      <c r="G281" s="498">
        <f t="shared" si="12"/>
        <v>0</v>
      </c>
      <c r="H281" s="484"/>
    </row>
    <row r="282" spans="1:8">
      <c r="A282" s="507"/>
      <c r="B282" s="508" t="s">
        <v>604</v>
      </c>
      <c r="C282" s="508" t="s">
        <v>140</v>
      </c>
      <c r="D282" s="1332">
        <v>3750115.4120833399</v>
      </c>
      <c r="E282" s="504" t="s">
        <v>146</v>
      </c>
      <c r="F282" s="505">
        <f t="shared" si="11"/>
        <v>7.9057273540331513E-2</v>
      </c>
      <c r="G282" s="498">
        <f t="shared" si="12"/>
        <v>296473.89994088566</v>
      </c>
      <c r="H282" s="484"/>
    </row>
    <row r="283" spans="1:8">
      <c r="A283" s="507"/>
      <c r="B283" s="508" t="s">
        <v>605</v>
      </c>
      <c r="C283" s="508" t="s">
        <v>140</v>
      </c>
      <c r="D283" s="1332">
        <v>-92566521.902500004</v>
      </c>
      <c r="E283" s="504" t="s">
        <v>214</v>
      </c>
      <c r="F283" s="505">
        <f t="shared" si="11"/>
        <v>0</v>
      </c>
      <c r="G283" s="498">
        <f t="shared" si="12"/>
        <v>0</v>
      </c>
      <c r="H283" s="484"/>
    </row>
    <row r="284" spans="1:8">
      <c r="A284" s="507"/>
      <c r="B284" s="508" t="s">
        <v>605</v>
      </c>
      <c r="C284" s="508" t="s">
        <v>140</v>
      </c>
      <c r="D284" s="1332">
        <v>7164597.4275000002</v>
      </c>
      <c r="E284" s="504" t="s">
        <v>203</v>
      </c>
      <c r="F284" s="505">
        <f t="shared" si="11"/>
        <v>0.23084885646883446</v>
      </c>
      <c r="G284" s="498">
        <f t="shared" si="12"/>
        <v>1653939.1231979281</v>
      </c>
      <c r="H284" s="484"/>
    </row>
    <row r="285" spans="1:8">
      <c r="A285" s="507"/>
      <c r="B285" s="508" t="s">
        <v>605</v>
      </c>
      <c r="C285" s="508" t="s">
        <v>140</v>
      </c>
      <c r="D285" s="1332">
        <v>-122268.675416666</v>
      </c>
      <c r="E285" s="504" t="s">
        <v>146</v>
      </c>
      <c r="F285" s="505">
        <f t="shared" si="11"/>
        <v>7.9057273540331513E-2</v>
      </c>
      <c r="G285" s="498">
        <f t="shared" si="12"/>
        <v>-9666.2281178293706</v>
      </c>
      <c r="H285" s="484"/>
    </row>
    <row r="286" spans="1:8" ht="13.5" thickBot="1">
      <c r="A286" s="490"/>
      <c r="B286" s="503"/>
      <c r="C286" s="503"/>
      <c r="D286" s="515">
        <f>SUM(D9:D83)</f>
        <v>365637537.28792906</v>
      </c>
      <c r="E286" s="504"/>
      <c r="F286" s="520"/>
      <c r="G286" s="521">
        <f>SUM(G9:G285)</f>
        <v>22392710.951431125</v>
      </c>
      <c r="H286" s="484"/>
    </row>
    <row r="287" spans="1:8" ht="13.5" thickTop="1">
      <c r="A287" s="490"/>
      <c r="B287" s="503"/>
      <c r="C287" s="163"/>
      <c r="D287" s="504"/>
      <c r="E287" s="163"/>
      <c r="F287" s="512"/>
      <c r="G287" s="241"/>
      <c r="H287" s="484"/>
    </row>
    <row r="288" spans="1:8">
      <c r="A288" s="28" t="s">
        <v>212</v>
      </c>
      <c r="B288" s="503"/>
      <c r="C288" s="163"/>
      <c r="D288" s="504"/>
      <c r="E288" s="163"/>
      <c r="F288" s="512"/>
      <c r="G288" s="241"/>
      <c r="H288" s="241"/>
    </row>
    <row r="289" spans="1:8">
      <c r="A289" s="1417" t="s">
        <v>1083</v>
      </c>
      <c r="B289" s="1417"/>
      <c r="C289" s="1417"/>
      <c r="D289" s="1417"/>
      <c r="E289" s="1417"/>
      <c r="F289" s="1417"/>
      <c r="G289" s="1417"/>
      <c r="H289" s="241"/>
    </row>
    <row r="290" spans="1:8">
      <c r="A290" s="1417"/>
      <c r="B290" s="1417"/>
      <c r="C290" s="1417"/>
      <c r="D290" s="1417"/>
      <c r="E290" s="1417"/>
      <c r="F290" s="1417"/>
      <c r="G290" s="1417"/>
      <c r="H290" s="513"/>
    </row>
    <row r="291" spans="1:8">
      <c r="A291" s="1417"/>
      <c r="B291" s="1417"/>
      <c r="C291" s="1417"/>
      <c r="D291" s="1417"/>
      <c r="E291" s="1417"/>
      <c r="F291" s="1417"/>
      <c r="G291" s="1417"/>
      <c r="H291" s="513"/>
    </row>
    <row r="292" spans="1:8">
      <c r="A292" s="1417"/>
      <c r="B292" s="1417"/>
      <c r="C292" s="1417"/>
      <c r="D292" s="1417"/>
      <c r="E292" s="1417"/>
      <c r="F292" s="1417"/>
      <c r="G292" s="1417"/>
      <c r="H292" s="513"/>
    </row>
    <row r="293" spans="1:8">
      <c r="A293" s="1328"/>
      <c r="B293" s="522"/>
      <c r="C293" s="163"/>
      <c r="D293" s="498"/>
      <c r="E293" s="232"/>
      <c r="F293" s="513"/>
      <c r="G293" s="513"/>
      <c r="H293" s="513"/>
    </row>
    <row r="294" spans="1:8">
      <c r="A294" s="513"/>
      <c r="B294" s="503"/>
      <c r="C294" s="163"/>
      <c r="D294" s="498"/>
      <c r="E294" s="232"/>
      <c r="F294" s="513"/>
      <c r="G294" s="513"/>
      <c r="H294" s="513"/>
    </row>
    <row r="295" spans="1:8">
      <c r="A295" s="513"/>
      <c r="B295" s="522"/>
      <c r="C295" s="163"/>
      <c r="D295" s="498"/>
      <c r="E295" s="232"/>
      <c r="F295" s="513"/>
      <c r="G295" s="513"/>
      <c r="H295" s="513"/>
    </row>
    <row r="296" spans="1:8">
      <c r="A296" s="513"/>
      <c r="B296" s="523"/>
      <c r="C296" s="490"/>
      <c r="D296" s="490"/>
      <c r="E296" s="232"/>
      <c r="F296" s="513"/>
      <c r="G296" s="513"/>
      <c r="H296" s="513"/>
    </row>
    <row r="297" spans="1:8">
      <c r="A297" s="513"/>
      <c r="B297" s="523"/>
      <c r="C297" s="490"/>
      <c r="D297" s="490"/>
      <c r="E297" s="232"/>
      <c r="F297" s="513"/>
      <c r="G297" s="513"/>
      <c r="H297" s="513"/>
    </row>
    <row r="298" spans="1:8">
      <c r="A298" s="513"/>
      <c r="B298" s="495"/>
      <c r="C298" s="513"/>
      <c r="D298" s="513"/>
      <c r="E298" s="232"/>
      <c r="F298" s="513"/>
      <c r="G298" s="513"/>
      <c r="H298" s="513"/>
    </row>
    <row r="299" spans="1:8">
      <c r="A299" s="513"/>
      <c r="B299" s="495"/>
      <c r="C299" s="513"/>
      <c r="D299" s="513"/>
      <c r="E299" s="232"/>
      <c r="F299" s="513"/>
      <c r="G299" s="513"/>
      <c r="H299" s="513"/>
    </row>
    <row r="300" spans="1:8">
      <c r="A300" s="513"/>
      <c r="B300" s="495"/>
      <c r="C300" s="513"/>
      <c r="D300" s="513"/>
      <c r="E300" s="232"/>
      <c r="F300" s="513"/>
      <c r="G300" s="513"/>
      <c r="H300" s="513"/>
    </row>
    <row r="301" spans="1:8">
      <c r="B301" s="495"/>
      <c r="C301" s="513"/>
      <c r="D301" s="513"/>
      <c r="E301" s="232"/>
    </row>
    <row r="302" spans="1:8">
      <c r="B302" s="495"/>
      <c r="C302" s="513"/>
      <c r="D302" s="513"/>
      <c r="E302" s="232"/>
    </row>
    <row r="303" spans="1:8">
      <c r="B303" s="495"/>
      <c r="C303" s="513"/>
      <c r="D303" s="513"/>
      <c r="E303" s="232"/>
    </row>
    <row r="304" spans="1:8">
      <c r="B304" s="495"/>
      <c r="C304" s="513"/>
      <c r="D304" s="513"/>
      <c r="E304" s="232"/>
    </row>
    <row r="305" spans="2:5">
      <c r="B305" s="495"/>
      <c r="C305" s="513"/>
      <c r="D305" s="513"/>
      <c r="E305" s="232"/>
    </row>
    <row r="306" spans="2:5">
      <c r="B306" s="495"/>
      <c r="C306" s="513"/>
      <c r="D306" s="513"/>
      <c r="E306" s="232"/>
    </row>
    <row r="307" spans="2:5">
      <c r="B307" s="495"/>
      <c r="C307" s="513"/>
      <c r="D307" s="513"/>
      <c r="E307" s="232"/>
    </row>
    <row r="308" spans="2:5">
      <c r="B308" s="495"/>
      <c r="C308" s="513"/>
      <c r="D308" s="513"/>
      <c r="E308" s="232"/>
    </row>
    <row r="309" spans="2:5">
      <c r="B309" s="495"/>
      <c r="C309" s="513"/>
      <c r="D309" s="513"/>
      <c r="E309" s="232"/>
    </row>
    <row r="310" spans="2:5">
      <c r="B310" s="495"/>
      <c r="C310" s="513"/>
      <c r="D310" s="513"/>
      <c r="E310" s="232"/>
    </row>
    <row r="311" spans="2:5">
      <c r="B311" s="495"/>
      <c r="C311" s="513"/>
      <c r="D311" s="513"/>
      <c r="E311" s="232"/>
    </row>
    <row r="312" spans="2:5">
      <c r="B312" s="495"/>
      <c r="C312" s="513"/>
      <c r="D312" s="513"/>
      <c r="E312" s="232"/>
    </row>
    <row r="313" spans="2:5">
      <c r="B313" s="495"/>
      <c r="C313" s="513"/>
      <c r="D313" s="513"/>
      <c r="E313" s="232"/>
    </row>
    <row r="314" spans="2:5">
      <c r="B314" s="495"/>
      <c r="C314" s="513"/>
      <c r="D314" s="513"/>
      <c r="E314" s="232"/>
    </row>
    <row r="315" spans="2:5">
      <c r="B315" s="495"/>
      <c r="C315" s="513"/>
      <c r="D315" s="513"/>
      <c r="E315" s="232"/>
    </row>
    <row r="316" spans="2:5">
      <c r="B316" s="495"/>
      <c r="C316" s="513"/>
      <c r="D316" s="513"/>
      <c r="E316" s="232"/>
    </row>
    <row r="317" spans="2:5">
      <c r="B317" s="495"/>
      <c r="C317" s="513"/>
      <c r="D317" s="513"/>
      <c r="E317" s="232"/>
    </row>
    <row r="318" spans="2:5">
      <c r="B318" s="495"/>
      <c r="C318" s="513"/>
      <c r="D318" s="513"/>
      <c r="E318" s="232"/>
    </row>
    <row r="319" spans="2:5">
      <c r="B319" s="495"/>
      <c r="C319" s="513"/>
      <c r="D319" s="513"/>
      <c r="E319" s="232"/>
    </row>
    <row r="320" spans="2:5">
      <c r="B320" s="495"/>
      <c r="C320" s="513"/>
      <c r="D320" s="513"/>
      <c r="E320" s="232"/>
    </row>
    <row r="321" spans="2:5">
      <c r="B321" s="495"/>
      <c r="C321" s="513"/>
      <c r="D321" s="513"/>
      <c r="E321" s="232"/>
    </row>
    <row r="322" spans="2:5">
      <c r="B322" s="495"/>
      <c r="C322" s="513"/>
      <c r="D322" s="513"/>
      <c r="E322" s="232"/>
    </row>
    <row r="323" spans="2:5">
      <c r="B323" s="495"/>
      <c r="C323" s="513"/>
      <c r="D323" s="513"/>
      <c r="E323" s="232"/>
    </row>
    <row r="324" spans="2:5">
      <c r="B324" s="495"/>
      <c r="C324" s="513"/>
      <c r="D324" s="513"/>
      <c r="E324" s="232"/>
    </row>
    <row r="325" spans="2:5">
      <c r="B325" s="495"/>
      <c r="C325" s="513"/>
      <c r="D325" s="513"/>
      <c r="E325" s="232"/>
    </row>
    <row r="326" spans="2:5">
      <c r="B326" s="495"/>
      <c r="C326" s="513"/>
      <c r="D326" s="513"/>
      <c r="E326" s="232"/>
    </row>
    <row r="327" spans="2:5">
      <c r="B327" s="495"/>
      <c r="C327" s="513"/>
      <c r="D327" s="513"/>
      <c r="E327" s="232"/>
    </row>
    <row r="328" spans="2:5">
      <c r="B328" s="495"/>
      <c r="C328" s="513"/>
      <c r="D328" s="513"/>
      <c r="E328" s="232"/>
    </row>
    <row r="329" spans="2:5">
      <c r="B329" s="495"/>
      <c r="C329" s="513"/>
      <c r="D329" s="513"/>
      <c r="E329" s="232"/>
    </row>
    <row r="330" spans="2:5">
      <c r="B330" s="495"/>
      <c r="C330" s="513"/>
      <c r="D330" s="513"/>
      <c r="E330" s="232"/>
    </row>
    <row r="331" spans="2:5">
      <c r="B331" s="495"/>
      <c r="C331" s="513"/>
      <c r="D331" s="513"/>
      <c r="E331" s="232"/>
    </row>
    <row r="332" spans="2:5">
      <c r="B332" s="495"/>
      <c r="C332" s="513"/>
      <c r="D332" s="513"/>
      <c r="E332" s="232"/>
    </row>
    <row r="333" spans="2:5">
      <c r="B333" s="495"/>
      <c r="C333" s="513"/>
      <c r="D333" s="513"/>
      <c r="E333" s="232"/>
    </row>
    <row r="334" spans="2:5">
      <c r="B334" s="495"/>
      <c r="C334" s="513"/>
      <c r="D334" s="513"/>
      <c r="E334" s="232"/>
    </row>
    <row r="335" spans="2:5">
      <c r="B335" s="495"/>
      <c r="C335" s="513"/>
      <c r="D335" s="513"/>
      <c r="E335" s="232"/>
    </row>
    <row r="336" spans="2:5">
      <c r="B336" s="495"/>
      <c r="C336" s="513"/>
      <c r="D336" s="513"/>
      <c r="E336" s="232"/>
    </row>
    <row r="337" spans="2:5">
      <c r="B337" s="495"/>
      <c r="C337" s="513"/>
      <c r="D337" s="513"/>
      <c r="E337" s="232"/>
    </row>
    <row r="338" spans="2:5">
      <c r="B338" s="495"/>
      <c r="C338" s="513"/>
      <c r="D338" s="513"/>
      <c r="E338" s="232"/>
    </row>
    <row r="339" spans="2:5">
      <c r="B339" s="495"/>
      <c r="C339" s="513"/>
      <c r="D339" s="513"/>
      <c r="E339" s="232"/>
    </row>
    <row r="340" spans="2:5">
      <c r="B340" s="495"/>
      <c r="C340" s="513"/>
      <c r="D340" s="513"/>
      <c r="E340" s="232"/>
    </row>
    <row r="341" spans="2:5">
      <c r="B341" s="495"/>
      <c r="C341" s="513"/>
      <c r="D341" s="513"/>
      <c r="E341" s="232"/>
    </row>
    <row r="342" spans="2:5">
      <c r="B342" s="495"/>
      <c r="C342" s="513"/>
      <c r="D342" s="513"/>
      <c r="E342" s="232"/>
    </row>
    <row r="343" spans="2:5">
      <c r="B343" s="495"/>
      <c r="C343" s="513"/>
      <c r="D343" s="513"/>
      <c r="E343" s="232"/>
    </row>
    <row r="344" spans="2:5">
      <c r="B344" s="495"/>
      <c r="C344" s="513"/>
      <c r="D344" s="513"/>
      <c r="E344" s="232"/>
    </row>
    <row r="345" spans="2:5">
      <c r="B345" s="495"/>
      <c r="C345" s="513"/>
      <c r="D345" s="513"/>
      <c r="E345" s="232"/>
    </row>
    <row r="346" spans="2:5">
      <c r="B346" s="495"/>
      <c r="C346" s="513"/>
      <c r="D346" s="513"/>
      <c r="E346" s="232"/>
    </row>
    <row r="347" spans="2:5">
      <c r="B347" s="495"/>
      <c r="C347" s="513"/>
      <c r="D347" s="513"/>
      <c r="E347" s="232"/>
    </row>
    <row r="348" spans="2:5">
      <c r="B348" s="495"/>
      <c r="C348" s="513"/>
      <c r="D348" s="513"/>
      <c r="E348" s="232"/>
    </row>
    <row r="349" spans="2:5">
      <c r="B349" s="495"/>
      <c r="C349" s="513"/>
      <c r="D349" s="513"/>
      <c r="E349" s="232"/>
    </row>
    <row r="350" spans="2:5">
      <c r="B350" s="495"/>
      <c r="C350" s="513"/>
      <c r="D350" s="513"/>
      <c r="E350" s="232"/>
    </row>
    <row r="351" spans="2:5">
      <c r="B351" s="495"/>
      <c r="C351" s="513"/>
      <c r="D351" s="513"/>
      <c r="E351" s="232"/>
    </row>
    <row r="352" spans="2:5">
      <c r="B352" s="495"/>
      <c r="C352" s="513"/>
      <c r="D352" s="513"/>
      <c r="E352" s="232"/>
    </row>
    <row r="353" spans="2:5">
      <c r="B353" s="495"/>
      <c r="C353" s="513"/>
      <c r="D353" s="513"/>
      <c r="E353" s="232"/>
    </row>
    <row r="354" spans="2:5">
      <c r="B354" s="495"/>
      <c r="C354" s="513"/>
      <c r="D354" s="513"/>
      <c r="E354" s="232"/>
    </row>
    <row r="355" spans="2:5">
      <c r="B355" s="495"/>
      <c r="C355" s="513"/>
      <c r="D355" s="513"/>
      <c r="E355" s="232"/>
    </row>
    <row r="356" spans="2:5">
      <c r="B356" s="495"/>
      <c r="C356" s="513"/>
      <c r="D356" s="513"/>
      <c r="E356" s="232"/>
    </row>
    <row r="357" spans="2:5">
      <c r="B357" s="495"/>
      <c r="C357" s="513"/>
      <c r="D357" s="513"/>
      <c r="E357" s="232"/>
    </row>
    <row r="358" spans="2:5">
      <c r="B358" s="495"/>
      <c r="C358" s="513"/>
      <c r="D358" s="513"/>
      <c r="E358" s="232"/>
    </row>
    <row r="359" spans="2:5">
      <c r="B359" s="495"/>
      <c r="C359" s="513"/>
      <c r="D359" s="513"/>
      <c r="E359" s="232"/>
    </row>
    <row r="360" spans="2:5">
      <c r="B360" s="495"/>
      <c r="C360" s="513"/>
      <c r="D360" s="513"/>
      <c r="E360" s="232"/>
    </row>
    <row r="361" spans="2:5">
      <c r="B361" s="495"/>
      <c r="C361" s="513"/>
      <c r="D361" s="513"/>
      <c r="E361" s="232"/>
    </row>
    <row r="362" spans="2:5">
      <c r="B362" s="495"/>
      <c r="C362" s="513"/>
      <c r="D362" s="513"/>
      <c r="E362" s="232"/>
    </row>
    <row r="363" spans="2:5">
      <c r="B363" s="495"/>
      <c r="C363" s="513"/>
      <c r="D363" s="513"/>
      <c r="E363" s="232"/>
    </row>
    <row r="364" spans="2:5">
      <c r="B364" s="495"/>
      <c r="C364" s="513"/>
      <c r="D364" s="513"/>
      <c r="E364" s="232"/>
    </row>
    <row r="365" spans="2:5">
      <c r="B365" s="495"/>
      <c r="C365" s="513"/>
      <c r="D365" s="513"/>
      <c r="E365" s="232"/>
    </row>
    <row r="366" spans="2:5">
      <c r="B366" s="495"/>
      <c r="C366" s="513"/>
      <c r="D366" s="513"/>
      <c r="E366" s="232"/>
    </row>
    <row r="367" spans="2:5">
      <c r="B367" s="495"/>
      <c r="C367" s="513"/>
      <c r="D367" s="513"/>
      <c r="E367" s="232"/>
    </row>
    <row r="368" spans="2:5">
      <c r="B368" s="495"/>
      <c r="C368" s="513"/>
      <c r="D368" s="513"/>
      <c r="E368" s="232"/>
    </row>
    <row r="369" spans="2:5">
      <c r="B369" s="495"/>
      <c r="C369" s="513"/>
      <c r="D369" s="513"/>
      <c r="E369" s="232"/>
    </row>
    <row r="370" spans="2:5">
      <c r="B370" s="495"/>
      <c r="C370" s="513"/>
      <c r="D370" s="513"/>
      <c r="E370" s="232"/>
    </row>
    <row r="371" spans="2:5">
      <c r="B371" s="495"/>
      <c r="C371" s="513"/>
      <c r="D371" s="513"/>
      <c r="E371" s="232"/>
    </row>
    <row r="372" spans="2:5">
      <c r="B372" s="495"/>
      <c r="C372" s="513"/>
      <c r="D372" s="513"/>
      <c r="E372" s="232"/>
    </row>
    <row r="373" spans="2:5">
      <c r="B373" s="495"/>
      <c r="C373" s="513"/>
      <c r="D373" s="513"/>
      <c r="E373" s="232"/>
    </row>
    <row r="374" spans="2:5">
      <c r="B374" s="495"/>
      <c r="C374" s="513"/>
      <c r="D374" s="513"/>
      <c r="E374" s="232"/>
    </row>
    <row r="375" spans="2:5">
      <c r="B375" s="495"/>
      <c r="C375" s="513"/>
      <c r="D375" s="513"/>
      <c r="E375" s="232"/>
    </row>
    <row r="376" spans="2:5">
      <c r="B376" s="495"/>
      <c r="C376" s="513"/>
      <c r="D376" s="513"/>
      <c r="E376" s="232"/>
    </row>
    <row r="377" spans="2:5">
      <c r="B377" s="495"/>
      <c r="C377" s="513"/>
      <c r="D377" s="513"/>
      <c r="E377" s="232"/>
    </row>
    <row r="378" spans="2:5">
      <c r="B378" s="495"/>
      <c r="C378" s="513"/>
      <c r="D378" s="513"/>
      <c r="E378" s="232"/>
    </row>
    <row r="379" spans="2:5">
      <c r="B379" s="495"/>
      <c r="C379" s="513"/>
      <c r="D379" s="513"/>
      <c r="E379" s="232"/>
    </row>
    <row r="380" spans="2:5">
      <c r="B380" s="495"/>
      <c r="C380" s="513"/>
      <c r="D380" s="513"/>
      <c r="E380" s="232"/>
    </row>
    <row r="381" spans="2:5">
      <c r="B381" s="495"/>
      <c r="C381" s="513"/>
      <c r="D381" s="513"/>
      <c r="E381" s="232"/>
    </row>
    <row r="382" spans="2:5">
      <c r="B382" s="495"/>
      <c r="C382" s="513"/>
      <c r="D382" s="513"/>
      <c r="E382" s="232"/>
    </row>
    <row r="383" spans="2:5">
      <c r="B383" s="495"/>
      <c r="C383" s="513"/>
      <c r="D383" s="513"/>
      <c r="E383" s="232"/>
    </row>
    <row r="384" spans="2:5">
      <c r="B384" s="495"/>
      <c r="C384" s="513"/>
      <c r="D384" s="513"/>
      <c r="E384" s="232"/>
    </row>
    <row r="385" spans="2:5">
      <c r="B385" s="495"/>
      <c r="C385" s="513"/>
      <c r="D385" s="513"/>
      <c r="E385" s="232"/>
    </row>
    <row r="386" spans="2:5">
      <c r="B386" s="495"/>
      <c r="C386" s="513"/>
      <c r="D386" s="513"/>
      <c r="E386" s="232"/>
    </row>
    <row r="387" spans="2:5">
      <c r="B387" s="495"/>
      <c r="C387" s="513"/>
      <c r="D387" s="513"/>
      <c r="E387" s="232"/>
    </row>
    <row r="388" spans="2:5">
      <c r="B388" s="495"/>
      <c r="C388" s="513"/>
      <c r="D388" s="513"/>
      <c r="E388" s="232"/>
    </row>
    <row r="389" spans="2:5">
      <c r="B389" s="495"/>
      <c r="C389" s="513"/>
      <c r="D389" s="513"/>
      <c r="E389" s="232"/>
    </row>
    <row r="390" spans="2:5">
      <c r="B390" s="495"/>
      <c r="C390" s="513"/>
      <c r="D390" s="513"/>
      <c r="E390" s="232"/>
    </row>
    <row r="391" spans="2:5">
      <c r="B391" s="495"/>
      <c r="C391" s="513"/>
      <c r="D391" s="513"/>
      <c r="E391" s="232"/>
    </row>
    <row r="392" spans="2:5">
      <c r="B392" s="495"/>
      <c r="C392" s="513"/>
      <c r="D392" s="513"/>
      <c r="E392" s="232"/>
    </row>
    <row r="393" spans="2:5">
      <c r="B393" s="495"/>
      <c r="C393" s="513"/>
      <c r="D393" s="513"/>
      <c r="E393" s="232"/>
    </row>
    <row r="394" spans="2:5">
      <c r="B394" s="495"/>
      <c r="C394" s="513"/>
      <c r="D394" s="513"/>
      <c r="E394" s="232"/>
    </row>
    <row r="395" spans="2:5">
      <c r="B395" s="495"/>
      <c r="C395" s="513"/>
      <c r="D395" s="513"/>
      <c r="E395" s="232"/>
    </row>
    <row r="396" spans="2:5">
      <c r="B396" s="495"/>
      <c r="C396" s="513"/>
      <c r="D396" s="513"/>
      <c r="E396" s="232"/>
    </row>
    <row r="397" spans="2:5">
      <c r="B397" s="495"/>
      <c r="C397" s="513"/>
      <c r="D397" s="513"/>
      <c r="E397" s="232"/>
    </row>
    <row r="398" spans="2:5">
      <c r="B398" s="495"/>
      <c r="C398" s="513"/>
      <c r="D398" s="513"/>
      <c r="E398" s="232"/>
    </row>
    <row r="399" spans="2:5">
      <c r="B399" s="495"/>
      <c r="C399" s="513"/>
      <c r="D399" s="513"/>
      <c r="E399" s="232"/>
    </row>
    <row r="400" spans="2:5">
      <c r="B400" s="495"/>
      <c r="C400" s="513"/>
      <c r="D400" s="513"/>
      <c r="E400" s="232"/>
    </row>
    <row r="401" spans="2:5">
      <c r="B401" s="495"/>
      <c r="C401" s="513"/>
      <c r="D401" s="513"/>
      <c r="E401" s="232"/>
    </row>
    <row r="402" spans="2:5">
      <c r="B402" s="495"/>
      <c r="C402" s="513"/>
      <c r="D402" s="513"/>
      <c r="E402" s="232"/>
    </row>
    <row r="403" spans="2:5">
      <c r="B403" s="495"/>
      <c r="C403" s="513"/>
      <c r="D403" s="513"/>
      <c r="E403" s="232"/>
    </row>
    <row r="404" spans="2:5">
      <c r="B404" s="495"/>
      <c r="C404" s="513"/>
      <c r="D404" s="513"/>
      <c r="E404" s="232"/>
    </row>
    <row r="405" spans="2:5">
      <c r="B405" s="495"/>
      <c r="C405" s="513"/>
      <c r="D405" s="513"/>
      <c r="E405" s="232"/>
    </row>
    <row r="406" spans="2:5">
      <c r="B406" s="495"/>
      <c r="C406" s="513"/>
      <c r="D406" s="513"/>
      <c r="E406" s="232"/>
    </row>
    <row r="407" spans="2:5">
      <c r="B407" s="495"/>
      <c r="C407" s="513"/>
      <c r="D407" s="513"/>
      <c r="E407" s="232"/>
    </row>
    <row r="408" spans="2:5">
      <c r="B408" s="495"/>
      <c r="C408" s="513"/>
      <c r="D408" s="513"/>
      <c r="E408" s="232"/>
    </row>
    <row r="409" spans="2:5">
      <c r="B409" s="495"/>
      <c r="C409" s="513"/>
      <c r="D409" s="513"/>
      <c r="E409" s="232"/>
    </row>
    <row r="410" spans="2:5">
      <c r="B410" s="495"/>
      <c r="C410" s="513"/>
      <c r="D410" s="513"/>
      <c r="E410" s="232"/>
    </row>
    <row r="411" spans="2:5">
      <c r="B411" s="495"/>
      <c r="C411" s="513"/>
      <c r="D411" s="513"/>
      <c r="E411" s="232"/>
    </row>
    <row r="412" spans="2:5">
      <c r="B412" s="495"/>
      <c r="C412" s="513"/>
      <c r="D412" s="513"/>
      <c r="E412" s="232"/>
    </row>
    <row r="413" spans="2:5">
      <c r="B413" s="495"/>
      <c r="C413" s="513"/>
      <c r="D413" s="513"/>
      <c r="E413" s="232"/>
    </row>
    <row r="414" spans="2:5">
      <c r="B414" s="495"/>
      <c r="C414" s="513"/>
      <c r="D414" s="513"/>
      <c r="E414" s="232"/>
    </row>
    <row r="415" spans="2:5">
      <c r="B415" s="495"/>
      <c r="C415" s="513"/>
      <c r="D415" s="513"/>
      <c r="E415" s="232"/>
    </row>
    <row r="416" spans="2:5">
      <c r="B416" s="495"/>
      <c r="C416" s="513"/>
      <c r="D416" s="513"/>
      <c r="E416" s="232"/>
    </row>
    <row r="417" spans="2:5">
      <c r="B417" s="495"/>
      <c r="C417" s="513"/>
      <c r="D417" s="513"/>
      <c r="E417" s="232"/>
    </row>
    <row r="418" spans="2:5">
      <c r="B418" s="495"/>
      <c r="C418" s="513"/>
      <c r="D418" s="513"/>
      <c r="E418" s="232"/>
    </row>
    <row r="419" spans="2:5">
      <c r="B419" s="495"/>
      <c r="C419" s="513"/>
      <c r="D419" s="513"/>
      <c r="E419" s="232"/>
    </row>
    <row r="420" spans="2:5">
      <c r="B420" s="495"/>
      <c r="C420" s="513"/>
      <c r="D420" s="513"/>
      <c r="E420" s="232"/>
    </row>
    <row r="421" spans="2:5">
      <c r="B421" s="495"/>
      <c r="C421" s="513"/>
      <c r="D421" s="513"/>
      <c r="E421" s="232"/>
    </row>
    <row r="422" spans="2:5">
      <c r="B422" s="495"/>
      <c r="C422" s="513"/>
      <c r="D422" s="513"/>
      <c r="E422" s="232"/>
    </row>
    <row r="423" spans="2:5">
      <c r="B423" s="495"/>
      <c r="C423" s="513"/>
      <c r="D423" s="513"/>
      <c r="E423" s="232"/>
    </row>
    <row r="424" spans="2:5">
      <c r="B424" s="495"/>
      <c r="C424" s="513"/>
      <c r="D424" s="513"/>
      <c r="E424" s="232"/>
    </row>
    <row r="425" spans="2:5">
      <c r="B425" s="495"/>
      <c r="C425" s="513"/>
      <c r="D425" s="513"/>
      <c r="E425" s="232"/>
    </row>
    <row r="426" spans="2:5">
      <c r="B426" s="495"/>
      <c r="C426" s="513"/>
      <c r="D426" s="513"/>
      <c r="E426" s="232"/>
    </row>
    <row r="427" spans="2:5">
      <c r="B427" s="495"/>
      <c r="C427" s="513"/>
      <c r="D427" s="513"/>
      <c r="E427" s="232"/>
    </row>
    <row r="428" spans="2:5">
      <c r="B428" s="495"/>
      <c r="C428" s="513"/>
      <c r="D428" s="513"/>
      <c r="E428" s="232"/>
    </row>
    <row r="429" spans="2:5">
      <c r="B429" s="495"/>
      <c r="C429" s="513"/>
      <c r="D429" s="513"/>
      <c r="E429" s="232"/>
    </row>
    <row r="430" spans="2:5">
      <c r="B430" s="495"/>
      <c r="C430" s="513"/>
      <c r="D430" s="513"/>
      <c r="E430" s="232"/>
    </row>
    <row r="431" spans="2:5">
      <c r="B431" s="495"/>
      <c r="C431" s="513"/>
      <c r="D431" s="513"/>
      <c r="E431" s="232"/>
    </row>
    <row r="432" spans="2:5">
      <c r="B432" s="495"/>
      <c r="C432" s="513"/>
      <c r="D432" s="513"/>
      <c r="E432" s="232"/>
    </row>
    <row r="433" spans="2:5">
      <c r="B433" s="495"/>
      <c r="C433" s="513"/>
      <c r="D433" s="513"/>
      <c r="E433" s="232"/>
    </row>
    <row r="434" spans="2:5">
      <c r="B434" s="495"/>
      <c r="C434" s="513"/>
      <c r="D434" s="513"/>
      <c r="E434" s="232"/>
    </row>
    <row r="435" spans="2:5">
      <c r="B435" s="495"/>
      <c r="C435" s="513"/>
      <c r="D435" s="513"/>
      <c r="E435" s="232"/>
    </row>
    <row r="436" spans="2:5">
      <c r="B436" s="495"/>
      <c r="C436" s="513"/>
      <c r="D436" s="513"/>
      <c r="E436" s="232"/>
    </row>
    <row r="437" spans="2:5">
      <c r="B437" s="495"/>
      <c r="C437" s="513"/>
      <c r="D437" s="513"/>
      <c r="E437" s="232"/>
    </row>
    <row r="438" spans="2:5">
      <c r="B438" s="495"/>
      <c r="C438" s="513"/>
      <c r="D438" s="513"/>
      <c r="E438" s="232"/>
    </row>
    <row r="439" spans="2:5">
      <c r="B439" s="495"/>
      <c r="C439" s="513"/>
      <c r="D439" s="513"/>
      <c r="E439" s="232"/>
    </row>
    <row r="440" spans="2:5">
      <c r="B440" s="495"/>
      <c r="C440" s="513"/>
      <c r="D440" s="513"/>
      <c r="E440" s="232"/>
    </row>
    <row r="441" spans="2:5">
      <c r="B441" s="495"/>
      <c r="C441" s="513"/>
      <c r="D441" s="513"/>
      <c r="E441" s="232"/>
    </row>
    <row r="442" spans="2:5">
      <c r="B442" s="495"/>
      <c r="C442" s="513"/>
      <c r="D442" s="513"/>
      <c r="E442" s="232"/>
    </row>
    <row r="443" spans="2:5">
      <c r="B443" s="495"/>
      <c r="C443" s="513"/>
      <c r="D443" s="513"/>
      <c r="E443" s="232"/>
    </row>
    <row r="444" spans="2:5">
      <c r="B444" s="495"/>
      <c r="C444" s="513"/>
      <c r="D444" s="513"/>
      <c r="E444" s="232"/>
    </row>
    <row r="445" spans="2:5">
      <c r="B445" s="495"/>
      <c r="C445" s="513"/>
      <c r="D445" s="513"/>
      <c r="E445" s="232"/>
    </row>
    <row r="446" spans="2:5">
      <c r="B446" s="495"/>
      <c r="C446" s="513"/>
      <c r="D446" s="513"/>
      <c r="E446" s="232"/>
    </row>
    <row r="447" spans="2:5">
      <c r="B447" s="495"/>
      <c r="C447" s="513"/>
      <c r="D447" s="513"/>
      <c r="E447" s="232"/>
    </row>
    <row r="448" spans="2:5">
      <c r="B448" s="495"/>
      <c r="C448" s="513"/>
      <c r="D448" s="513"/>
      <c r="E448" s="232"/>
    </row>
    <row r="449" spans="2:5">
      <c r="B449" s="495"/>
      <c r="C449" s="513"/>
      <c r="D449" s="513"/>
      <c r="E449" s="232"/>
    </row>
    <row r="450" spans="2:5">
      <c r="B450" s="495"/>
      <c r="C450" s="513"/>
      <c r="D450" s="513"/>
      <c r="E450" s="232"/>
    </row>
    <row r="451" spans="2:5">
      <c r="B451" s="495"/>
      <c r="C451" s="513"/>
      <c r="D451" s="513"/>
      <c r="E451" s="232"/>
    </row>
    <row r="452" spans="2:5">
      <c r="B452" s="495"/>
      <c r="C452" s="513"/>
      <c r="D452" s="513"/>
      <c r="E452" s="232"/>
    </row>
    <row r="453" spans="2:5">
      <c r="B453" s="495"/>
      <c r="C453" s="513"/>
      <c r="D453" s="513"/>
      <c r="E453" s="232"/>
    </row>
    <row r="454" spans="2:5">
      <c r="B454" s="495"/>
      <c r="C454" s="513"/>
      <c r="D454" s="513"/>
      <c r="E454" s="232"/>
    </row>
    <row r="455" spans="2:5">
      <c r="B455" s="495"/>
      <c r="C455" s="513"/>
      <c r="D455" s="513"/>
      <c r="E455" s="232"/>
    </row>
    <row r="456" spans="2:5">
      <c r="B456" s="495"/>
      <c r="C456" s="513"/>
      <c r="D456" s="513"/>
      <c r="E456" s="232"/>
    </row>
    <row r="457" spans="2:5">
      <c r="B457" s="495"/>
      <c r="C457" s="513"/>
      <c r="D457" s="513"/>
      <c r="E457" s="232"/>
    </row>
    <row r="458" spans="2:5">
      <c r="B458" s="495"/>
      <c r="C458" s="513"/>
      <c r="D458" s="513"/>
      <c r="E458" s="232"/>
    </row>
    <row r="459" spans="2:5">
      <c r="B459" s="495"/>
      <c r="C459" s="513"/>
      <c r="D459" s="513"/>
      <c r="E459" s="232"/>
    </row>
    <row r="460" spans="2:5">
      <c r="B460" s="495"/>
      <c r="C460" s="513"/>
      <c r="D460" s="513"/>
      <c r="E460" s="232"/>
    </row>
    <row r="461" spans="2:5">
      <c r="B461" s="495"/>
      <c r="C461" s="513"/>
      <c r="D461" s="513"/>
      <c r="E461" s="232"/>
    </row>
    <row r="462" spans="2:5">
      <c r="B462" s="495"/>
      <c r="C462" s="513"/>
      <c r="D462" s="513"/>
      <c r="E462" s="232"/>
    </row>
    <row r="463" spans="2:5">
      <c r="B463" s="495"/>
      <c r="C463" s="513"/>
      <c r="D463" s="513"/>
      <c r="E463" s="232"/>
    </row>
    <row r="464" spans="2:5">
      <c r="B464" s="495"/>
      <c r="C464" s="513"/>
      <c r="D464" s="513"/>
      <c r="E464" s="232"/>
    </row>
    <row r="465" spans="2:5">
      <c r="B465" s="495"/>
      <c r="C465" s="513"/>
      <c r="D465" s="513"/>
      <c r="E465" s="232"/>
    </row>
    <row r="466" spans="2:5">
      <c r="B466" s="495"/>
      <c r="C466" s="513"/>
      <c r="D466" s="513"/>
      <c r="E466" s="232"/>
    </row>
    <row r="467" spans="2:5">
      <c r="B467" s="495"/>
      <c r="C467" s="513"/>
      <c r="D467" s="513"/>
      <c r="E467" s="232"/>
    </row>
    <row r="468" spans="2:5">
      <c r="B468" s="495"/>
      <c r="C468" s="513"/>
      <c r="D468" s="513"/>
      <c r="E468" s="232"/>
    </row>
    <row r="469" spans="2:5">
      <c r="B469" s="495"/>
      <c r="C469" s="513"/>
      <c r="D469" s="513"/>
      <c r="E469" s="232"/>
    </row>
    <row r="470" spans="2:5">
      <c r="B470" s="495"/>
      <c r="C470" s="513"/>
      <c r="D470" s="513"/>
      <c r="E470" s="232"/>
    </row>
    <row r="471" spans="2:5">
      <c r="B471" s="495"/>
      <c r="C471" s="513"/>
      <c r="D471" s="513"/>
      <c r="E471" s="232"/>
    </row>
    <row r="472" spans="2:5">
      <c r="B472" s="495"/>
      <c r="C472" s="513"/>
      <c r="D472" s="513"/>
      <c r="E472" s="232"/>
    </row>
    <row r="473" spans="2:5">
      <c r="B473" s="495"/>
      <c r="C473" s="513"/>
      <c r="D473" s="513"/>
      <c r="E473" s="232"/>
    </row>
    <row r="474" spans="2:5">
      <c r="B474" s="495"/>
      <c r="C474" s="513"/>
      <c r="D474" s="513"/>
      <c r="E474" s="232"/>
    </row>
    <row r="475" spans="2:5">
      <c r="B475" s="495"/>
      <c r="C475" s="513"/>
      <c r="D475" s="513"/>
      <c r="E475" s="232"/>
    </row>
    <row r="476" spans="2:5">
      <c r="B476" s="495"/>
      <c r="C476" s="513"/>
      <c r="D476" s="513"/>
      <c r="E476" s="232"/>
    </row>
    <row r="477" spans="2:5">
      <c r="B477" s="495"/>
      <c r="C477" s="513"/>
      <c r="D477" s="513"/>
      <c r="E477" s="232"/>
    </row>
    <row r="478" spans="2:5">
      <c r="B478" s="495"/>
      <c r="C478" s="513"/>
      <c r="D478" s="513"/>
      <c r="E478" s="232"/>
    </row>
    <row r="479" spans="2:5">
      <c r="B479" s="495"/>
      <c r="C479" s="513"/>
      <c r="D479" s="513"/>
      <c r="E479" s="232"/>
    </row>
    <row r="480" spans="2:5">
      <c r="B480" s="495"/>
      <c r="C480" s="513"/>
      <c r="D480" s="513"/>
      <c r="E480" s="232"/>
    </row>
    <row r="481" spans="2:5">
      <c r="B481" s="495"/>
      <c r="C481" s="513"/>
      <c r="D481" s="513"/>
      <c r="E481" s="232"/>
    </row>
    <row r="482" spans="2:5">
      <c r="B482" s="495"/>
      <c r="C482" s="513"/>
      <c r="D482" s="513"/>
      <c r="E482" s="232"/>
    </row>
    <row r="483" spans="2:5">
      <c r="B483" s="495"/>
      <c r="C483" s="513"/>
      <c r="D483" s="513"/>
      <c r="E483" s="232"/>
    </row>
    <row r="484" spans="2:5">
      <c r="B484" s="495"/>
      <c r="C484" s="513"/>
      <c r="D484" s="513"/>
      <c r="E484" s="232"/>
    </row>
    <row r="485" spans="2:5">
      <c r="B485" s="495"/>
      <c r="C485" s="513"/>
      <c r="D485" s="513"/>
      <c r="E485" s="232"/>
    </row>
    <row r="486" spans="2:5">
      <c r="B486" s="495"/>
      <c r="C486" s="513"/>
      <c r="D486" s="513"/>
      <c r="E486" s="232"/>
    </row>
    <row r="487" spans="2:5">
      <c r="B487" s="495"/>
      <c r="C487" s="513"/>
      <c r="D487" s="513"/>
      <c r="E487" s="232"/>
    </row>
    <row r="488" spans="2:5">
      <c r="B488" s="495"/>
      <c r="C488" s="513"/>
      <c r="D488" s="513"/>
      <c r="E488" s="232"/>
    </row>
    <row r="489" spans="2:5">
      <c r="B489" s="495"/>
      <c r="C489" s="513"/>
      <c r="D489" s="513"/>
      <c r="E489" s="232"/>
    </row>
    <row r="490" spans="2:5">
      <c r="B490" s="495"/>
      <c r="C490" s="513"/>
      <c r="D490" s="513"/>
      <c r="E490" s="232"/>
    </row>
    <row r="491" spans="2:5">
      <c r="B491" s="495"/>
      <c r="C491" s="513"/>
      <c r="D491" s="513"/>
      <c r="E491" s="232"/>
    </row>
    <row r="492" spans="2:5">
      <c r="B492" s="495"/>
      <c r="C492" s="513"/>
      <c r="D492" s="513"/>
      <c r="E492" s="232"/>
    </row>
    <row r="493" spans="2:5">
      <c r="B493" s="495"/>
      <c r="C493" s="513"/>
      <c r="D493" s="513"/>
      <c r="E493" s="232"/>
    </row>
    <row r="494" spans="2:5">
      <c r="B494" s="495"/>
      <c r="C494" s="513"/>
      <c r="D494" s="513"/>
      <c r="E494" s="232"/>
    </row>
    <row r="495" spans="2:5">
      <c r="B495" s="495"/>
      <c r="C495" s="513"/>
      <c r="D495" s="513"/>
      <c r="E495" s="232"/>
    </row>
    <row r="496" spans="2:5">
      <c r="B496" s="495"/>
      <c r="C496" s="513"/>
      <c r="D496" s="513"/>
      <c r="E496" s="232"/>
    </row>
    <row r="497" spans="2:5">
      <c r="B497" s="495"/>
      <c r="C497" s="513"/>
      <c r="D497" s="513"/>
      <c r="E497" s="513"/>
    </row>
    <row r="498" spans="2:5">
      <c r="B498" s="495"/>
      <c r="C498" s="513"/>
      <c r="D498" s="513"/>
      <c r="E498" s="513"/>
    </row>
    <row r="499" spans="2:5">
      <c r="B499" s="495"/>
      <c r="C499" s="513"/>
      <c r="D499" s="513"/>
      <c r="E499" s="513"/>
    </row>
    <row r="500" spans="2:5">
      <c r="B500" s="495"/>
      <c r="C500" s="513"/>
      <c r="D500" s="513"/>
      <c r="E500" s="513"/>
    </row>
    <row r="501" spans="2:5">
      <c r="B501" s="495"/>
      <c r="C501" s="513"/>
      <c r="D501" s="513"/>
      <c r="E501" s="513"/>
    </row>
    <row r="502" spans="2:5">
      <c r="B502" s="495"/>
      <c r="C502" s="513"/>
      <c r="D502" s="513"/>
      <c r="E502" s="513"/>
    </row>
    <row r="503" spans="2:5">
      <c r="B503" s="495"/>
      <c r="C503" s="513"/>
      <c r="D503" s="513"/>
      <c r="E503" s="513"/>
    </row>
    <row r="504" spans="2:5">
      <c r="B504" s="495"/>
      <c r="C504" s="513"/>
      <c r="D504" s="513"/>
      <c r="E504" s="513"/>
    </row>
    <row r="505" spans="2:5">
      <c r="B505" s="495"/>
      <c r="C505" s="513"/>
      <c r="D505" s="513"/>
      <c r="E505" s="513"/>
    </row>
    <row r="506" spans="2:5">
      <c r="B506" s="495"/>
      <c r="C506" s="513"/>
      <c r="D506" s="513"/>
      <c r="E506" s="513"/>
    </row>
    <row r="507" spans="2:5">
      <c r="B507" s="495"/>
      <c r="C507" s="513"/>
      <c r="D507" s="513"/>
      <c r="E507" s="513"/>
    </row>
    <row r="508" spans="2:5">
      <c r="B508" s="495"/>
      <c r="C508" s="513"/>
      <c r="D508" s="513"/>
      <c r="E508" s="513"/>
    </row>
    <row r="509" spans="2:5">
      <c r="B509" s="495"/>
    </row>
    <row r="510" spans="2:5">
      <c r="B510" s="495"/>
    </row>
    <row r="511" spans="2:5">
      <c r="B511" s="495"/>
    </row>
    <row r="512" spans="2:5">
      <c r="B512" s="495"/>
    </row>
    <row r="513" spans="2:2">
      <c r="B513" s="495"/>
    </row>
    <row r="514" spans="2:2">
      <c r="B514" s="495"/>
    </row>
    <row r="515" spans="2:2">
      <c r="B515" s="495"/>
    </row>
    <row r="516" spans="2:2">
      <c r="B516" s="495"/>
    </row>
    <row r="517" spans="2:2">
      <c r="B517" s="495"/>
    </row>
    <row r="518" spans="2:2">
      <c r="B518" s="495"/>
    </row>
    <row r="519" spans="2:2">
      <c r="B519" s="495"/>
    </row>
    <row r="520" spans="2:2">
      <c r="B520" s="495"/>
    </row>
    <row r="521" spans="2:2">
      <c r="B521" s="495"/>
    </row>
    <row r="522" spans="2:2">
      <c r="B522" s="495"/>
    </row>
    <row r="523" spans="2:2">
      <c r="B523" s="495"/>
    </row>
    <row r="524" spans="2:2">
      <c r="B524" s="495"/>
    </row>
    <row r="525" spans="2:2">
      <c r="B525" s="495"/>
    </row>
    <row r="526" spans="2:2">
      <c r="B526" s="495"/>
    </row>
    <row r="527" spans="2:2">
      <c r="B527" s="495"/>
    </row>
    <row r="528" spans="2:2">
      <c r="B528" s="495"/>
    </row>
    <row r="529" spans="2:2">
      <c r="B529" s="495"/>
    </row>
    <row r="530" spans="2:2">
      <c r="B530" s="495"/>
    </row>
    <row r="531" spans="2:2">
      <c r="B531" s="495"/>
    </row>
    <row r="532" spans="2:2">
      <c r="B532" s="495"/>
    </row>
    <row r="533" spans="2:2">
      <c r="B533" s="495"/>
    </row>
    <row r="534" spans="2:2">
      <c r="B534" s="495"/>
    </row>
    <row r="535" spans="2:2">
      <c r="B535" s="495"/>
    </row>
    <row r="536" spans="2:2">
      <c r="B536" s="495"/>
    </row>
    <row r="537" spans="2:2">
      <c r="B537" s="495"/>
    </row>
    <row r="538" spans="2:2">
      <c r="B538" s="495"/>
    </row>
    <row r="539" spans="2:2">
      <c r="B539" s="495"/>
    </row>
    <row r="540" spans="2:2">
      <c r="B540" s="495"/>
    </row>
    <row r="541" spans="2:2">
      <c r="B541" s="495"/>
    </row>
    <row r="542" spans="2:2">
      <c r="B542" s="495"/>
    </row>
    <row r="543" spans="2:2">
      <c r="B543" s="495"/>
    </row>
    <row r="544" spans="2:2">
      <c r="B544" s="495"/>
    </row>
    <row r="545" spans="2:2">
      <c r="B545" s="495"/>
    </row>
    <row r="546" spans="2:2">
      <c r="B546" s="495"/>
    </row>
    <row r="547" spans="2:2">
      <c r="B547" s="495"/>
    </row>
    <row r="548" spans="2:2">
      <c r="B548" s="495"/>
    </row>
    <row r="549" spans="2:2">
      <c r="B549" s="495"/>
    </row>
    <row r="550" spans="2:2">
      <c r="B550" s="495"/>
    </row>
    <row r="551" spans="2:2">
      <c r="B551" s="495"/>
    </row>
    <row r="552" spans="2:2">
      <c r="B552" s="495"/>
    </row>
    <row r="553" spans="2:2">
      <c r="B553" s="495"/>
    </row>
    <row r="554" spans="2:2">
      <c r="B554" s="495"/>
    </row>
    <row r="555" spans="2:2">
      <c r="B555" s="495"/>
    </row>
    <row r="556" spans="2:2">
      <c r="B556" s="495"/>
    </row>
    <row r="557" spans="2:2">
      <c r="B557" s="495"/>
    </row>
    <row r="558" spans="2:2">
      <c r="B558" s="495"/>
    </row>
    <row r="559" spans="2:2">
      <c r="B559" s="495"/>
    </row>
    <row r="560" spans="2:2">
      <c r="B560" s="495"/>
    </row>
    <row r="561" spans="2:2">
      <c r="B561" s="495"/>
    </row>
    <row r="562" spans="2:2">
      <c r="B562" s="495"/>
    </row>
    <row r="563" spans="2:2">
      <c r="B563" s="495"/>
    </row>
    <row r="564" spans="2:2">
      <c r="B564" s="495"/>
    </row>
    <row r="565" spans="2:2">
      <c r="B565" s="495"/>
    </row>
    <row r="566" spans="2:2">
      <c r="B566" s="495"/>
    </row>
    <row r="567" spans="2:2">
      <c r="B567" s="495"/>
    </row>
    <row r="568" spans="2:2">
      <c r="B568" s="495"/>
    </row>
    <row r="569" spans="2:2">
      <c r="B569" s="495"/>
    </row>
    <row r="570" spans="2:2">
      <c r="B570" s="495"/>
    </row>
    <row r="571" spans="2:2">
      <c r="B571" s="495"/>
    </row>
    <row r="572" spans="2:2">
      <c r="B572" s="495"/>
    </row>
    <row r="573" spans="2:2">
      <c r="B573" s="495"/>
    </row>
    <row r="574" spans="2:2">
      <c r="B574" s="495"/>
    </row>
    <row r="575" spans="2:2">
      <c r="B575" s="495"/>
    </row>
    <row r="576" spans="2:2">
      <c r="B576" s="495"/>
    </row>
    <row r="577" spans="2:2">
      <c r="B577" s="495"/>
    </row>
    <row r="578" spans="2:2">
      <c r="B578" s="495"/>
    </row>
    <row r="579" spans="2:2">
      <c r="B579" s="495"/>
    </row>
    <row r="580" spans="2:2">
      <c r="B580" s="495"/>
    </row>
    <row r="581" spans="2:2">
      <c r="B581" s="495"/>
    </row>
    <row r="582" spans="2:2">
      <c r="B582" s="495"/>
    </row>
    <row r="583" spans="2:2">
      <c r="B583" s="495"/>
    </row>
    <row r="584" spans="2:2">
      <c r="B584" s="495"/>
    </row>
    <row r="585" spans="2:2">
      <c r="B585" s="495"/>
    </row>
    <row r="586" spans="2:2">
      <c r="B586" s="495"/>
    </row>
    <row r="587" spans="2:2">
      <c r="B587" s="495"/>
    </row>
    <row r="588" spans="2:2">
      <c r="B588" s="495"/>
    </row>
    <row r="589" spans="2:2">
      <c r="B589" s="495"/>
    </row>
    <row r="590" spans="2:2">
      <c r="B590" s="495"/>
    </row>
    <row r="591" spans="2:2">
      <c r="B591" s="495"/>
    </row>
    <row r="592" spans="2:2">
      <c r="B592" s="495"/>
    </row>
    <row r="593" spans="2:2">
      <c r="B593" s="495"/>
    </row>
    <row r="594" spans="2:2">
      <c r="B594" s="495"/>
    </row>
    <row r="595" spans="2:2">
      <c r="B595" s="495"/>
    </row>
    <row r="596" spans="2:2">
      <c r="B596" s="495"/>
    </row>
    <row r="597" spans="2:2">
      <c r="B597" s="495"/>
    </row>
    <row r="598" spans="2:2">
      <c r="B598" s="495"/>
    </row>
    <row r="599" spans="2:2">
      <c r="B599" s="495"/>
    </row>
    <row r="600" spans="2:2">
      <c r="B600" s="495"/>
    </row>
    <row r="601" spans="2:2">
      <c r="B601" s="495"/>
    </row>
    <row r="602" spans="2:2">
      <c r="B602" s="495"/>
    </row>
    <row r="603" spans="2:2">
      <c r="B603" s="495"/>
    </row>
    <row r="604" spans="2:2">
      <c r="B604" s="495"/>
    </row>
    <row r="605" spans="2:2">
      <c r="B605" s="495"/>
    </row>
    <row r="606" spans="2:2">
      <c r="B606" s="495"/>
    </row>
    <row r="607" spans="2:2">
      <c r="B607" s="495"/>
    </row>
    <row r="608" spans="2:2">
      <c r="B608" s="495"/>
    </row>
    <row r="609" spans="2:2">
      <c r="B609" s="495"/>
    </row>
    <row r="610" spans="2:2">
      <c r="B610" s="495"/>
    </row>
    <row r="611" spans="2:2">
      <c r="B611" s="495"/>
    </row>
    <row r="612" spans="2:2">
      <c r="B612" s="495"/>
    </row>
    <row r="613" spans="2:2">
      <c r="B613" s="495"/>
    </row>
    <row r="614" spans="2:2">
      <c r="B614" s="495"/>
    </row>
    <row r="615" spans="2:2">
      <c r="B615" s="495"/>
    </row>
    <row r="616" spans="2:2">
      <c r="B616" s="495"/>
    </row>
    <row r="617" spans="2:2">
      <c r="B617" s="495"/>
    </row>
    <row r="618" spans="2:2">
      <c r="B618" s="495"/>
    </row>
    <row r="619" spans="2:2">
      <c r="B619" s="495"/>
    </row>
    <row r="620" spans="2:2">
      <c r="B620" s="495"/>
    </row>
    <row r="621" spans="2:2">
      <c r="B621" s="495"/>
    </row>
    <row r="622" spans="2:2">
      <c r="B622" s="495"/>
    </row>
    <row r="623" spans="2:2">
      <c r="B623" s="495"/>
    </row>
  </sheetData>
  <mergeCells count="1">
    <mergeCell ref="A289:G29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K175"/>
  <sheetViews>
    <sheetView workbookViewId="0">
      <selection activeCell="F16" sqref="F16"/>
    </sheetView>
  </sheetViews>
  <sheetFormatPr defaultColWidth="8.85546875" defaultRowHeight="12.75"/>
  <cols>
    <col min="1" max="1" width="28.85546875" style="1" customWidth="1"/>
    <col min="2" max="2" width="9.7109375" style="1" bestFit="1" customWidth="1"/>
    <col min="3" max="3" width="5.42578125" style="1" bestFit="1" customWidth="1"/>
    <col min="4" max="4" width="11.28515625" style="1" bestFit="1" customWidth="1"/>
    <col min="5" max="5" width="8" style="1" bestFit="1" customWidth="1"/>
    <col min="6" max="6" width="10" style="1" bestFit="1" customWidth="1"/>
    <col min="7" max="7" width="13.28515625" style="1" bestFit="1" customWidth="1"/>
    <col min="8" max="16384" width="8.85546875" style="1"/>
  </cols>
  <sheetData>
    <row r="1" spans="1:11">
      <c r="A1" s="17" t="str">
        <f>RevReqSummary!A1</f>
        <v>PacifiCorp General Rate Case UE-140617</v>
      </c>
      <c r="B1" s="232"/>
      <c r="C1" s="232"/>
      <c r="D1" s="232"/>
      <c r="E1" s="232"/>
      <c r="F1" s="232"/>
      <c r="G1" s="232"/>
      <c r="H1" s="484"/>
      <c r="I1" s="483"/>
      <c r="J1" s="483"/>
      <c r="K1" s="483"/>
    </row>
    <row r="2" spans="1:11">
      <c r="A2" s="17" t="str">
        <f>RevReqSummary!A2</f>
        <v>For The Twelve Months Ended December 2013 - Staff Revenue Requirement</v>
      </c>
      <c r="B2" s="232"/>
      <c r="C2" s="232"/>
      <c r="D2" s="232"/>
      <c r="E2" s="232"/>
      <c r="F2" s="232"/>
      <c r="G2" s="232"/>
      <c r="H2" s="484"/>
      <c r="I2" s="483"/>
      <c r="J2" s="483"/>
      <c r="K2" s="483"/>
    </row>
    <row r="3" spans="1:11">
      <c r="A3" s="235" t="s">
        <v>606</v>
      </c>
      <c r="B3" s="232"/>
      <c r="C3" s="232"/>
      <c r="D3" s="232"/>
      <c r="E3" s="232"/>
      <c r="F3" s="232"/>
      <c r="G3" s="232"/>
      <c r="H3" s="484"/>
      <c r="I3" s="483"/>
      <c r="J3" s="483"/>
      <c r="K3" s="483"/>
    </row>
    <row r="4" spans="1:11">
      <c r="A4" s="485" t="s">
        <v>607</v>
      </c>
      <c r="B4" s="232"/>
      <c r="C4" s="232"/>
      <c r="D4" s="232"/>
      <c r="E4" s="232"/>
      <c r="F4" s="232"/>
      <c r="G4" s="232"/>
      <c r="H4" s="484"/>
      <c r="I4" s="483"/>
      <c r="J4" s="483"/>
      <c r="K4" s="483"/>
    </row>
    <row r="5" spans="1:11">
      <c r="A5" s="483"/>
      <c r="B5" s="232"/>
      <c r="C5" s="232"/>
      <c r="D5" s="232"/>
      <c r="E5" s="232"/>
      <c r="F5" s="232"/>
      <c r="G5" s="232"/>
      <c r="H5" s="484"/>
      <c r="I5" s="483"/>
      <c r="J5" s="483"/>
      <c r="K5" s="483"/>
    </row>
    <row r="6" spans="1:11">
      <c r="A6" s="483"/>
      <c r="B6" s="23"/>
      <c r="C6" s="23"/>
      <c r="D6" s="23" t="s">
        <v>131</v>
      </c>
      <c r="E6" s="23"/>
      <c r="F6" s="23"/>
      <c r="G6" s="23" t="s">
        <v>236</v>
      </c>
      <c r="H6" s="484"/>
      <c r="I6" s="483"/>
      <c r="J6" s="483"/>
      <c r="K6" s="483"/>
    </row>
    <row r="7" spans="1:11">
      <c r="A7" s="483"/>
      <c r="B7" s="26" t="s">
        <v>132</v>
      </c>
      <c r="C7" s="26" t="s">
        <v>660</v>
      </c>
      <c r="D7" s="26" t="s">
        <v>134</v>
      </c>
      <c r="E7" s="26" t="s">
        <v>135</v>
      </c>
      <c r="F7" s="26" t="s">
        <v>136</v>
      </c>
      <c r="G7" s="26" t="s">
        <v>137</v>
      </c>
      <c r="H7" s="486"/>
      <c r="I7" s="483"/>
      <c r="J7" s="483"/>
      <c r="K7" s="483"/>
    </row>
    <row r="8" spans="1:11">
      <c r="A8" s="240" t="s">
        <v>222</v>
      </c>
      <c r="B8" s="241"/>
      <c r="C8" s="241"/>
      <c r="D8" s="241"/>
      <c r="E8" s="241"/>
      <c r="F8" s="241"/>
      <c r="G8" s="487"/>
      <c r="H8" s="254"/>
      <c r="I8" s="483"/>
      <c r="J8" s="483"/>
      <c r="K8" s="483"/>
    </row>
    <row r="9" spans="1:11">
      <c r="A9" s="488"/>
      <c r="B9" s="241"/>
      <c r="C9" s="241"/>
      <c r="D9" s="489"/>
      <c r="E9" s="241"/>
      <c r="F9" s="490"/>
      <c r="G9" s="490"/>
      <c r="H9" s="163"/>
      <c r="I9" s="491"/>
      <c r="J9" s="491"/>
      <c r="K9" s="491"/>
    </row>
    <row r="10" spans="1:11">
      <c r="A10" s="1043" t="s">
        <v>606</v>
      </c>
      <c r="B10" s="241" t="s">
        <v>188</v>
      </c>
      <c r="C10" s="241" t="s">
        <v>140</v>
      </c>
      <c r="D10" s="1332">
        <v>31018483.084840588</v>
      </c>
      <c r="E10" s="492" t="s">
        <v>141</v>
      </c>
      <c r="F10" s="493">
        <f>INDEX(WCAAllocations,IFERROR(MATCH(E10,WCAFactors,0),2),IFERROR(MATCH(E10,WCAStates,0),4))</f>
        <v>1</v>
      </c>
      <c r="G10" s="494">
        <f>+D10</f>
        <v>31018483.084840588</v>
      </c>
      <c r="H10" s="163"/>
      <c r="I10" s="491"/>
      <c r="J10" s="491"/>
      <c r="K10" s="491"/>
    </row>
    <row r="11" spans="1:11">
      <c r="A11" s="488"/>
      <c r="B11" s="241"/>
      <c r="C11" s="241"/>
      <c r="D11" s="489"/>
      <c r="E11" s="492"/>
      <c r="F11" s="490"/>
      <c r="G11" s="490"/>
      <c r="H11" s="163"/>
      <c r="I11" s="491"/>
      <c r="J11" s="491"/>
      <c r="K11" s="491"/>
    </row>
    <row r="12" spans="1:11">
      <c r="A12" s="488"/>
      <c r="B12" s="241"/>
      <c r="C12" s="241"/>
      <c r="D12" s="489"/>
      <c r="E12" s="492"/>
      <c r="F12" s="490"/>
      <c r="G12" s="490"/>
      <c r="H12" s="163"/>
      <c r="I12" s="491"/>
      <c r="J12" s="491"/>
      <c r="K12" s="491"/>
    </row>
    <row r="13" spans="1:11">
      <c r="A13" s="248" t="s">
        <v>145</v>
      </c>
      <c r="B13" s="241"/>
      <c r="C13" s="241"/>
      <c r="D13" s="489"/>
      <c r="E13" s="492"/>
      <c r="F13" s="490"/>
      <c r="G13" s="490"/>
      <c r="H13" s="163"/>
      <c r="I13" s="491"/>
      <c r="J13" s="491"/>
      <c r="K13" s="491"/>
    </row>
    <row r="14" spans="1:11" ht="13.15" customHeight="1">
      <c r="A14" s="1416" t="s">
        <v>784</v>
      </c>
      <c r="B14" s="1416"/>
      <c r="C14" s="1416"/>
      <c r="D14" s="1416"/>
      <c r="E14" s="1416"/>
      <c r="F14" s="1416"/>
      <c r="G14" s="1416"/>
      <c r="H14" s="1331"/>
      <c r="I14" s="1331"/>
    </row>
    <row r="15" spans="1:11" ht="13.15" customHeight="1">
      <c r="A15" s="1416"/>
      <c r="B15" s="1416"/>
      <c r="C15" s="1416"/>
      <c r="D15" s="1416"/>
      <c r="E15" s="1416"/>
      <c r="F15" s="1416"/>
      <c r="G15" s="1416"/>
      <c r="H15" s="1331"/>
      <c r="I15" s="1331"/>
    </row>
    <row r="16" spans="1:11" ht="13.15" customHeight="1">
      <c r="A16" s="1416"/>
      <c r="B16" s="1416"/>
      <c r="C16" s="1416"/>
      <c r="D16" s="1416"/>
      <c r="E16" s="1416"/>
      <c r="F16" s="1416"/>
      <c r="G16" s="1416"/>
      <c r="H16" s="1331"/>
      <c r="I16" s="1331"/>
    </row>
    <row r="17" spans="1:9" ht="13.15" customHeight="1">
      <c r="A17" s="1416"/>
      <c r="B17" s="1416"/>
      <c r="C17" s="1416"/>
      <c r="D17" s="1416"/>
      <c r="E17" s="1416"/>
      <c r="F17" s="1416"/>
      <c r="G17" s="1416"/>
      <c r="H17" s="1331"/>
      <c r="I17" s="1331"/>
    </row>
    <row r="18" spans="1:9">
      <c r="A18" s="1416"/>
      <c r="B18" s="1416"/>
      <c r="C18" s="1416"/>
      <c r="D18" s="1416"/>
      <c r="E18" s="1416"/>
      <c r="F18" s="1416"/>
      <c r="G18" s="1416"/>
      <c r="H18" s="1331"/>
      <c r="I18" s="1331"/>
    </row>
    <row r="19" spans="1:9">
      <c r="A19" s="1416"/>
      <c r="B19" s="1416"/>
      <c r="C19" s="1416"/>
      <c r="D19" s="1416"/>
      <c r="E19" s="1416"/>
      <c r="F19" s="1416"/>
      <c r="G19" s="1416"/>
      <c r="H19" s="1331"/>
      <c r="I19" s="1331"/>
    </row>
    <row r="20" spans="1:9">
      <c r="A20" s="1416"/>
      <c r="B20" s="1416"/>
      <c r="C20" s="1416"/>
      <c r="D20" s="1416"/>
      <c r="E20" s="1416"/>
      <c r="F20" s="1416"/>
      <c r="G20" s="1416"/>
      <c r="H20" s="1331"/>
      <c r="I20" s="1331"/>
    </row>
    <row r="21" spans="1:9">
      <c r="A21" s="1416"/>
      <c r="B21" s="1416"/>
      <c r="C21" s="1416"/>
      <c r="D21" s="1416"/>
      <c r="E21" s="1416"/>
      <c r="F21" s="1416"/>
      <c r="G21" s="1416"/>
      <c r="H21" s="1331"/>
      <c r="I21" s="1331"/>
    </row>
    <row r="22" spans="1:9">
      <c r="A22" s="1331"/>
      <c r="B22" s="1331"/>
      <c r="C22" s="1331"/>
      <c r="D22" s="1331"/>
      <c r="E22" s="1331"/>
      <c r="F22" s="1331"/>
      <c r="G22" s="1331"/>
      <c r="H22" s="1331"/>
      <c r="I22" s="1331"/>
    </row>
    <row r="23" spans="1:9">
      <c r="A23" s="1331"/>
      <c r="B23" s="1331"/>
      <c r="C23" s="1331"/>
      <c r="D23" s="1331"/>
      <c r="E23" s="1331"/>
      <c r="F23" s="1331"/>
      <c r="G23" s="1331"/>
      <c r="H23" s="1331"/>
      <c r="I23" s="1331"/>
    </row>
    <row r="25" spans="1:9">
      <c r="B25" s="495"/>
    </row>
    <row r="26" spans="1:9">
      <c r="B26" s="495"/>
    </row>
    <row r="27" spans="1:9">
      <c r="B27" s="495"/>
      <c r="E27" s="122"/>
    </row>
    <row r="28" spans="1:9">
      <c r="B28" s="495"/>
    </row>
    <row r="29" spans="1:9">
      <c r="B29" s="495"/>
    </row>
    <row r="30" spans="1:9">
      <c r="B30" s="495"/>
    </row>
    <row r="31" spans="1:9">
      <c r="B31" s="495"/>
    </row>
    <row r="32" spans="1:9">
      <c r="B32" s="495"/>
    </row>
    <row r="33" spans="2:2">
      <c r="B33" s="495"/>
    </row>
    <row r="34" spans="2:2">
      <c r="B34" s="495"/>
    </row>
    <row r="35" spans="2:2">
      <c r="B35" s="495"/>
    </row>
    <row r="36" spans="2:2">
      <c r="B36" s="495"/>
    </row>
    <row r="37" spans="2:2">
      <c r="B37" s="495"/>
    </row>
    <row r="38" spans="2:2">
      <c r="B38" s="495"/>
    </row>
    <row r="39" spans="2:2">
      <c r="B39" s="495"/>
    </row>
    <row r="40" spans="2:2">
      <c r="B40" s="495"/>
    </row>
    <row r="41" spans="2:2">
      <c r="B41" s="495"/>
    </row>
    <row r="42" spans="2:2">
      <c r="B42" s="495"/>
    </row>
    <row r="43" spans="2:2">
      <c r="B43" s="495"/>
    </row>
    <row r="44" spans="2:2">
      <c r="B44" s="495"/>
    </row>
    <row r="45" spans="2:2">
      <c r="B45" s="495"/>
    </row>
    <row r="46" spans="2:2">
      <c r="B46" s="495"/>
    </row>
    <row r="47" spans="2:2">
      <c r="B47" s="495"/>
    </row>
    <row r="48" spans="2:2">
      <c r="B48" s="495"/>
    </row>
    <row r="49" spans="2:2">
      <c r="B49" s="495"/>
    </row>
    <row r="50" spans="2:2">
      <c r="B50" s="495"/>
    </row>
    <row r="51" spans="2:2">
      <c r="B51" s="495"/>
    </row>
    <row r="52" spans="2:2">
      <c r="B52" s="495"/>
    </row>
    <row r="53" spans="2:2">
      <c r="B53" s="495"/>
    </row>
    <row r="54" spans="2:2">
      <c r="B54" s="495"/>
    </row>
    <row r="55" spans="2:2">
      <c r="B55" s="495"/>
    </row>
    <row r="56" spans="2:2">
      <c r="B56" s="495"/>
    </row>
    <row r="57" spans="2:2">
      <c r="B57" s="495"/>
    </row>
    <row r="58" spans="2:2">
      <c r="B58" s="495"/>
    </row>
    <row r="59" spans="2:2">
      <c r="B59" s="495"/>
    </row>
    <row r="60" spans="2:2">
      <c r="B60" s="495"/>
    </row>
    <row r="61" spans="2:2">
      <c r="B61" s="495"/>
    </row>
    <row r="62" spans="2:2">
      <c r="B62" s="495"/>
    </row>
    <row r="63" spans="2:2">
      <c r="B63" s="495"/>
    </row>
    <row r="64" spans="2:2">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sheetData>
  <mergeCells count="1">
    <mergeCell ref="A14:G21"/>
  </mergeCell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CZ92"/>
  <sheetViews>
    <sheetView topLeftCell="A9" workbookViewId="0">
      <selection activeCell="F16" sqref="F16"/>
    </sheetView>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0.85546875" style="4" bestFit="1"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7" t="str">
        <f>RevReqSummary!A1</f>
        <v>PacifiCorp General Rate Case UE-140617</v>
      </c>
      <c r="C1" s="8"/>
      <c r="E1" s="8"/>
      <c r="F1" s="1394"/>
      <c r="G1" s="1394"/>
      <c r="H1" s="1394"/>
      <c r="I1" s="1394"/>
      <c r="J1" s="1109"/>
      <c r="K1" s="1109"/>
      <c r="L1" s="1109"/>
    </row>
    <row r="2" spans="1:104">
      <c r="A2" s="17" t="str">
        <f>RevReqSummary!A2</f>
        <v>For The Twelve Months Ended December 2013 - Staff Revenue Requirement</v>
      </c>
      <c r="C2" s="8"/>
      <c r="D2" s="1089"/>
      <c r="E2" s="8"/>
      <c r="F2" s="1394"/>
      <c r="G2" s="1394"/>
      <c r="H2" s="1394"/>
      <c r="I2" s="1394"/>
      <c r="J2" s="1109"/>
      <c r="K2" s="1109"/>
      <c r="L2" s="1109"/>
    </row>
    <row r="3" spans="1:104">
      <c r="A3" s="17" t="s">
        <v>1095</v>
      </c>
      <c r="C3" s="8"/>
      <c r="D3" s="1089"/>
      <c r="E3" s="8"/>
      <c r="F3" s="1109"/>
      <c r="G3" s="1109"/>
      <c r="H3" s="1109"/>
      <c r="I3" s="1109"/>
      <c r="J3" s="1109"/>
      <c r="K3" s="1109"/>
      <c r="L3" s="1109"/>
    </row>
    <row r="4" spans="1:104" s="1090" customFormat="1">
      <c r="C4" s="1091" t="s">
        <v>1017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150000000000006" customHeight="1">
      <c r="B5" s="1111"/>
      <c r="C5" s="1115"/>
      <c r="D5" s="1116" t="s">
        <v>126</v>
      </c>
      <c r="E5" s="1116" t="s">
        <v>395</v>
      </c>
      <c r="F5" s="1116" t="s">
        <v>239</v>
      </c>
      <c r="G5" s="1116" t="s">
        <v>1015</v>
      </c>
      <c r="H5" s="1117" t="s">
        <v>617</v>
      </c>
      <c r="I5" s="1115" t="s">
        <v>129</v>
      </c>
      <c r="J5" s="1115" t="s">
        <v>457</v>
      </c>
      <c r="K5" s="1115" t="s">
        <v>522</v>
      </c>
      <c r="L5" s="1115" t="s">
        <v>666</v>
      </c>
      <c r="M5" s="1115" t="s">
        <v>382</v>
      </c>
      <c r="N5" s="1115" t="s">
        <v>609</v>
      </c>
      <c r="O5" s="1115" t="s">
        <v>1041</v>
      </c>
      <c r="P5" s="1115" t="s">
        <v>529</v>
      </c>
      <c r="Q5" s="1115" t="s">
        <v>125</v>
      </c>
      <c r="R5" s="1118" t="s">
        <v>340</v>
      </c>
      <c r="S5" s="1115" t="s">
        <v>403</v>
      </c>
      <c r="T5" s="1118" t="s">
        <v>531</v>
      </c>
      <c r="U5" s="1115" t="s">
        <v>452</v>
      </c>
      <c r="V5" s="1115" t="s">
        <v>543</v>
      </c>
      <c r="W5" s="1118" t="s">
        <v>610</v>
      </c>
      <c r="X5" s="1115" t="s">
        <v>668</v>
      </c>
      <c r="Y5" s="1115" t="s">
        <v>667</v>
      </c>
      <c r="Z5" s="1117" t="s">
        <v>1042</v>
      </c>
      <c r="AA5" s="1117" t="s">
        <v>1043</v>
      </c>
      <c r="AB5" s="1117" t="s">
        <v>360</v>
      </c>
      <c r="AC5" s="1115" t="s">
        <v>123</v>
      </c>
      <c r="AD5" s="1118" t="s">
        <v>122</v>
      </c>
      <c r="AE5" s="1115" t="s">
        <v>1011</v>
      </c>
      <c r="AF5" s="1115" t="s">
        <v>577</v>
      </c>
      <c r="AG5" s="1115" t="s">
        <v>1012</v>
      </c>
      <c r="AH5" s="1118" t="s">
        <v>618</v>
      </c>
      <c r="AI5" s="1115" t="s">
        <v>579</v>
      </c>
      <c r="AJ5" s="1115" t="s">
        <v>121</v>
      </c>
      <c r="AK5" s="1115" t="s">
        <v>614</v>
      </c>
      <c r="AL5" s="1115" t="s">
        <v>581</v>
      </c>
      <c r="AM5" s="1115" t="s">
        <v>1044</v>
      </c>
      <c r="AN5" s="1115" t="s">
        <v>464</v>
      </c>
      <c r="AO5" s="1115" t="s">
        <v>453</v>
      </c>
      <c r="AP5" s="1118" t="s">
        <v>421</v>
      </c>
      <c r="AQ5" s="1118" t="s">
        <v>381</v>
      </c>
      <c r="AR5" s="1115" t="s">
        <v>269</v>
      </c>
      <c r="AS5" s="1118" t="s">
        <v>418</v>
      </c>
      <c r="AT5" s="1115" t="s">
        <v>1045</v>
      </c>
      <c r="AU5" s="1118" t="s">
        <v>120</v>
      </c>
      <c r="AV5" s="1115" t="s">
        <v>1046</v>
      </c>
      <c r="AW5" s="1115" t="s">
        <v>611</v>
      </c>
      <c r="AX5" s="1115" t="s">
        <v>54</v>
      </c>
      <c r="AY5" s="1115" t="s">
        <v>612</v>
      </c>
      <c r="AZ5" s="1115" t="s">
        <v>613</v>
      </c>
      <c r="BA5" s="1120" t="s">
        <v>599</v>
      </c>
      <c r="BB5" s="1120" t="s">
        <v>606</v>
      </c>
      <c r="BC5" s="1119" t="s">
        <v>465</v>
      </c>
      <c r="BD5" s="1119"/>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'Adjustments - restating'!D7+'Adjustments - Pro Forma'!D7</f>
        <v>-5692761.2699999996</v>
      </c>
      <c r="E7" s="1080">
        <f>'Adjustments - restating'!E7+'Adjustments - Pro Forma'!E7</f>
        <v>-7427584.4312790008</v>
      </c>
      <c r="F7" s="1080">
        <f>'Adjustments - restating'!F7+'Adjustments - Pro Forma'!F7</f>
        <v>17025824.820802085</v>
      </c>
      <c r="G7" s="1080">
        <f>'Adjustments - restating'!G7+'Adjustments - Pro Forma'!G7</f>
        <v>0</v>
      </c>
      <c r="H7" s="1080">
        <f>'Adjustments - restating'!H7+'Adjustments - Pro Forma'!H7</f>
        <v>0</v>
      </c>
      <c r="I7" s="1080">
        <f>'Adjustments - restating'!I7+'Adjustments - Pro Forma'!I7</f>
        <v>0</v>
      </c>
      <c r="J7" s="1080">
        <f>'Adjustments - restating'!J7+'Adjustments - Pro Forma'!J7</f>
        <v>0</v>
      </c>
      <c r="K7" s="1080">
        <f>'Adjustments - restating'!K7+'Adjustments - Pro Forma'!K7</f>
        <v>0</v>
      </c>
      <c r="L7" s="1080">
        <f>'Adjustments - restating'!L7+'Adjustments - Pro Forma'!L7</f>
        <v>0</v>
      </c>
      <c r="M7" s="1080">
        <f>'Adjustments - restating'!M7+'Adjustments - Pro Forma'!M7</f>
        <v>0</v>
      </c>
      <c r="N7" s="1080">
        <f>'Adjustments - restating'!N7+'Adjustments - Pro Forma'!N7</f>
        <v>0</v>
      </c>
      <c r="O7" s="1080">
        <f>'Adjustments - restating'!O7+'Adjustments - Pro Forma'!O7</f>
        <v>0</v>
      </c>
      <c r="P7" s="1080">
        <f>'Adjustments - restating'!P7+'Adjustments - Pro Forma'!P7</f>
        <v>0</v>
      </c>
      <c r="Q7" s="1080">
        <f>'Adjustments - restating'!Q7+'Adjustments - Pro Forma'!Q7</f>
        <v>0</v>
      </c>
      <c r="R7" s="1080">
        <f>'Adjustments - restating'!R7+'Adjustments - Pro Forma'!R7</f>
        <v>0</v>
      </c>
      <c r="S7" s="1080">
        <f>'Adjustments - restating'!S7+'Adjustments - Pro Forma'!S7</f>
        <v>0</v>
      </c>
      <c r="T7" s="1080">
        <f>'Adjustments - restating'!T7+'Adjustments - Pro Forma'!T7</f>
        <v>0</v>
      </c>
      <c r="U7" s="1080">
        <f>'Adjustments - restating'!U7+'Adjustments - Pro Forma'!U7</f>
        <v>0</v>
      </c>
      <c r="V7" s="1080">
        <f>'Adjustments - restating'!V7+'Adjustments - Pro Forma'!V7</f>
        <v>0</v>
      </c>
      <c r="W7" s="1080">
        <f>'Adjustments - restating'!W7+'Adjustments - Pro Forma'!W7</f>
        <v>0</v>
      </c>
      <c r="X7" s="1080">
        <f>'Adjustments - restating'!X7+'Adjustments - Pro Forma'!X7</f>
        <v>0</v>
      </c>
      <c r="Y7" s="1080">
        <f>'Adjustments - restating'!Y7+'Adjustments - Pro Forma'!Y7</f>
        <v>0</v>
      </c>
      <c r="Z7" s="1080">
        <f>'Adjustments - restating'!Z7+'Adjustments - Pro Forma'!Z7</f>
        <v>0</v>
      </c>
      <c r="AA7" s="1080">
        <f>'Adjustments - restating'!AA7+'Adjustments - Pro Forma'!AA7</f>
        <v>0</v>
      </c>
      <c r="AB7" s="1080">
        <f>'Adjustments - restating'!AB7+'Adjustments - Pro Forma'!AB7</f>
        <v>0</v>
      </c>
      <c r="AC7" s="1080">
        <f>'Adjustments - restating'!AC7+'Adjustments - Pro Forma'!AC7</f>
        <v>0</v>
      </c>
      <c r="AD7" s="1080">
        <f>'Adjustments - restating'!AD7+'Adjustments - Pro Forma'!AD7</f>
        <v>0</v>
      </c>
      <c r="AE7" s="1080">
        <f>'Adjustments - restating'!AE7+'Adjustments - Pro Forma'!AE7</f>
        <v>0</v>
      </c>
      <c r="AF7" s="1080">
        <f>'Adjustments - restating'!AF7+'Adjustments - Pro Forma'!AF7</f>
        <v>0</v>
      </c>
      <c r="AG7" s="1080">
        <f>'Adjustments - restating'!AG7+'Adjustments - Pro Forma'!AG7</f>
        <v>0</v>
      </c>
      <c r="AH7" s="1080">
        <f>'Adjustments - restating'!AH7+'Adjustments - Pro Forma'!AH7</f>
        <v>0</v>
      </c>
      <c r="AI7" s="1080">
        <f>'Adjustments - restating'!AI7+'Adjustments - Pro Forma'!AI7</f>
        <v>0</v>
      </c>
      <c r="AJ7" s="1080">
        <f>'Adjustments - restating'!AJ7+'Adjustments - Pro Forma'!AJ7</f>
        <v>0</v>
      </c>
      <c r="AK7" s="1080">
        <f>'Adjustments - restating'!AK7+'Adjustments - Pro Forma'!AK7</f>
        <v>0</v>
      </c>
      <c r="AL7" s="1080">
        <f>'Adjustments - restating'!AL7+'Adjustments - Pro Forma'!AL7</f>
        <v>0</v>
      </c>
      <c r="AM7" s="1080">
        <f>'Adjustments - restating'!AM7+'Adjustments - Pro Forma'!AM7</f>
        <v>0</v>
      </c>
      <c r="AN7" s="1080">
        <f>'Adjustments - restating'!AN7+'Adjustments - Pro Forma'!AN7</f>
        <v>0</v>
      </c>
      <c r="AO7" s="1080">
        <f>'Adjustments - restating'!AO7+'Adjustments - Pro Forma'!AO7</f>
        <v>0</v>
      </c>
      <c r="AP7" s="1080">
        <f>'Adjustments - restating'!AP7+'Adjustments - Pro Forma'!AP7</f>
        <v>0</v>
      </c>
      <c r="AQ7" s="1080">
        <f>'Adjustments - restating'!AQ7+'Adjustments - Pro Forma'!AQ7</f>
        <v>0</v>
      </c>
      <c r="AR7" s="1080">
        <f>'Adjustments - restating'!AR7+'Adjustments - Pro Forma'!AR7</f>
        <v>0</v>
      </c>
      <c r="AS7" s="1080">
        <f>'Adjustments - restating'!AS7+'Adjustments - Pro Forma'!AS7</f>
        <v>0</v>
      </c>
      <c r="AT7" s="1080">
        <f>'Adjustments - restating'!AT7+'Adjustments - Pro Forma'!AT7</f>
        <v>0</v>
      </c>
      <c r="AU7" s="1080">
        <f>'Adjustments - restating'!AU7+'Adjustments - Pro Forma'!AU7</f>
        <v>0</v>
      </c>
      <c r="AV7" s="1080">
        <f>'Adjustments - restating'!AV7+'Adjustments - Pro Forma'!AV7</f>
        <v>0</v>
      </c>
      <c r="AW7" s="1080">
        <f>'Adjustments - restating'!AW7+'Adjustments - Pro Forma'!AW7</f>
        <v>0</v>
      </c>
      <c r="AX7" s="1080">
        <f>'Adjustments - restating'!AX7+'Adjustments - Pro Forma'!AX7</f>
        <v>0</v>
      </c>
      <c r="AY7" s="1080">
        <f>'Adjustments - restating'!AY7+'Adjustments - Pro Forma'!AY7</f>
        <v>0</v>
      </c>
      <c r="AZ7" s="1080">
        <f>'Adjustments - restating'!AZ7+'Adjustments - Pro Forma'!AZ7</f>
        <v>0</v>
      </c>
      <c r="BA7" s="1080">
        <f>'Adjustments - restating'!BA7+'Adjustments - Pro Forma'!BA7</f>
        <v>0</v>
      </c>
      <c r="BB7" s="1080">
        <f>'Adjustments - restating'!BB7+'Adjustments - Pro Forma'!BB7</f>
        <v>0</v>
      </c>
      <c r="BC7" s="1080">
        <f>'Adjustments - restating'!BC7+'Adjustments - Pro Forma'!BC7</f>
        <v>0</v>
      </c>
      <c r="BD7" s="1053"/>
      <c r="CZ7" s="10"/>
    </row>
    <row r="8" spans="1:104">
      <c r="A8" s="4">
        <v>2</v>
      </c>
      <c r="B8" s="8" t="s">
        <v>12</v>
      </c>
      <c r="C8" s="1083">
        <f>SUM(D8:BC8)</f>
        <v>0</v>
      </c>
      <c r="D8" s="1080">
        <f>'Adjustments - restating'!D8+'Adjustments - Pro Forma'!D8</f>
        <v>0</v>
      </c>
      <c r="E8" s="1080">
        <f>'Adjustments - restating'!E8+'Adjustments - Pro Forma'!E8</f>
        <v>0</v>
      </c>
      <c r="F8" s="1080">
        <f>'Adjustments - restating'!F8+'Adjustments - Pro Forma'!F8</f>
        <v>0</v>
      </c>
      <c r="G8" s="1080">
        <f>'Adjustments - restating'!G8+'Adjustments - Pro Forma'!G8</f>
        <v>0</v>
      </c>
      <c r="H8" s="1080">
        <f>'Adjustments - restating'!H8+'Adjustments - Pro Forma'!H8</f>
        <v>0</v>
      </c>
      <c r="I8" s="1080">
        <f>'Adjustments - restating'!I8+'Adjustments - Pro Forma'!I8</f>
        <v>0</v>
      </c>
      <c r="J8" s="1080">
        <f>'Adjustments - restating'!J8+'Adjustments - Pro Forma'!J8</f>
        <v>0</v>
      </c>
      <c r="K8" s="1080">
        <f>'Adjustments - restating'!K8+'Adjustments - Pro Forma'!K8</f>
        <v>0</v>
      </c>
      <c r="L8" s="1080">
        <f>'Adjustments - restating'!L8+'Adjustments - Pro Forma'!L8</f>
        <v>0</v>
      </c>
      <c r="M8" s="1080">
        <f>'Adjustments - restating'!M8+'Adjustments - Pro Forma'!M8</f>
        <v>0</v>
      </c>
      <c r="N8" s="1080">
        <f>'Adjustments - restating'!N8+'Adjustments - Pro Forma'!N8</f>
        <v>0</v>
      </c>
      <c r="O8" s="1080">
        <f>'Adjustments - restating'!O8+'Adjustments - Pro Forma'!O8</f>
        <v>0</v>
      </c>
      <c r="P8" s="1080">
        <f>'Adjustments - restating'!P8+'Adjustments - Pro Forma'!P8</f>
        <v>0</v>
      </c>
      <c r="Q8" s="1080">
        <f>'Adjustments - restating'!Q8+'Adjustments - Pro Forma'!Q8</f>
        <v>0</v>
      </c>
      <c r="R8" s="1080">
        <f>'Adjustments - restating'!R8+'Adjustments - Pro Forma'!R8</f>
        <v>0</v>
      </c>
      <c r="S8" s="1080">
        <f>'Adjustments - restating'!S8+'Adjustments - Pro Forma'!S8</f>
        <v>0</v>
      </c>
      <c r="T8" s="1080">
        <f>'Adjustments - restating'!T8+'Adjustments - Pro Forma'!T8</f>
        <v>0</v>
      </c>
      <c r="U8" s="1080">
        <f>'Adjustments - restating'!U8+'Adjustments - Pro Forma'!U8</f>
        <v>0</v>
      </c>
      <c r="V8" s="1080">
        <f>'Adjustments - restating'!V8+'Adjustments - Pro Forma'!V8</f>
        <v>0</v>
      </c>
      <c r="W8" s="1080">
        <f>'Adjustments - restating'!W8+'Adjustments - Pro Forma'!W8</f>
        <v>0</v>
      </c>
      <c r="X8" s="1080">
        <f>'Adjustments - restating'!X8+'Adjustments - Pro Forma'!X8</f>
        <v>0</v>
      </c>
      <c r="Y8" s="1080">
        <f>'Adjustments - restating'!Y8+'Adjustments - Pro Forma'!Y8</f>
        <v>0</v>
      </c>
      <c r="Z8" s="1080">
        <f>'Adjustments - restating'!Z8+'Adjustments - Pro Forma'!Z8</f>
        <v>0</v>
      </c>
      <c r="AA8" s="1080">
        <f>'Adjustments - restating'!AA8+'Adjustments - Pro Forma'!AA8</f>
        <v>0</v>
      </c>
      <c r="AB8" s="1080">
        <f>'Adjustments - restating'!AB8+'Adjustments - Pro Forma'!AB8</f>
        <v>0</v>
      </c>
      <c r="AC8" s="1080">
        <f>'Adjustments - restating'!AC8+'Adjustments - Pro Forma'!AC8</f>
        <v>0</v>
      </c>
      <c r="AD8" s="1080">
        <f>'Adjustments - restating'!AD8+'Adjustments - Pro Forma'!AD8</f>
        <v>0</v>
      </c>
      <c r="AE8" s="1080">
        <f>'Adjustments - restating'!AE8+'Adjustments - Pro Forma'!AE8</f>
        <v>0</v>
      </c>
      <c r="AF8" s="1080">
        <f>'Adjustments - restating'!AF8+'Adjustments - Pro Forma'!AF8</f>
        <v>0</v>
      </c>
      <c r="AG8" s="1080">
        <f>'Adjustments - restating'!AG8+'Adjustments - Pro Forma'!AG8</f>
        <v>0</v>
      </c>
      <c r="AH8" s="1080">
        <f>'Adjustments - restating'!AH8+'Adjustments - Pro Forma'!AH8</f>
        <v>0</v>
      </c>
      <c r="AI8" s="1080">
        <f>'Adjustments - restating'!AI8+'Adjustments - Pro Forma'!AI8</f>
        <v>0</v>
      </c>
      <c r="AJ8" s="1080">
        <f>'Adjustments - restating'!AJ8+'Adjustments - Pro Forma'!AJ8</f>
        <v>0</v>
      </c>
      <c r="AK8" s="1080">
        <f>'Adjustments - restating'!AK8+'Adjustments - Pro Forma'!AK8</f>
        <v>0</v>
      </c>
      <c r="AL8" s="1080">
        <f>'Adjustments - restating'!AL8+'Adjustments - Pro Forma'!AL8</f>
        <v>0</v>
      </c>
      <c r="AM8" s="1080">
        <f>'Adjustments - restating'!AM8+'Adjustments - Pro Forma'!AM8</f>
        <v>0</v>
      </c>
      <c r="AN8" s="1080">
        <f>'Adjustments - restating'!AN8+'Adjustments - Pro Forma'!AN8</f>
        <v>0</v>
      </c>
      <c r="AO8" s="1080">
        <f>'Adjustments - restating'!AO8+'Adjustments - Pro Forma'!AO8</f>
        <v>0</v>
      </c>
      <c r="AP8" s="1080">
        <f>'Adjustments - restating'!AP8+'Adjustments - Pro Forma'!AP8</f>
        <v>0</v>
      </c>
      <c r="AQ8" s="1080">
        <f>'Adjustments - restating'!AQ8+'Adjustments - Pro Forma'!AQ8</f>
        <v>0</v>
      </c>
      <c r="AR8" s="1080">
        <f>'Adjustments - restating'!AR8+'Adjustments - Pro Forma'!AR8</f>
        <v>0</v>
      </c>
      <c r="AS8" s="1080">
        <f>'Adjustments - restating'!AS8+'Adjustments - Pro Forma'!AS8</f>
        <v>0</v>
      </c>
      <c r="AT8" s="1080">
        <f>'Adjustments - restating'!AT8+'Adjustments - Pro Forma'!AT8</f>
        <v>0</v>
      </c>
      <c r="AU8" s="1080">
        <f>'Adjustments - restating'!AU8+'Adjustments - Pro Forma'!AU8</f>
        <v>0</v>
      </c>
      <c r="AV8" s="1080">
        <f>'Adjustments - restating'!AV8+'Adjustments - Pro Forma'!AV8</f>
        <v>0</v>
      </c>
      <c r="AW8" s="1080">
        <f>'Adjustments - restating'!AW8+'Adjustments - Pro Forma'!AW8</f>
        <v>0</v>
      </c>
      <c r="AX8" s="1080">
        <f>'Adjustments - restating'!AX8+'Adjustments - Pro Forma'!AX8</f>
        <v>0</v>
      </c>
      <c r="AY8" s="1080">
        <f>'Adjustments - restating'!AY8+'Adjustments - Pro Forma'!AY8</f>
        <v>0</v>
      </c>
      <c r="AZ8" s="1080">
        <f>'Adjustments - restating'!AZ8+'Adjustments - Pro Forma'!AZ8</f>
        <v>0</v>
      </c>
      <c r="BA8" s="1080">
        <f>'Adjustments - restating'!BA8+'Adjustments - Pro Forma'!BA8</f>
        <v>0</v>
      </c>
      <c r="BB8" s="1080">
        <f>'Adjustments - restating'!BB8+'Adjustments - Pro Forma'!BB8</f>
        <v>0</v>
      </c>
      <c r="BC8" s="1080">
        <f>'Adjustments - restating'!BC8+'Adjustments - Pro Forma'!BC8</f>
        <v>0</v>
      </c>
      <c r="BD8" s="1053"/>
      <c r="CZ8" s="10"/>
    </row>
    <row r="9" spans="1:104">
      <c r="A9" s="4">
        <v>3</v>
      </c>
      <c r="B9" s="8" t="s">
        <v>13</v>
      </c>
      <c r="C9" s="1083">
        <f>SUM(D9:BC9)</f>
        <v>2069902.4996113256</v>
      </c>
      <c r="D9" s="1080">
        <f>'Adjustments - restating'!D9+'Adjustments - Pro Forma'!D9</f>
        <v>0</v>
      </c>
      <c r="E9" s="1080">
        <f>'Adjustments - restating'!E9+'Adjustments - Pro Forma'!E9</f>
        <v>0</v>
      </c>
      <c r="F9" s="1080">
        <f>'Adjustments - restating'!F9+'Adjustments - Pro Forma'!F9</f>
        <v>0</v>
      </c>
      <c r="G9" s="1080">
        <f>'Adjustments - restating'!G9+'Adjustments - Pro Forma'!G9</f>
        <v>0</v>
      </c>
      <c r="H9" s="1080">
        <f>'Adjustments - restating'!H9+'Adjustments - Pro Forma'!H9</f>
        <v>0</v>
      </c>
      <c r="I9" s="1080">
        <f>'Adjustments - restating'!I9+'Adjustments - Pro Forma'!I9</f>
        <v>0</v>
      </c>
      <c r="J9" s="1080">
        <f>'Adjustments - restating'!J9+'Adjustments - Pro Forma'!J9</f>
        <v>0</v>
      </c>
      <c r="K9" s="1080">
        <f>'Adjustments - restating'!K9+'Adjustments - Pro Forma'!K9</f>
        <v>0</v>
      </c>
      <c r="L9" s="1080">
        <f>'Adjustments - restating'!L9+'Adjustments - Pro Forma'!L9</f>
        <v>0</v>
      </c>
      <c r="M9" s="1080">
        <f>'Adjustments - restating'!M9+'Adjustments - Pro Forma'!M9</f>
        <v>0</v>
      </c>
      <c r="N9" s="1080">
        <f>'Adjustments - restating'!N9+'Adjustments - Pro Forma'!N9</f>
        <v>0</v>
      </c>
      <c r="O9" s="1080">
        <f>'Adjustments - restating'!O9+'Adjustments - Pro Forma'!O9</f>
        <v>0</v>
      </c>
      <c r="P9" s="1080">
        <f>'Adjustments - restating'!P9+'Adjustments - Pro Forma'!P9</f>
        <v>0</v>
      </c>
      <c r="Q9" s="1080">
        <f>'Adjustments - restating'!Q9+'Adjustments - Pro Forma'!Q9</f>
        <v>0</v>
      </c>
      <c r="R9" s="1080">
        <f>'Adjustments - restating'!R9+'Adjustments - Pro Forma'!R9</f>
        <v>0</v>
      </c>
      <c r="S9" s="1080">
        <f>'Adjustments - restating'!S9+'Adjustments - Pro Forma'!S9</f>
        <v>0</v>
      </c>
      <c r="T9" s="1080">
        <f>'Adjustments - restating'!T9+'Adjustments - Pro Forma'!T9</f>
        <v>0</v>
      </c>
      <c r="U9" s="1080">
        <f>'Adjustments - restating'!U9+'Adjustments - Pro Forma'!U9</f>
        <v>0</v>
      </c>
      <c r="V9" s="1080">
        <f>'Adjustments - restating'!V9+'Adjustments - Pro Forma'!V9</f>
        <v>0</v>
      </c>
      <c r="W9" s="1080">
        <f>'Adjustments - restating'!W9+'Adjustments - Pro Forma'!W9</f>
        <v>0</v>
      </c>
      <c r="X9" s="1080">
        <f>'Adjustments - restating'!X9+'Adjustments - Pro Forma'!X9</f>
        <v>0</v>
      </c>
      <c r="Y9" s="1080">
        <f>'Adjustments - restating'!Y9+'Adjustments - Pro Forma'!Y9</f>
        <v>0</v>
      </c>
      <c r="Z9" s="1080">
        <f>'Adjustments - restating'!Z9+'Adjustments - Pro Forma'!Z9</f>
        <v>49115714.281319283</v>
      </c>
      <c r="AA9" s="1080">
        <f>'Adjustments - restating'!AA9+'Adjustments - Pro Forma'!AA9</f>
        <v>-47209016.53537295</v>
      </c>
      <c r="AB9" s="1080">
        <f>'Adjustments - restating'!AB9+'Adjustments - Pro Forma'!AB9</f>
        <v>0</v>
      </c>
      <c r="AC9" s="1080">
        <f>'Adjustments - restating'!AC9+'Adjustments - Pro Forma'!AC9</f>
        <v>0</v>
      </c>
      <c r="AD9" s="1080">
        <f>'Adjustments - restating'!AD9+'Adjustments - Pro Forma'!AD9</f>
        <v>0</v>
      </c>
      <c r="AE9" s="1080">
        <f>'Adjustments - restating'!AE9+'Adjustments - Pro Forma'!AE9</f>
        <v>0</v>
      </c>
      <c r="AF9" s="1080">
        <f>'Adjustments - restating'!AF9+'Adjustments - Pro Forma'!AF9</f>
        <v>0</v>
      </c>
      <c r="AG9" s="1080">
        <f>'Adjustments - restating'!AG9+'Adjustments - Pro Forma'!AG9</f>
        <v>0</v>
      </c>
      <c r="AH9" s="1080">
        <f>'Adjustments - restating'!AH9+'Adjustments - Pro Forma'!AH9</f>
        <v>0</v>
      </c>
      <c r="AI9" s="1080">
        <f>'Adjustments - restating'!AI9+'Adjustments - Pro Forma'!AI9</f>
        <v>0</v>
      </c>
      <c r="AJ9" s="1080">
        <f>'Adjustments - restating'!AJ9+'Adjustments - Pro Forma'!AJ9</f>
        <v>0</v>
      </c>
      <c r="AK9" s="1080">
        <f>'Adjustments - restating'!AK9+'Adjustments - Pro Forma'!AK9</f>
        <v>0</v>
      </c>
      <c r="AL9" s="1080">
        <f>'Adjustments - restating'!AL9+'Adjustments - Pro Forma'!AL9</f>
        <v>0</v>
      </c>
      <c r="AM9" s="1080">
        <f>'Adjustments - restating'!AM9+'Adjustments - Pro Forma'!AM9</f>
        <v>0</v>
      </c>
      <c r="AN9" s="1080">
        <f>'Adjustments - restating'!AN9+'Adjustments - Pro Forma'!AN9</f>
        <v>0</v>
      </c>
      <c r="AO9" s="1080">
        <f>'Adjustments - restating'!AO9+'Adjustments - Pro Forma'!AO9</f>
        <v>0</v>
      </c>
      <c r="AP9" s="1080">
        <f>'Adjustments - restating'!AP9+'Adjustments - Pro Forma'!AP9</f>
        <v>0</v>
      </c>
      <c r="AQ9" s="1080">
        <f>'Adjustments - restating'!AQ9+'Adjustments - Pro Forma'!AQ9</f>
        <v>0</v>
      </c>
      <c r="AR9" s="1080">
        <f>'Adjustments - restating'!AR9+'Adjustments - Pro Forma'!AR9</f>
        <v>0</v>
      </c>
      <c r="AS9" s="1080">
        <f>'Adjustments - restating'!AS9+'Adjustments - Pro Forma'!AS9</f>
        <v>0</v>
      </c>
      <c r="AT9" s="1080">
        <f>'Adjustments - restating'!AT9+'Adjustments - Pro Forma'!AT9</f>
        <v>0</v>
      </c>
      <c r="AU9" s="1080">
        <f>'Adjustments - restating'!AU9+'Adjustments - Pro Forma'!AU9</f>
        <v>0</v>
      </c>
      <c r="AV9" s="1080">
        <f>'Adjustments - restating'!AV9+'Adjustments - Pro Forma'!AV9</f>
        <v>0</v>
      </c>
      <c r="AW9" s="1080">
        <f>'Adjustments - restating'!AW9+'Adjustments - Pro Forma'!AW9</f>
        <v>0</v>
      </c>
      <c r="AX9" s="1080">
        <f>'Adjustments - restating'!AX9+'Adjustments - Pro Forma'!AX9</f>
        <v>0</v>
      </c>
      <c r="AY9" s="1080">
        <f>'Adjustments - restating'!AY9+'Adjustments - Pro Forma'!AY9</f>
        <v>0</v>
      </c>
      <c r="AZ9" s="1080">
        <f>'Adjustments - restating'!AZ9+'Adjustments - Pro Forma'!AZ9</f>
        <v>0</v>
      </c>
      <c r="BA9" s="1080">
        <f>'Adjustments - restating'!BA9+'Adjustments - Pro Forma'!BA9</f>
        <v>0</v>
      </c>
      <c r="BB9" s="1080">
        <f>'Adjustments - restating'!BB9+'Adjustments - Pro Forma'!BB9</f>
        <v>0</v>
      </c>
      <c r="BC9" s="1080">
        <f>'Adjustments - restating'!BC9+'Adjustments - Pro Forma'!BC9</f>
        <v>163204.75366499275</v>
      </c>
      <c r="BD9" s="1053"/>
      <c r="CZ9" s="10"/>
    </row>
    <row r="10" spans="1:104">
      <c r="A10" s="4">
        <v>4</v>
      </c>
      <c r="B10" s="8" t="s">
        <v>14</v>
      </c>
      <c r="C10" s="1083">
        <f>SUM(D10:BC10)</f>
        <v>-5953857.79414385</v>
      </c>
      <c r="D10" s="1080">
        <f>'Adjustments - restating'!D10+'Adjustments - Pro Forma'!D10</f>
        <v>0</v>
      </c>
      <c r="E10" s="1080">
        <f>'Adjustments - restating'!E10+'Adjustments - Pro Forma'!E10</f>
        <v>0</v>
      </c>
      <c r="F10" s="1080">
        <f>'Adjustments - restating'!F10+'Adjustments - Pro Forma'!F10</f>
        <v>0</v>
      </c>
      <c r="G10" s="1080">
        <f>'Adjustments - restating'!G10+'Adjustments - Pro Forma'!G10</f>
        <v>0</v>
      </c>
      <c r="H10" s="1080">
        <f>'Adjustments - restating'!H10+'Adjustments - Pro Forma'!H10</f>
        <v>-2253339.1310724937</v>
      </c>
      <c r="I10" s="1080">
        <f>'Adjustments - restating'!I10+'Adjustments - Pro Forma'!I10</f>
        <v>235094</v>
      </c>
      <c r="J10" s="1080">
        <f>'Adjustments - restating'!J10+'Adjustments - Pro Forma'!J10</f>
        <v>41325.822449383042</v>
      </c>
      <c r="K10" s="1080">
        <f>'Adjustments - restating'!K10+'Adjustments - Pro Forma'!K10</f>
        <v>0</v>
      </c>
      <c r="L10" s="1080">
        <f>'Adjustments - restating'!L10+'Adjustments - Pro Forma'!L10</f>
        <v>25888.581406835918</v>
      </c>
      <c r="M10" s="1080">
        <f>'Adjustments - restating'!M10+'Adjustments - Pro Forma'!M10</f>
        <v>0</v>
      </c>
      <c r="N10" s="1080">
        <f>'Adjustments - restating'!N10+'Adjustments - Pro Forma'!N10</f>
        <v>0</v>
      </c>
      <c r="O10" s="1080">
        <f>'Adjustments - restating'!O10+'Adjustments - Pro Forma'!O10</f>
        <v>0</v>
      </c>
      <c r="P10" s="1080">
        <f>'Adjustments - restating'!P10+'Adjustments - Pro Forma'!P10</f>
        <v>0</v>
      </c>
      <c r="Q10" s="1080">
        <f>'Adjustments - restating'!Q10+'Adjustments - Pro Forma'!Q10</f>
        <v>-158114.54708066303</v>
      </c>
      <c r="R10" s="1080">
        <f>'Adjustments - restating'!R10+'Adjustments - Pro Forma'!R10</f>
        <v>0</v>
      </c>
      <c r="S10" s="1080">
        <f>'Adjustments - restating'!S10+'Adjustments - Pro Forma'!S10</f>
        <v>0</v>
      </c>
      <c r="T10" s="1080">
        <f>'Adjustments - restating'!T10+'Adjustments - Pro Forma'!T10</f>
        <v>0</v>
      </c>
      <c r="U10" s="1080">
        <f>'Adjustments - restating'!U10+'Adjustments - Pro Forma'!U10</f>
        <v>0</v>
      </c>
      <c r="V10" s="1080">
        <f>'Adjustments - restating'!V10+'Adjustments - Pro Forma'!V10</f>
        <v>0</v>
      </c>
      <c r="W10" s="1080">
        <f>'Adjustments - restating'!W10+'Adjustments - Pro Forma'!W10</f>
        <v>0</v>
      </c>
      <c r="X10" s="1080">
        <f>'Adjustments - restating'!X10+'Adjustments - Pro Forma'!X10</f>
        <v>0</v>
      </c>
      <c r="Y10" s="1080">
        <f>'Adjustments - restating'!Y10+'Adjustments - Pro Forma'!Y10</f>
        <v>0</v>
      </c>
      <c r="Z10" s="1080">
        <f>'Adjustments - restating'!Z10+'Adjustments - Pro Forma'!Z10</f>
        <v>0</v>
      </c>
      <c r="AA10" s="1080">
        <f>'Adjustments - restating'!AA10+'Adjustments - Pro Forma'!AA10</f>
        <v>0</v>
      </c>
      <c r="AB10" s="1080">
        <f>'Adjustments - restating'!AB10+'Adjustments - Pro Forma'!AB10</f>
        <v>679898.4167838149</v>
      </c>
      <c r="AC10" s="1080">
        <f>'Adjustments - restating'!AC10+'Adjustments - Pro Forma'!AC10</f>
        <v>0</v>
      </c>
      <c r="AD10" s="1080">
        <f>'Adjustments - restating'!AD10+'Adjustments - Pro Forma'!AD10</f>
        <v>0</v>
      </c>
      <c r="AE10" s="1080">
        <f>'Adjustments - restating'!AE10+'Adjustments - Pro Forma'!AE10</f>
        <v>0</v>
      </c>
      <c r="AF10" s="1080">
        <f>'Adjustments - restating'!AF10+'Adjustments - Pro Forma'!AF10</f>
        <v>0</v>
      </c>
      <c r="AG10" s="1080">
        <f>'Adjustments - restating'!AG10+'Adjustments - Pro Forma'!AG10</f>
        <v>0</v>
      </c>
      <c r="AH10" s="1080">
        <f>'Adjustments - restating'!AH10+'Adjustments - Pro Forma'!AH10</f>
        <v>0</v>
      </c>
      <c r="AI10" s="1080">
        <f>'Adjustments - restating'!AI10+'Adjustments - Pro Forma'!AI10</f>
        <v>0</v>
      </c>
      <c r="AJ10" s="1080">
        <f>'Adjustments - restating'!AJ10+'Adjustments - Pro Forma'!AJ10</f>
        <v>0</v>
      </c>
      <c r="AK10" s="1080">
        <f>'Adjustments - restating'!AK10+'Adjustments - Pro Forma'!AK10</f>
        <v>0</v>
      </c>
      <c r="AL10" s="1080">
        <f>'Adjustments - restating'!AL10+'Adjustments - Pro Forma'!AL10</f>
        <v>0</v>
      </c>
      <c r="AM10" s="1080">
        <f>'Adjustments - restating'!AM10+'Adjustments - Pro Forma'!AM10</f>
        <v>0</v>
      </c>
      <c r="AN10" s="1080">
        <f>'Adjustments - restating'!AN10+'Adjustments - Pro Forma'!AN10</f>
        <v>0</v>
      </c>
      <c r="AO10" s="1080">
        <f>'Adjustments - restating'!AO10+'Adjustments - Pro Forma'!AO10</f>
        <v>0</v>
      </c>
      <c r="AP10" s="1080">
        <f>'Adjustments - restating'!AP10+'Adjustments - Pro Forma'!AP10</f>
        <v>0</v>
      </c>
      <c r="AQ10" s="1080">
        <f>'Adjustments - restating'!AQ10+'Adjustments - Pro Forma'!AQ10</f>
        <v>0</v>
      </c>
      <c r="AR10" s="1080">
        <f>'Adjustments - restating'!AR10+'Adjustments - Pro Forma'!AR10</f>
        <v>0</v>
      </c>
      <c r="AS10" s="1080">
        <f>'Adjustments - restating'!AS10+'Adjustments - Pro Forma'!AS10</f>
        <v>0</v>
      </c>
      <c r="AT10" s="1080">
        <f>'Adjustments - restating'!AT10+'Adjustments - Pro Forma'!AT10</f>
        <v>0</v>
      </c>
      <c r="AU10" s="1080">
        <f>'Adjustments - restating'!AU10+'Adjustments - Pro Forma'!AU10</f>
        <v>0</v>
      </c>
      <c r="AV10" s="1080">
        <f>'Adjustments - restating'!AV10+'Adjustments - Pro Forma'!AV10</f>
        <v>0</v>
      </c>
      <c r="AW10" s="1080">
        <f>'Adjustments - restating'!AW10+'Adjustments - Pro Forma'!AW10</f>
        <v>0</v>
      </c>
      <c r="AX10" s="1080">
        <f>'Adjustments - restating'!AX10+'Adjustments - Pro Forma'!AX10</f>
        <v>0</v>
      </c>
      <c r="AY10" s="1080">
        <f>'Adjustments - Pro Forma'!AY10+'Adjustments - restating'!AY10</f>
        <v>-4530186</v>
      </c>
      <c r="AZ10" s="1080">
        <f>'Adjustments - restating'!AZ10+'Adjustments - Pro Forma'!AZ10</f>
        <v>0</v>
      </c>
      <c r="BA10" s="1080">
        <f>'Adjustments - restating'!BA10+'Adjustments - Pro Forma'!BA10</f>
        <v>0</v>
      </c>
      <c r="BB10" s="1080">
        <f>'Adjustments - restating'!BB10+'Adjustments - Pro Forma'!BB10</f>
        <v>0</v>
      </c>
      <c r="BC10" s="1080">
        <f>'Adjustments - restating'!BC10+'Adjustments - Pro Forma'!BC10</f>
        <v>5575.0633692726551</v>
      </c>
      <c r="BD10" s="1053"/>
      <c r="CZ10" s="10"/>
    </row>
    <row r="11" spans="1:104">
      <c r="A11" s="4">
        <v>5</v>
      </c>
      <c r="B11" s="1283" t="s">
        <v>15</v>
      </c>
      <c r="C11" s="1286">
        <f>SUM(C7:C10)</f>
        <v>21523.824990561232</v>
      </c>
      <c r="D11" s="1082">
        <f>SUM(D7:D10)</f>
        <v>-5692761.2699999996</v>
      </c>
      <c r="E11" s="1082">
        <f t="shared" ref="E11:BC11" si="0">SUM(E7:E10)</f>
        <v>-7427584.4312790008</v>
      </c>
      <c r="F11" s="1082">
        <f t="shared" si="0"/>
        <v>17025824.820802085</v>
      </c>
      <c r="G11" s="1082">
        <f t="shared" si="0"/>
        <v>0</v>
      </c>
      <c r="H11" s="1082">
        <f t="shared" si="0"/>
        <v>-2253339.1310724937</v>
      </c>
      <c r="I11" s="1082">
        <f t="shared" si="0"/>
        <v>235094</v>
      </c>
      <c r="J11" s="1082">
        <f t="shared" si="0"/>
        <v>41325.822449383042</v>
      </c>
      <c r="K11" s="1082">
        <f t="shared" si="0"/>
        <v>0</v>
      </c>
      <c r="L11" s="1082">
        <f t="shared" si="0"/>
        <v>25888.581406835918</v>
      </c>
      <c r="M11" s="1082">
        <f t="shared" si="0"/>
        <v>0</v>
      </c>
      <c r="N11" s="1082">
        <f t="shared" si="0"/>
        <v>0</v>
      </c>
      <c r="O11" s="1082">
        <f t="shared" si="0"/>
        <v>0</v>
      </c>
      <c r="P11" s="1082">
        <f t="shared" si="0"/>
        <v>0</v>
      </c>
      <c r="Q11" s="1082">
        <f t="shared" si="0"/>
        <v>-158114.54708066303</v>
      </c>
      <c r="R11" s="1082">
        <f t="shared" si="0"/>
        <v>0</v>
      </c>
      <c r="S11" s="1082">
        <f t="shared" si="0"/>
        <v>0</v>
      </c>
      <c r="T11" s="1082">
        <f t="shared" si="0"/>
        <v>0</v>
      </c>
      <c r="U11" s="1082">
        <f t="shared" si="0"/>
        <v>0</v>
      </c>
      <c r="V11" s="1082">
        <f t="shared" si="0"/>
        <v>0</v>
      </c>
      <c r="W11" s="1082">
        <f t="shared" si="0"/>
        <v>0</v>
      </c>
      <c r="X11" s="1082">
        <f t="shared" si="0"/>
        <v>0</v>
      </c>
      <c r="Y11" s="1082">
        <f t="shared" si="0"/>
        <v>0</v>
      </c>
      <c r="Z11" s="1082">
        <f t="shared" si="0"/>
        <v>49115714.281319283</v>
      </c>
      <c r="AA11" s="1082">
        <f t="shared" si="0"/>
        <v>-47209016.53537295</v>
      </c>
      <c r="AB11" s="1082">
        <f t="shared" si="0"/>
        <v>679898.4167838149</v>
      </c>
      <c r="AC11" s="1082">
        <f t="shared" si="0"/>
        <v>0</v>
      </c>
      <c r="AD11" s="1082">
        <f t="shared" si="0"/>
        <v>0</v>
      </c>
      <c r="AE11" s="1082">
        <f t="shared" si="0"/>
        <v>0</v>
      </c>
      <c r="AF11" s="1082">
        <f t="shared" si="0"/>
        <v>0</v>
      </c>
      <c r="AG11" s="1082">
        <f t="shared" si="0"/>
        <v>0</v>
      </c>
      <c r="AH11" s="1082">
        <f t="shared" si="0"/>
        <v>0</v>
      </c>
      <c r="AI11" s="1082">
        <f t="shared" si="0"/>
        <v>0</v>
      </c>
      <c r="AJ11" s="1082">
        <f t="shared" si="0"/>
        <v>0</v>
      </c>
      <c r="AK11" s="1082">
        <f t="shared" si="0"/>
        <v>0</v>
      </c>
      <c r="AL11" s="1082">
        <f t="shared" si="0"/>
        <v>0</v>
      </c>
      <c r="AM11" s="1082">
        <f t="shared" si="0"/>
        <v>0</v>
      </c>
      <c r="AN11" s="1082">
        <f t="shared" si="0"/>
        <v>0</v>
      </c>
      <c r="AO11" s="1082">
        <f t="shared" si="0"/>
        <v>0</v>
      </c>
      <c r="AP11" s="1082">
        <f t="shared" si="0"/>
        <v>0</v>
      </c>
      <c r="AQ11" s="1082">
        <f t="shared" si="0"/>
        <v>0</v>
      </c>
      <c r="AR11" s="1082">
        <f t="shared" si="0"/>
        <v>0</v>
      </c>
      <c r="AS11" s="1082">
        <f t="shared" si="0"/>
        <v>0</v>
      </c>
      <c r="AT11" s="1082">
        <f t="shared" si="0"/>
        <v>0</v>
      </c>
      <c r="AU11" s="1082">
        <f t="shared" si="0"/>
        <v>0</v>
      </c>
      <c r="AV11" s="1082">
        <f t="shared" si="0"/>
        <v>0</v>
      </c>
      <c r="AW11" s="1082">
        <f t="shared" si="0"/>
        <v>0</v>
      </c>
      <c r="AX11" s="1082">
        <f t="shared" si="0"/>
        <v>0</v>
      </c>
      <c r="AY11" s="1082">
        <f t="shared" si="0"/>
        <v>-4530186</v>
      </c>
      <c r="AZ11" s="1082">
        <f t="shared" si="0"/>
        <v>0</v>
      </c>
      <c r="BA11" s="1082">
        <f t="shared" si="0"/>
        <v>0</v>
      </c>
      <c r="BB11" s="1082">
        <f t="shared" si="0"/>
        <v>0</v>
      </c>
      <c r="BC11" s="1082">
        <f t="shared" si="0"/>
        <v>168779.8170342654</v>
      </c>
      <c r="BD11" s="1053"/>
      <c r="CZ11" s="10"/>
    </row>
    <row r="12" spans="1:104">
      <c r="A12" s="4">
        <v>6</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1">SUM(D14:BC14)</f>
        <v>7422910.943104214</v>
      </c>
      <c r="D14" s="1080">
        <f>'Adjustments - restating'!D14+'Adjustments - Pro Forma'!D14</f>
        <v>0</v>
      </c>
      <c r="E14" s="1080">
        <f>'Adjustments - restating'!E14+'Adjustments - Pro Forma'!E14</f>
        <v>0</v>
      </c>
      <c r="F14" s="1080">
        <f>'Adjustments - restating'!F14+'Adjustments - Pro Forma'!F14</f>
        <v>0</v>
      </c>
      <c r="G14" s="1080">
        <f>'Adjustments - restating'!G14+'Adjustments - Pro Forma'!G14</f>
        <v>0</v>
      </c>
      <c r="H14" s="1080">
        <f>'Adjustments - restating'!H14+'Adjustments - Pro Forma'!H14</f>
        <v>0</v>
      </c>
      <c r="I14" s="1080">
        <f>'Adjustments - restating'!I14+'Adjustments - Pro Forma'!I14</f>
        <v>0</v>
      </c>
      <c r="J14" s="1080">
        <f>'Adjustments - restating'!J14+'Adjustments - Pro Forma'!J14</f>
        <v>0</v>
      </c>
      <c r="K14" s="1080">
        <f>'Adjustments - restating'!K14+'Adjustments - Pro Forma'!K14</f>
        <v>0</v>
      </c>
      <c r="L14" s="1080">
        <f>'Adjustments - restating'!L14+'Adjustments - Pro Forma'!L14</f>
        <v>0</v>
      </c>
      <c r="M14" s="1080">
        <f>'Adjustments - restating'!M14+'Adjustments - Pro Forma'!M14</f>
        <v>0</v>
      </c>
      <c r="N14" s="1080">
        <f>'Adjustments - restating'!N14+'Adjustments - Pro Forma'!N14</f>
        <v>-8712.2506004676943</v>
      </c>
      <c r="O14" s="1080">
        <f>'Adjustments - restating'!O14+'Adjustments - Pro Forma'!O14</f>
        <v>225877.74810808065</v>
      </c>
      <c r="P14" s="1080">
        <f>'Adjustments - restating'!P14+'Adjustments - Pro Forma'!P14</f>
        <v>0</v>
      </c>
      <c r="Q14" s="1080">
        <f>'Adjustments - restating'!Q14+'Adjustments - Pro Forma'!Q14</f>
        <v>-2677.954313646268</v>
      </c>
      <c r="R14" s="1080">
        <f>'Adjustments - restating'!R14+'Adjustments - Pro Forma'!R14</f>
        <v>0</v>
      </c>
      <c r="S14" s="1080">
        <f>'Adjustments - restating'!S14+'Adjustments - Pro Forma'!S14</f>
        <v>0</v>
      </c>
      <c r="T14" s="1080">
        <f>'Adjustments - restating'!T14+'Adjustments - Pro Forma'!T14</f>
        <v>0</v>
      </c>
      <c r="U14" s="1080">
        <f>'Adjustments - restating'!U14+'Adjustments - Pro Forma'!U14</f>
        <v>0</v>
      </c>
      <c r="V14" s="1080">
        <f>'Adjustments - restating'!V14+'Adjustments - Pro Forma'!V14</f>
        <v>0</v>
      </c>
      <c r="W14" s="1080">
        <f>'Adjustments - restating'!W14+'Adjustments - Pro Forma'!W14</f>
        <v>8569.2274704591728</v>
      </c>
      <c r="X14" s="1080">
        <f>'Adjustments - restating'!X14+'Adjustments - Pro Forma'!X14</f>
        <v>0</v>
      </c>
      <c r="Y14" s="1080">
        <f>'Adjustments - restating'!Y14+'Adjustments - Pro Forma'!Y14</f>
        <v>0</v>
      </c>
      <c r="Z14" s="1080">
        <f>'Adjustments - restating'!Z14+'Adjustments - Pro Forma'!Z14</f>
        <v>2396809.2475024615</v>
      </c>
      <c r="AA14" s="1080">
        <f>'Adjustments - restating'!AA14+'Adjustments - Pro Forma'!AA14</f>
        <v>4462528.6064596502</v>
      </c>
      <c r="AB14" s="1080">
        <f>'Adjustments - restating'!AB14+'Adjustments - Pro Forma'!AB14</f>
        <v>0</v>
      </c>
      <c r="AC14" s="1080">
        <f>'Adjustments - restating'!AC14+'Adjustments - Pro Forma'!AC14</f>
        <v>0</v>
      </c>
      <c r="AD14" s="1080">
        <f>'Adjustments - restating'!AD14+'Adjustments - Pro Forma'!AD14</f>
        <v>0</v>
      </c>
      <c r="AE14" s="1080">
        <f>'Adjustments - restating'!AE14+'Adjustments - Pro Forma'!AE14</f>
        <v>0</v>
      </c>
      <c r="AF14" s="1080">
        <f>'Adjustments - restating'!AF14+'Adjustments - Pro Forma'!AF14</f>
        <v>0</v>
      </c>
      <c r="AG14" s="1080">
        <f>'Adjustments - restating'!AG14+'Adjustments - Pro Forma'!AG14</f>
        <v>-50321.66386051404</v>
      </c>
      <c r="AH14" s="1080">
        <f>'Adjustments - restating'!AH14+'Adjustments - Pro Forma'!AH14</f>
        <v>0</v>
      </c>
      <c r="AI14" s="1080">
        <f>'Adjustments - restating'!AI14+'Adjustments - Pro Forma'!AI14</f>
        <v>0</v>
      </c>
      <c r="AJ14" s="1080">
        <f>'Adjustments - restating'!AJ14+'Adjustments - Pro Forma'!AJ14</f>
        <v>0</v>
      </c>
      <c r="AK14" s="1080">
        <f>'Adjustments - restating'!AK14+'Adjustments - Pro Forma'!AK14</f>
        <v>0</v>
      </c>
      <c r="AL14" s="1080">
        <f>'Adjustments - restating'!AL14+'Adjustments - Pro Forma'!AL14</f>
        <v>0</v>
      </c>
      <c r="AM14" s="1080">
        <f>'Adjustments - restating'!AM14+'Adjustments - Pro Forma'!AM14</f>
        <v>0</v>
      </c>
      <c r="AN14" s="1080">
        <f>'Adjustments - restating'!AN14+'Adjustments - Pro Forma'!AN14</f>
        <v>0</v>
      </c>
      <c r="AO14" s="1080">
        <f>'Adjustments - restating'!AO14+'Adjustments - Pro Forma'!AO14</f>
        <v>0</v>
      </c>
      <c r="AP14" s="1080">
        <f>'Adjustments - restating'!AP14+'Adjustments - Pro Forma'!AP14</f>
        <v>0</v>
      </c>
      <c r="AQ14" s="1080">
        <f>'Adjustments - restating'!AQ14+'Adjustments - Pro Forma'!AQ14</f>
        <v>0</v>
      </c>
      <c r="AR14" s="1080">
        <f>'Adjustments - restating'!AR14+'Adjustments - Pro Forma'!AR14</f>
        <v>0</v>
      </c>
      <c r="AS14" s="1080">
        <f>'Adjustments - restating'!AS14+'Adjustments - Pro Forma'!AS14</f>
        <v>0</v>
      </c>
      <c r="AT14" s="1080">
        <f>'Adjustments - restating'!AT14+'Adjustments - Pro Forma'!AT14</f>
        <v>0</v>
      </c>
      <c r="AU14" s="1080">
        <f>'Adjustments - restating'!AU14+'Adjustments - Pro Forma'!AU14</f>
        <v>0</v>
      </c>
      <c r="AV14" s="1080">
        <f>'Adjustments - restating'!AV14+'Adjustments - Pro Forma'!AV14</f>
        <v>0</v>
      </c>
      <c r="AW14" s="1080">
        <f>'Adjustments - restating'!AW14+'Adjustments - Pro Forma'!AW14</f>
        <v>0</v>
      </c>
      <c r="AX14" s="1080">
        <f>'Adjustments - restating'!AX14+'Adjustments - Pro Forma'!AX14</f>
        <v>0</v>
      </c>
      <c r="AY14" s="1080">
        <f>'Adjustments - restating'!AY14+'Adjustments - Pro Forma'!AY14</f>
        <v>0</v>
      </c>
      <c r="AZ14" s="1080">
        <f>'Adjustments - restating'!AZ14+'Adjustments - Pro Forma'!AZ14</f>
        <v>0</v>
      </c>
      <c r="BA14" s="1080">
        <f>'Adjustments - restating'!BA14+'Adjustments - Pro Forma'!BA14</f>
        <v>0</v>
      </c>
      <c r="BB14" s="1080">
        <f>'Adjustments - restating'!BB14+'Adjustments - Pro Forma'!BB14</f>
        <v>0</v>
      </c>
      <c r="BC14" s="1080">
        <f>'Adjustments - restating'!BC14+'Adjustments - Pro Forma'!BC14</f>
        <v>390837.98233819008</v>
      </c>
      <c r="BD14" s="1053"/>
      <c r="CZ14" s="10"/>
    </row>
    <row r="15" spans="1:104">
      <c r="A15" s="4">
        <v>9</v>
      </c>
      <c r="B15" s="8" t="s">
        <v>18</v>
      </c>
      <c r="C15" s="1083">
        <f t="shared" si="1"/>
        <v>0</v>
      </c>
      <c r="D15" s="1080">
        <f>'Adjustments - restating'!D15+'Adjustments - Pro Forma'!D15</f>
        <v>0</v>
      </c>
      <c r="E15" s="1080">
        <f>'Adjustments - restating'!E15+'Adjustments - Pro Forma'!E15</f>
        <v>0</v>
      </c>
      <c r="F15" s="1080">
        <f>'Adjustments - restating'!F15+'Adjustments - Pro Forma'!F15</f>
        <v>0</v>
      </c>
      <c r="G15" s="1080">
        <f>'Adjustments - restating'!G15+'Adjustments - Pro Forma'!G15</f>
        <v>0</v>
      </c>
      <c r="H15" s="1080">
        <f>'Adjustments - restating'!H15+'Adjustments - Pro Forma'!H15</f>
        <v>0</v>
      </c>
      <c r="I15" s="1080">
        <f>'Adjustments - restating'!I15+'Adjustments - Pro Forma'!I15</f>
        <v>0</v>
      </c>
      <c r="J15" s="1080">
        <f>'Adjustments - restating'!J15+'Adjustments - Pro Forma'!J15</f>
        <v>0</v>
      </c>
      <c r="K15" s="1080">
        <f>'Adjustments - restating'!K15+'Adjustments - Pro Forma'!K15</f>
        <v>0</v>
      </c>
      <c r="L15" s="1080">
        <f>'Adjustments - restating'!L15+'Adjustments - Pro Forma'!L15</f>
        <v>0</v>
      </c>
      <c r="M15" s="1080">
        <f>'Adjustments - restating'!M15+'Adjustments - Pro Forma'!M15</f>
        <v>0</v>
      </c>
      <c r="N15" s="1080">
        <f>'Adjustments - restating'!N15+'Adjustments - Pro Forma'!N15</f>
        <v>0</v>
      </c>
      <c r="O15" s="1080">
        <f>'Adjustments - restating'!O15+'Adjustments - Pro Forma'!O15</f>
        <v>0</v>
      </c>
      <c r="P15" s="1080">
        <f>'Adjustments - restating'!P15+'Adjustments - Pro Forma'!P15</f>
        <v>0</v>
      </c>
      <c r="Q15" s="1080">
        <f>'Adjustments - restating'!Q15+'Adjustments - Pro Forma'!Q15</f>
        <v>0</v>
      </c>
      <c r="R15" s="1080">
        <f>'Adjustments - restating'!R15+'Adjustments - Pro Forma'!R15</f>
        <v>0</v>
      </c>
      <c r="S15" s="1080">
        <f>'Adjustments - restating'!S15+'Adjustments - Pro Forma'!S15</f>
        <v>0</v>
      </c>
      <c r="T15" s="1080">
        <f>'Adjustments - restating'!T15+'Adjustments - Pro Forma'!T15</f>
        <v>0</v>
      </c>
      <c r="U15" s="1080">
        <f>'Adjustments - restating'!U15+'Adjustments - Pro Forma'!U15</f>
        <v>0</v>
      </c>
      <c r="V15" s="1080">
        <f>'Adjustments - restating'!V15+'Adjustments - Pro Forma'!V15</f>
        <v>0</v>
      </c>
      <c r="W15" s="1080">
        <f>'Adjustments - restating'!W15+'Adjustments - Pro Forma'!W15</f>
        <v>0</v>
      </c>
      <c r="X15" s="1080">
        <f>'Adjustments - restating'!X15+'Adjustments - Pro Forma'!X15</f>
        <v>0</v>
      </c>
      <c r="Y15" s="1080">
        <f>'Adjustments - restating'!Y15+'Adjustments - Pro Forma'!Y15</f>
        <v>0</v>
      </c>
      <c r="Z15" s="1080">
        <f>'Adjustments - restating'!Z15+'Adjustments - Pro Forma'!Z15</f>
        <v>0</v>
      </c>
      <c r="AA15" s="1080">
        <f>'Adjustments - restating'!AA15+'Adjustments - Pro Forma'!AA15</f>
        <v>0</v>
      </c>
      <c r="AB15" s="1080">
        <f>'Adjustments - restating'!AB15+'Adjustments - Pro Forma'!AB15</f>
        <v>0</v>
      </c>
      <c r="AC15" s="1080">
        <f>'Adjustments - restating'!AC15+'Adjustments - Pro Forma'!AC15</f>
        <v>0</v>
      </c>
      <c r="AD15" s="1080">
        <f>'Adjustments - restating'!AD15+'Adjustments - Pro Forma'!AD15</f>
        <v>0</v>
      </c>
      <c r="AE15" s="1080">
        <f>'Adjustments - restating'!AE15+'Adjustments - Pro Forma'!AE15</f>
        <v>0</v>
      </c>
      <c r="AF15" s="1080">
        <f>'Adjustments - restating'!AF15+'Adjustments - Pro Forma'!AF15</f>
        <v>0</v>
      </c>
      <c r="AG15" s="1080">
        <f>'Adjustments - restating'!AG15+'Adjustments - Pro Forma'!AG15</f>
        <v>0</v>
      </c>
      <c r="AH15" s="1080">
        <f>'Adjustments - restating'!AH15+'Adjustments - Pro Forma'!AH15</f>
        <v>0</v>
      </c>
      <c r="AI15" s="1080">
        <f>'Adjustments - restating'!AI15+'Adjustments - Pro Forma'!AI15</f>
        <v>0</v>
      </c>
      <c r="AJ15" s="1080">
        <f>'Adjustments - restating'!AJ15+'Adjustments - Pro Forma'!AJ15</f>
        <v>0</v>
      </c>
      <c r="AK15" s="1080">
        <f>'Adjustments - restating'!AK15+'Adjustments - Pro Forma'!AK15</f>
        <v>0</v>
      </c>
      <c r="AL15" s="1080">
        <f>'Adjustments - restating'!AL15+'Adjustments - Pro Forma'!AL15</f>
        <v>0</v>
      </c>
      <c r="AM15" s="1080">
        <f>'Adjustments - restating'!AM15+'Adjustments - Pro Forma'!AM15</f>
        <v>0</v>
      </c>
      <c r="AN15" s="1080">
        <f>'Adjustments - restating'!AN15+'Adjustments - Pro Forma'!AN15</f>
        <v>0</v>
      </c>
      <c r="AO15" s="1080">
        <f>'Adjustments - restating'!AO15+'Adjustments - Pro Forma'!AO15</f>
        <v>0</v>
      </c>
      <c r="AP15" s="1080">
        <f>'Adjustments - restating'!AP15+'Adjustments - Pro Forma'!AP15</f>
        <v>0</v>
      </c>
      <c r="AQ15" s="1080">
        <f>'Adjustments - restating'!AQ15+'Adjustments - Pro Forma'!AQ15</f>
        <v>0</v>
      </c>
      <c r="AR15" s="1080">
        <f>'Adjustments - restating'!AR15+'Adjustments - Pro Forma'!AR15</f>
        <v>0</v>
      </c>
      <c r="AS15" s="1080">
        <f>'Adjustments - restating'!AS15+'Adjustments - Pro Forma'!AS15</f>
        <v>0</v>
      </c>
      <c r="AT15" s="1080">
        <f>'Adjustments - restating'!AT15+'Adjustments - Pro Forma'!AT15</f>
        <v>0</v>
      </c>
      <c r="AU15" s="1080">
        <f>'Adjustments - restating'!AU15+'Adjustments - Pro Forma'!AU15</f>
        <v>0</v>
      </c>
      <c r="AV15" s="1080">
        <f>'Adjustments - restating'!AV15+'Adjustments - Pro Forma'!AV15</f>
        <v>0</v>
      </c>
      <c r="AW15" s="1080">
        <f>'Adjustments - restating'!AW15+'Adjustments - Pro Forma'!AW15</f>
        <v>0</v>
      </c>
      <c r="AX15" s="1080">
        <f>'Adjustments - restating'!AX15+'Adjustments - Pro Forma'!AX15</f>
        <v>0</v>
      </c>
      <c r="AY15" s="1080">
        <f>'Adjustments - restating'!AY15+'Adjustments - Pro Forma'!AY15</f>
        <v>0</v>
      </c>
      <c r="AZ15" s="1080">
        <f>'Adjustments - restating'!AZ15+'Adjustments - Pro Forma'!AZ15</f>
        <v>0</v>
      </c>
      <c r="BA15" s="1080">
        <f>'Adjustments - restating'!BA15+'Adjustments - Pro Forma'!BA15</f>
        <v>0</v>
      </c>
      <c r="BB15" s="1080">
        <f>'Adjustments - restating'!BB15+'Adjustments - Pro Forma'!BB15</f>
        <v>0</v>
      </c>
      <c r="BC15" s="1080">
        <f>'Adjustments - restating'!BC15+'Adjustments - Pro Forma'!BC15</f>
        <v>0</v>
      </c>
      <c r="BD15" s="1053"/>
      <c r="CZ15" s="10"/>
    </row>
    <row r="16" spans="1:104">
      <c r="A16" s="4">
        <v>10</v>
      </c>
      <c r="B16" s="8" t="s">
        <v>19</v>
      </c>
      <c r="C16" s="1083">
        <f t="shared" si="1"/>
        <v>76279.454657384136</v>
      </c>
      <c r="D16" s="1080">
        <f>'Adjustments - restating'!D16+'Adjustments - Pro Forma'!D16</f>
        <v>0</v>
      </c>
      <c r="E16" s="1080">
        <f>'Adjustments - restating'!E16+'Adjustments - Pro Forma'!E16</f>
        <v>0</v>
      </c>
      <c r="F16" s="1080">
        <f>'Adjustments - restating'!F16+'Adjustments - Pro Forma'!F16</f>
        <v>0</v>
      </c>
      <c r="G16" s="1080">
        <f>'Adjustments - restating'!G16+'Adjustments - Pro Forma'!G16</f>
        <v>0</v>
      </c>
      <c r="H16" s="1080">
        <f>'Adjustments - restating'!H16+'Adjustments - Pro Forma'!H16</f>
        <v>0</v>
      </c>
      <c r="I16" s="1080">
        <f>'Adjustments - restating'!I16+'Adjustments - Pro Forma'!I16</f>
        <v>0</v>
      </c>
      <c r="J16" s="1080">
        <f>'Adjustments - restating'!J16+'Adjustments - Pro Forma'!J16</f>
        <v>0</v>
      </c>
      <c r="K16" s="1080">
        <f>'Adjustments - restating'!K16+'Adjustments - Pro Forma'!K16</f>
        <v>0</v>
      </c>
      <c r="L16" s="1080">
        <f>'Adjustments - restating'!L16+'Adjustments - Pro Forma'!L16</f>
        <v>0</v>
      </c>
      <c r="M16" s="1080">
        <f>'Adjustments - restating'!M16+'Adjustments - Pro Forma'!M16</f>
        <v>0</v>
      </c>
      <c r="N16" s="1080">
        <f>'Adjustments - restating'!N16+'Adjustments - Pro Forma'!N16</f>
        <v>-4029.4565351827396</v>
      </c>
      <c r="O16" s="1080">
        <f>'Adjustments - restating'!O16+'Adjustments - Pro Forma'!O16</f>
        <v>104469.51195568303</v>
      </c>
      <c r="P16" s="1080">
        <f>'Adjustments - restating'!P16+'Adjustments - Pro Forma'!P16</f>
        <v>0</v>
      </c>
      <c r="Q16" s="1080">
        <f>'Adjustments - restating'!Q16+'Adjustments - Pro Forma'!Q16</f>
        <v>0</v>
      </c>
      <c r="R16" s="1080">
        <f>'Adjustments - restating'!R16+'Adjustments - Pro Forma'!R16</f>
        <v>0</v>
      </c>
      <c r="S16" s="1080">
        <f>'Adjustments - restating'!S16+'Adjustments - Pro Forma'!S16</f>
        <v>0</v>
      </c>
      <c r="T16" s="1080">
        <f>'Adjustments - restating'!T16+'Adjustments - Pro Forma'!T16</f>
        <v>0</v>
      </c>
      <c r="U16" s="1080">
        <f>'Adjustments - restating'!U16+'Adjustments - Pro Forma'!U16</f>
        <v>0</v>
      </c>
      <c r="V16" s="1080">
        <f>'Adjustments - restating'!V16+'Adjustments - Pro Forma'!V16</f>
        <v>0</v>
      </c>
      <c r="W16" s="1080">
        <f>'Adjustments - restating'!W16+'Adjustments - Pro Forma'!W16</f>
        <v>-343.38767399739129</v>
      </c>
      <c r="X16" s="1080">
        <f>'Adjustments - restating'!X16+'Adjustments - Pro Forma'!X16</f>
        <v>0</v>
      </c>
      <c r="Y16" s="1080">
        <f>'Adjustments - restating'!Y16+'Adjustments - Pro Forma'!Y16</f>
        <v>0</v>
      </c>
      <c r="Z16" s="1080">
        <f>'Adjustments - restating'!Z16+'Adjustments - Pro Forma'!Z16</f>
        <v>0</v>
      </c>
      <c r="AA16" s="1080">
        <f>'Adjustments - restating'!AA16+'Adjustments - Pro Forma'!AA16</f>
        <v>0</v>
      </c>
      <c r="AB16" s="1080">
        <f>'Adjustments - restating'!AB16+'Adjustments - Pro Forma'!AB16</f>
        <v>0</v>
      </c>
      <c r="AC16" s="1080">
        <f>'Adjustments - restating'!AC16+'Adjustments - Pro Forma'!AC16</f>
        <v>0</v>
      </c>
      <c r="AD16" s="1080">
        <f>'Adjustments - restating'!AD16+'Adjustments - Pro Forma'!AD16</f>
        <v>0</v>
      </c>
      <c r="AE16" s="1080">
        <f>'Adjustments - restating'!AE16+'Adjustments - Pro Forma'!AE16</f>
        <v>0</v>
      </c>
      <c r="AF16" s="1080">
        <f>'Adjustments - restating'!AF16+'Adjustments - Pro Forma'!AF16</f>
        <v>0</v>
      </c>
      <c r="AG16" s="1080">
        <f>'Adjustments - restating'!AG16+'Adjustments - Pro Forma'!AG16</f>
        <v>-16832.98251015104</v>
      </c>
      <c r="AH16" s="1080">
        <f>'Adjustments - restating'!AH16+'Adjustments - Pro Forma'!AH16</f>
        <v>0</v>
      </c>
      <c r="AI16" s="1080">
        <f>'Adjustments - restating'!AI16+'Adjustments - Pro Forma'!AI16</f>
        <v>0</v>
      </c>
      <c r="AJ16" s="1080">
        <f>'Adjustments - restating'!AJ16+'Adjustments - Pro Forma'!AJ16</f>
        <v>0</v>
      </c>
      <c r="AK16" s="1080">
        <f>'Adjustments - restating'!AK16+'Adjustments - Pro Forma'!AK16</f>
        <v>0</v>
      </c>
      <c r="AL16" s="1080">
        <f>'Adjustments - restating'!AL16+'Adjustments - Pro Forma'!AL16</f>
        <v>0</v>
      </c>
      <c r="AM16" s="1080">
        <f>'Adjustments - restating'!AM16+'Adjustments - Pro Forma'!AM16</f>
        <v>0</v>
      </c>
      <c r="AN16" s="1080">
        <f>'Adjustments - restating'!AN16+'Adjustments - Pro Forma'!AN16</f>
        <v>0</v>
      </c>
      <c r="AO16" s="1080">
        <f>'Adjustments - restating'!AO16+'Adjustments - Pro Forma'!AO16</f>
        <v>0</v>
      </c>
      <c r="AP16" s="1080">
        <f>'Adjustments - restating'!AP16+'Adjustments - Pro Forma'!AP16</f>
        <v>0</v>
      </c>
      <c r="AQ16" s="1080">
        <f>'Adjustments - restating'!AQ16+'Adjustments - Pro Forma'!AQ16</f>
        <v>0</v>
      </c>
      <c r="AR16" s="1080">
        <f>'Adjustments - restating'!AR16+'Adjustments - Pro Forma'!AR16</f>
        <v>0</v>
      </c>
      <c r="AS16" s="1080">
        <f>'Adjustments - restating'!AS16+'Adjustments - Pro Forma'!AS16</f>
        <v>0</v>
      </c>
      <c r="AT16" s="1080">
        <f>'Adjustments - restating'!AT16+'Adjustments - Pro Forma'!AT16</f>
        <v>0</v>
      </c>
      <c r="AU16" s="1080">
        <f>'Adjustments - restating'!AU16+'Adjustments - Pro Forma'!AU16</f>
        <v>0</v>
      </c>
      <c r="AV16" s="1080">
        <f>'Adjustments - restating'!AV16+'Adjustments - Pro Forma'!AV16</f>
        <v>0</v>
      </c>
      <c r="AW16" s="1080">
        <f>'Adjustments - restating'!AW16+'Adjustments - Pro Forma'!AW16</f>
        <v>0</v>
      </c>
      <c r="AX16" s="1080">
        <f>'Adjustments - restating'!AX16+'Adjustments - Pro Forma'!AX16</f>
        <v>0</v>
      </c>
      <c r="AY16" s="1080">
        <f>'Adjustments - restating'!AY16+'Adjustments - Pro Forma'!AY16</f>
        <v>0</v>
      </c>
      <c r="AZ16" s="1080">
        <f>'Adjustments - restating'!AZ16+'Adjustments - Pro Forma'!AZ16</f>
        <v>-6984.2305789677403</v>
      </c>
      <c r="BA16" s="1080">
        <f>'Adjustments - restating'!BA16+'Adjustments - Pro Forma'!BA16</f>
        <v>0</v>
      </c>
      <c r="BB16" s="1080">
        <f>'Adjustments - restating'!BB16+'Adjustments - Pro Forma'!BB16</f>
        <v>0</v>
      </c>
      <c r="BC16" s="1080">
        <f>'Adjustments - restating'!BC16+'Adjustments - Pro Forma'!BC16</f>
        <v>0</v>
      </c>
      <c r="BD16" s="1053"/>
      <c r="CZ16" s="10"/>
    </row>
    <row r="17" spans="1:104">
      <c r="A17" s="4">
        <v>11</v>
      </c>
      <c r="B17" s="8" t="s">
        <v>20</v>
      </c>
      <c r="C17" s="1083">
        <f t="shared" si="1"/>
        <v>-20587736.097314149</v>
      </c>
      <c r="D17" s="1080">
        <f>'Adjustments - restating'!D17+'Adjustments - Pro Forma'!D17</f>
        <v>0</v>
      </c>
      <c r="E17" s="1080">
        <f>'Adjustments - restating'!E17+'Adjustments - Pro Forma'!E17</f>
        <v>0</v>
      </c>
      <c r="F17" s="1080">
        <f>'Adjustments - restating'!F17+'Adjustments - Pro Forma'!F17</f>
        <v>0</v>
      </c>
      <c r="G17" s="1080">
        <f>'Adjustments - restating'!G17+'Adjustments - Pro Forma'!G17</f>
        <v>0</v>
      </c>
      <c r="H17" s="1080">
        <f>'Adjustments - restating'!H17+'Adjustments - Pro Forma'!H17</f>
        <v>0</v>
      </c>
      <c r="I17" s="1080">
        <f>'Adjustments - restating'!I17+'Adjustments - Pro Forma'!I17</f>
        <v>0</v>
      </c>
      <c r="J17" s="1080">
        <f>'Adjustments - restating'!J17+'Adjustments - Pro Forma'!J17</f>
        <v>0</v>
      </c>
      <c r="K17" s="1080">
        <f>'Adjustments - restating'!K17+'Adjustments - Pro Forma'!K17</f>
        <v>0</v>
      </c>
      <c r="L17" s="1080">
        <f>'Adjustments - restating'!L17+'Adjustments - Pro Forma'!L17</f>
        <v>0</v>
      </c>
      <c r="M17" s="1080">
        <f>'Adjustments - restating'!M17+'Adjustments - Pro Forma'!M17</f>
        <v>-571.03068678181455</v>
      </c>
      <c r="N17" s="1080">
        <f>'Adjustments - restating'!N17+'Adjustments - Pro Forma'!N17</f>
        <v>-4861.784858658717</v>
      </c>
      <c r="O17" s="1080">
        <f>'Adjustments - restating'!O17+'Adjustments - Pro Forma'!O17</f>
        <v>126048.83238790696</v>
      </c>
      <c r="P17" s="1080">
        <f>'Adjustments - restating'!P17+'Adjustments - Pro Forma'!P17</f>
        <v>-5011.1464766640465</v>
      </c>
      <c r="Q17" s="1080">
        <f>'Adjustments - restating'!Q17+'Adjustments - Pro Forma'!Q17</f>
        <v>0</v>
      </c>
      <c r="R17" s="1080">
        <f>'Adjustments - restating'!R17+'Adjustments - Pro Forma'!R17</f>
        <v>0</v>
      </c>
      <c r="S17" s="1080">
        <f>'Adjustments - restating'!S17+'Adjustments - Pro Forma'!S17</f>
        <v>-39319.478067078089</v>
      </c>
      <c r="T17" s="1080">
        <f>'Adjustments - restating'!T17+'Adjustments - Pro Forma'!T17</f>
        <v>0</v>
      </c>
      <c r="U17" s="1080">
        <f>'Adjustments - restating'!U17+'Adjustments - Pro Forma'!U17</f>
        <v>0</v>
      </c>
      <c r="V17" s="1080">
        <f>'Adjustments - restating'!V17+'Adjustments - Pro Forma'!V17</f>
        <v>0</v>
      </c>
      <c r="W17" s="1080">
        <f>'Adjustments - restating'!W17+'Adjustments - Pro Forma'!W17</f>
        <v>-61551.156267190818</v>
      </c>
      <c r="X17" s="1080">
        <f>'Adjustments - restating'!X17+'Adjustments - Pro Forma'!X17</f>
        <v>0</v>
      </c>
      <c r="Y17" s="1080">
        <f>'Adjustments - restating'!Y17+'Adjustments - Pro Forma'!Y17</f>
        <v>0</v>
      </c>
      <c r="Z17" s="1080">
        <f>'Adjustments - restating'!Z17+'Adjustments - Pro Forma'!Z17</f>
        <v>34894112.577853382</v>
      </c>
      <c r="AA17" s="1080">
        <f>'Adjustments - restating'!AA17+'Adjustments - Pro Forma'!AA17</f>
        <v>-56069655.426708736</v>
      </c>
      <c r="AB17" s="1080">
        <f>'Adjustments - restating'!AB17+'Adjustments - Pro Forma'!AB17</f>
        <v>0</v>
      </c>
      <c r="AC17" s="1080">
        <f>'Adjustments - restating'!AC17+'Adjustments - Pro Forma'!AC17</f>
        <v>0</v>
      </c>
      <c r="AD17" s="1080">
        <f>'Adjustments - restating'!AD17+'Adjustments - Pro Forma'!AD17</f>
        <v>0</v>
      </c>
      <c r="AE17" s="1080">
        <f>'Adjustments - restating'!AE17+'Adjustments - Pro Forma'!AE17</f>
        <v>0</v>
      </c>
      <c r="AF17" s="1080">
        <f>'Adjustments - restating'!AF17+'Adjustments - Pro Forma'!AF17</f>
        <v>0</v>
      </c>
      <c r="AG17" s="1080">
        <f>'Adjustments - restating'!AG17+'Adjustments - Pro Forma'!AG17</f>
        <v>-9066.7565976280148</v>
      </c>
      <c r="AH17" s="1080">
        <f>'Adjustments - restating'!AH17+'Adjustments - Pro Forma'!AH17</f>
        <v>0</v>
      </c>
      <c r="AI17" s="1080">
        <f>'Adjustments - restating'!AI17+'Adjustments - Pro Forma'!AI17</f>
        <v>0</v>
      </c>
      <c r="AJ17" s="1080">
        <f>'Adjustments - restating'!AJ17+'Adjustments - Pro Forma'!AJ17</f>
        <v>0</v>
      </c>
      <c r="AK17" s="1080">
        <f>'Adjustments - restating'!AK17+'Adjustments - Pro Forma'!AK17</f>
        <v>0</v>
      </c>
      <c r="AL17" s="1080">
        <f>'Adjustments - restating'!AL17+'Adjustments - Pro Forma'!AL17</f>
        <v>0</v>
      </c>
      <c r="AM17" s="1080">
        <f>'Adjustments - restating'!AM17+'Adjustments - Pro Forma'!AM17</f>
        <v>0</v>
      </c>
      <c r="AN17" s="1080">
        <f>'Adjustments - restating'!AN17+'Adjustments - Pro Forma'!AN17</f>
        <v>0</v>
      </c>
      <c r="AO17" s="1080">
        <f>'Adjustments - restating'!AO17+'Adjustments - Pro Forma'!AO17</f>
        <v>0</v>
      </c>
      <c r="AP17" s="1080">
        <f>'Adjustments - restating'!AP17+'Adjustments - Pro Forma'!AP17</f>
        <v>0</v>
      </c>
      <c r="AQ17" s="1080">
        <f>'Adjustments - restating'!AQ17+'Adjustments - Pro Forma'!AQ17</f>
        <v>0</v>
      </c>
      <c r="AR17" s="1080">
        <f>'Adjustments - restating'!AR17+'Adjustments - Pro Forma'!AR17</f>
        <v>0</v>
      </c>
      <c r="AS17" s="1080">
        <f>'Adjustments - restating'!AS17+'Adjustments - Pro Forma'!AS17</f>
        <v>0</v>
      </c>
      <c r="AT17" s="1080">
        <f>'Adjustments - restating'!AT17+'Adjustments - Pro Forma'!AT17</f>
        <v>0</v>
      </c>
      <c r="AU17" s="1080">
        <f>'Adjustments - restating'!AU17+'Adjustments - Pro Forma'!AU17</f>
        <v>0</v>
      </c>
      <c r="AV17" s="1080">
        <f>'Adjustments - restating'!AV17+'Adjustments - Pro Forma'!AV17</f>
        <v>0</v>
      </c>
      <c r="AW17" s="1080">
        <f>'Adjustments - restating'!AW17+'Adjustments - Pro Forma'!AW17</f>
        <v>0</v>
      </c>
      <c r="AX17" s="1080">
        <f>'Adjustments - restating'!AX17+'Adjustments - Pro Forma'!AX17</f>
        <v>0</v>
      </c>
      <c r="AY17" s="1080">
        <f>'Adjustments - restating'!AY17+'Adjustments - Pro Forma'!AY17</f>
        <v>0</v>
      </c>
      <c r="AZ17" s="1080">
        <f>'Adjustments - restating'!AZ17+'Adjustments - Pro Forma'!AZ17</f>
        <v>0</v>
      </c>
      <c r="BA17" s="1080">
        <f>'Adjustments - restating'!BA17+'Adjustments - Pro Forma'!BA17</f>
        <v>0</v>
      </c>
      <c r="BB17" s="1080">
        <f>'Adjustments - restating'!BB17+'Adjustments - Pro Forma'!BB17</f>
        <v>0</v>
      </c>
      <c r="BC17" s="1080">
        <f>'Adjustments - restating'!BC17+'Adjustments - Pro Forma'!BC17</f>
        <v>582139.27210729942</v>
      </c>
      <c r="BD17" s="1053"/>
      <c r="CZ17" s="10"/>
    </row>
    <row r="18" spans="1:104">
      <c r="A18" s="4">
        <v>12</v>
      </c>
      <c r="B18" s="8" t="s">
        <v>21</v>
      </c>
      <c r="C18" s="1083">
        <f t="shared" si="1"/>
        <v>4055379.5745588643</v>
      </c>
      <c r="D18" s="1080">
        <f>'Adjustments - restating'!D18+'Adjustments - Pro Forma'!D18</f>
        <v>0</v>
      </c>
      <c r="E18" s="1080">
        <f>'Adjustments - restating'!E18+'Adjustments - Pro Forma'!E18</f>
        <v>0</v>
      </c>
      <c r="F18" s="1080">
        <f>'Adjustments - restating'!F18+'Adjustments - Pro Forma'!F18</f>
        <v>0</v>
      </c>
      <c r="G18" s="1080">
        <f>'Adjustments - restating'!G18+'Adjustments - Pro Forma'!G18</f>
        <v>0</v>
      </c>
      <c r="H18" s="1080">
        <f>'Adjustments - restating'!H18+'Adjustments - Pro Forma'!H18</f>
        <v>0</v>
      </c>
      <c r="I18" s="1080">
        <f>'Adjustments - restating'!I18+'Adjustments - Pro Forma'!I18</f>
        <v>-112130</v>
      </c>
      <c r="J18" s="1080">
        <f>'Adjustments - restating'!J18+'Adjustments - Pro Forma'!J18</f>
        <v>0</v>
      </c>
      <c r="K18" s="1080">
        <f>'Adjustments - restating'!K18+'Adjustments - Pro Forma'!K18</f>
        <v>0</v>
      </c>
      <c r="L18" s="1080">
        <f>'Adjustments - restating'!L18+'Adjustments - Pro Forma'!L18</f>
        <v>0</v>
      </c>
      <c r="M18" s="1080">
        <f>'Adjustments - restating'!M18+'Adjustments - Pro Forma'!M18</f>
        <v>0</v>
      </c>
      <c r="N18" s="1080">
        <f>'Adjustments - restating'!N18+'Adjustments - Pro Forma'!N18</f>
        <v>-2511.5814009299925</v>
      </c>
      <c r="O18" s="1080">
        <f>'Adjustments - restating'!O18+'Adjustments - Pro Forma'!O18</f>
        <v>65116.394953302952</v>
      </c>
      <c r="P18" s="1080">
        <f>'Adjustments - restating'!P18+'Adjustments - Pro Forma'!P18</f>
        <v>0</v>
      </c>
      <c r="Q18" s="1080">
        <f>'Adjustments - restating'!Q18+'Adjustments - Pro Forma'!Q18</f>
        <v>0</v>
      </c>
      <c r="R18" s="1080">
        <f>'Adjustments - restating'!R18+'Adjustments - Pro Forma'!R18</f>
        <v>0</v>
      </c>
      <c r="S18" s="1080">
        <f>'Adjustments - restating'!S18+'Adjustments - Pro Forma'!S18</f>
        <v>118385.44187176228</v>
      </c>
      <c r="T18" s="1080">
        <f>'Adjustments - restating'!T18+'Adjustments - Pro Forma'!T18</f>
        <v>0</v>
      </c>
      <c r="U18" s="1080">
        <f>'Adjustments - restating'!U18+'Adjustments - Pro Forma'!U18</f>
        <v>0</v>
      </c>
      <c r="V18" s="1080">
        <f>'Adjustments - restating'!V18+'Adjustments - Pro Forma'!V18</f>
        <v>0</v>
      </c>
      <c r="W18" s="1080">
        <f>'Adjustments - restating'!W18+'Adjustments - Pro Forma'!W18</f>
        <v>-5247.3435211022797</v>
      </c>
      <c r="X18" s="1080">
        <f>'Adjustments - restating'!X18+'Adjustments - Pro Forma'!X18</f>
        <v>0</v>
      </c>
      <c r="Y18" s="1080">
        <f>'Adjustments - restating'!Y18+'Adjustments - Pro Forma'!Y18</f>
        <v>0</v>
      </c>
      <c r="Z18" s="1080">
        <f>'Adjustments - restating'!Z18+'Adjustments - Pro Forma'!Z18</f>
        <v>310072.78129679535</v>
      </c>
      <c r="AA18" s="1080">
        <f>'Adjustments - restating'!AA18+'Adjustments - Pro Forma'!AA18</f>
        <v>3489789.7181038051</v>
      </c>
      <c r="AB18" s="1080">
        <f>'Adjustments - restating'!AB18+'Adjustments - Pro Forma'!AB18</f>
        <v>0</v>
      </c>
      <c r="AC18" s="1080">
        <f>'Adjustments - restating'!AC18+'Adjustments - Pro Forma'!AC18</f>
        <v>0</v>
      </c>
      <c r="AD18" s="1080">
        <f>'Adjustments - restating'!AD18+'Adjustments - Pro Forma'!AD18</f>
        <v>0</v>
      </c>
      <c r="AE18" s="1080">
        <f>'Adjustments - restating'!AE18+'Adjustments - Pro Forma'!AE18</f>
        <v>0</v>
      </c>
      <c r="AF18" s="1080">
        <f>'Adjustments - restating'!AF18+'Adjustments - Pro Forma'!AF18</f>
        <v>0</v>
      </c>
      <c r="AG18" s="1080">
        <f>'Adjustments - restating'!AG18+'Adjustments - Pro Forma'!AG18</f>
        <v>-4683.855394548289</v>
      </c>
      <c r="AH18" s="1080">
        <f>'Adjustments - restating'!AH18+'Adjustments - Pro Forma'!AH18</f>
        <v>0</v>
      </c>
      <c r="AI18" s="1080">
        <f>'Adjustments - restating'!AI18+'Adjustments - Pro Forma'!AI18</f>
        <v>0</v>
      </c>
      <c r="AJ18" s="1080">
        <f>'Adjustments - restating'!AJ18+'Adjustments - Pro Forma'!AJ18</f>
        <v>0</v>
      </c>
      <c r="AK18" s="1080">
        <f>'Adjustments - restating'!AK18+'Adjustments - Pro Forma'!AK18</f>
        <v>0</v>
      </c>
      <c r="AL18" s="1080">
        <f>'Adjustments - restating'!AL18+'Adjustments - Pro Forma'!AL18</f>
        <v>0</v>
      </c>
      <c r="AM18" s="1080">
        <f>'Adjustments - restating'!AM18+'Adjustments - Pro Forma'!AM18</f>
        <v>0</v>
      </c>
      <c r="AN18" s="1080">
        <f>'Adjustments - restating'!AN18+'Adjustments - Pro Forma'!AN18</f>
        <v>0</v>
      </c>
      <c r="AO18" s="1080">
        <f>'Adjustments - restating'!AO18+'Adjustments - Pro Forma'!AO18</f>
        <v>0</v>
      </c>
      <c r="AP18" s="1080">
        <f>'Adjustments - restating'!AP18+'Adjustments - Pro Forma'!AP18</f>
        <v>0</v>
      </c>
      <c r="AQ18" s="1080">
        <f>'Adjustments - restating'!AQ18+'Adjustments - Pro Forma'!AQ18</f>
        <v>0</v>
      </c>
      <c r="AR18" s="1080">
        <f>'Adjustments - restating'!AR18+'Adjustments - Pro Forma'!AR18</f>
        <v>0</v>
      </c>
      <c r="AS18" s="1080">
        <f>'Adjustments - restating'!AS18+'Adjustments - Pro Forma'!AS18</f>
        <v>0</v>
      </c>
      <c r="AT18" s="1080">
        <f>'Adjustments - restating'!AT18+'Adjustments - Pro Forma'!AT18</f>
        <v>0</v>
      </c>
      <c r="AU18" s="1080">
        <f>'Adjustments - restating'!AU18+'Adjustments - Pro Forma'!AU18</f>
        <v>0</v>
      </c>
      <c r="AV18" s="1080">
        <f>'Adjustments - restating'!AV18+'Adjustments - Pro Forma'!AV18</f>
        <v>0</v>
      </c>
      <c r="AW18" s="1080">
        <f>'Adjustments - restating'!AW18+'Adjustments - Pro Forma'!AW18</f>
        <v>0</v>
      </c>
      <c r="AX18" s="1080">
        <f>'Adjustments - restating'!AX18+'Adjustments - Pro Forma'!AX18</f>
        <v>0</v>
      </c>
      <c r="AY18" s="1080">
        <f>'Adjustments - restating'!AY18+'Adjustments - Pro Forma'!AY18</f>
        <v>0</v>
      </c>
      <c r="AZ18" s="1080">
        <f>'Adjustments - restating'!AZ18+'Adjustments - Pro Forma'!AZ18</f>
        <v>0</v>
      </c>
      <c r="BA18" s="1080">
        <f>'Adjustments - restating'!BA18+'Adjustments - Pro Forma'!BA18</f>
        <v>0</v>
      </c>
      <c r="BB18" s="1080">
        <f>'Adjustments - restating'!BB18+'Adjustments - Pro Forma'!BB18</f>
        <v>0</v>
      </c>
      <c r="BC18" s="1080">
        <f>'Adjustments - restating'!BC18+'Adjustments - Pro Forma'!BC18</f>
        <v>196588.01864977926</v>
      </c>
      <c r="BD18" s="1053"/>
      <c r="CZ18" s="10"/>
    </row>
    <row r="19" spans="1:104">
      <c r="A19" s="4">
        <v>13</v>
      </c>
      <c r="B19" s="8" t="s">
        <v>22</v>
      </c>
      <c r="C19" s="1083">
        <f t="shared" si="1"/>
        <v>-112753.65791352194</v>
      </c>
      <c r="D19" s="1080">
        <f>'Adjustments - restating'!D19+'Adjustments - Pro Forma'!D19</f>
        <v>0</v>
      </c>
      <c r="E19" s="1080">
        <f>'Adjustments - restating'!E19+'Adjustments - Pro Forma'!E19</f>
        <v>0</v>
      </c>
      <c r="F19" s="1080">
        <f>'Adjustments - restating'!F19+'Adjustments - Pro Forma'!F19</f>
        <v>0</v>
      </c>
      <c r="G19" s="1080">
        <f>'Adjustments - restating'!G19+'Adjustments - Pro Forma'!G19</f>
        <v>0</v>
      </c>
      <c r="H19" s="1080">
        <f>'Adjustments - restating'!H19+'Adjustments - Pro Forma'!H19</f>
        <v>0</v>
      </c>
      <c r="I19" s="1080">
        <f>'Adjustments - restating'!I19+'Adjustments - Pro Forma'!I19</f>
        <v>0</v>
      </c>
      <c r="J19" s="1080">
        <f>'Adjustments - restating'!J19+'Adjustments - Pro Forma'!J19</f>
        <v>0</v>
      </c>
      <c r="K19" s="1080">
        <f>'Adjustments - restating'!K19+'Adjustments - Pro Forma'!K19</f>
        <v>0</v>
      </c>
      <c r="L19" s="1080">
        <f>'Adjustments - restating'!L19+'Adjustments - Pro Forma'!L19</f>
        <v>0</v>
      </c>
      <c r="M19" s="1080">
        <f>'Adjustments - restating'!M19+'Adjustments - Pro Forma'!M19</f>
        <v>-124.97292981134815</v>
      </c>
      <c r="N19" s="1080">
        <f>'Adjustments - restating'!N19+'Adjustments - Pro Forma'!N19</f>
        <v>-9991.9518611297044</v>
      </c>
      <c r="O19" s="1080">
        <f>'Adjustments - restating'!O19+'Adjustments - Pro Forma'!O19</f>
        <v>259055.63411386727</v>
      </c>
      <c r="P19" s="1080">
        <f>'Adjustments - restating'!P19+'Adjustments - Pro Forma'!P19</f>
        <v>0</v>
      </c>
      <c r="Q19" s="1080">
        <f>'Adjustments - restating'!Q19+'Adjustments - Pro Forma'!Q19</f>
        <v>0</v>
      </c>
      <c r="R19" s="1080">
        <f>'Adjustments - restating'!R19+'Adjustments - Pro Forma'!R19</f>
        <v>0</v>
      </c>
      <c r="S19" s="1080">
        <f>'Adjustments - restating'!S19+'Adjustments - Pro Forma'!S19</f>
        <v>-313797.34437002521</v>
      </c>
      <c r="T19" s="1080">
        <f>'Adjustments - restating'!T19+'Adjustments - Pro Forma'!T19</f>
        <v>0</v>
      </c>
      <c r="U19" s="1080">
        <f>'Adjustments - restating'!U19+'Adjustments - Pro Forma'!U19</f>
        <v>0</v>
      </c>
      <c r="V19" s="1080">
        <f>'Adjustments - restating'!V19+'Adjustments - Pro Forma'!V19</f>
        <v>0</v>
      </c>
      <c r="W19" s="1080">
        <f>'Adjustments - restating'!W19+'Adjustments - Pro Forma'!W19</f>
        <v>-29261.329006115837</v>
      </c>
      <c r="X19" s="1080">
        <f>'Adjustments - restating'!X19+'Adjustments - Pro Forma'!X19</f>
        <v>0</v>
      </c>
      <c r="Y19" s="1080">
        <f>'Adjustments - restating'!Y19+'Adjustments - Pro Forma'!Y19</f>
        <v>0</v>
      </c>
      <c r="Z19" s="1080">
        <f>'Adjustments - restating'!Z19+'Adjustments - Pro Forma'!Z19</f>
        <v>0</v>
      </c>
      <c r="AA19" s="1080">
        <f>'Adjustments - restating'!AA19+'Adjustments - Pro Forma'!AA19</f>
        <v>0</v>
      </c>
      <c r="AB19" s="1080">
        <f>'Adjustments - restating'!AB19+'Adjustments - Pro Forma'!AB19</f>
        <v>0</v>
      </c>
      <c r="AC19" s="1080">
        <f>'Adjustments - restating'!AC19+'Adjustments - Pro Forma'!AC19</f>
        <v>0</v>
      </c>
      <c r="AD19" s="1080">
        <f>'Adjustments - restating'!AD19+'Adjustments - Pro Forma'!AD19</f>
        <v>0</v>
      </c>
      <c r="AE19" s="1080">
        <f>'Adjustments - restating'!AE19+'Adjustments - Pro Forma'!AE19</f>
        <v>0</v>
      </c>
      <c r="AF19" s="1080">
        <f>'Adjustments - restating'!AF19+'Adjustments - Pro Forma'!AF19</f>
        <v>0</v>
      </c>
      <c r="AG19" s="1080">
        <f>'Adjustments - restating'!AG19+'Adjustments - Pro Forma'!AG19</f>
        <v>-18633.693860307107</v>
      </c>
      <c r="AH19" s="1080">
        <f>'Adjustments - restating'!AH19+'Adjustments - Pro Forma'!AH19</f>
        <v>0</v>
      </c>
      <c r="AI19" s="1080">
        <f>'Adjustments - restating'!AI19+'Adjustments - Pro Forma'!AI19</f>
        <v>0</v>
      </c>
      <c r="AJ19" s="1080">
        <f>'Adjustments - restating'!AJ19+'Adjustments - Pro Forma'!AJ19</f>
        <v>0</v>
      </c>
      <c r="AK19" s="1080">
        <f>'Adjustments - restating'!AK19+'Adjustments - Pro Forma'!AK19</f>
        <v>0</v>
      </c>
      <c r="AL19" s="1080">
        <f>'Adjustments - restating'!AL19+'Adjustments - Pro Forma'!AL19</f>
        <v>0</v>
      </c>
      <c r="AM19" s="1080">
        <f>'Adjustments - restating'!AM19+'Adjustments - Pro Forma'!AM19</f>
        <v>0</v>
      </c>
      <c r="AN19" s="1080">
        <f>'Adjustments - restating'!AN19+'Adjustments - Pro Forma'!AN19</f>
        <v>0</v>
      </c>
      <c r="AO19" s="1080">
        <f>'Adjustments - restating'!AO19+'Adjustments - Pro Forma'!AO19</f>
        <v>0</v>
      </c>
      <c r="AP19" s="1080">
        <f>'Adjustments - restating'!AP19+'Adjustments - Pro Forma'!AP19</f>
        <v>0</v>
      </c>
      <c r="AQ19" s="1080">
        <f>'Adjustments - restating'!AQ19+'Adjustments - Pro Forma'!AQ19</f>
        <v>0</v>
      </c>
      <c r="AR19" s="1080">
        <f>'Adjustments - restating'!AR19+'Adjustments - Pro Forma'!AR19</f>
        <v>0</v>
      </c>
      <c r="AS19" s="1080">
        <f>'Adjustments - restating'!AS19+'Adjustments - Pro Forma'!AS19</f>
        <v>0</v>
      </c>
      <c r="AT19" s="1080">
        <f>'Adjustments - restating'!AT19+'Adjustments - Pro Forma'!AT19</f>
        <v>0</v>
      </c>
      <c r="AU19" s="1080">
        <f>'Adjustments - restating'!AU19+'Adjustments - Pro Forma'!AU19</f>
        <v>0</v>
      </c>
      <c r="AV19" s="1080">
        <f>'Adjustments - restating'!AV19+'Adjustments - Pro Forma'!AV19</f>
        <v>0</v>
      </c>
      <c r="AW19" s="1080">
        <f>'Adjustments - restating'!AW19+'Adjustments - Pro Forma'!AW19</f>
        <v>0</v>
      </c>
      <c r="AX19" s="1080">
        <f>'Adjustments - restating'!AX19+'Adjustments - Pro Forma'!AX19</f>
        <v>0</v>
      </c>
      <c r="AY19" s="1080">
        <f>'Adjustments - restating'!AY19+'Adjustments - Pro Forma'!AY19</f>
        <v>0</v>
      </c>
      <c r="AZ19" s="1080">
        <f>'Adjustments - restating'!AZ19+'Adjustments - Pro Forma'!AZ19</f>
        <v>0</v>
      </c>
      <c r="BA19" s="1080">
        <f>'Adjustments - restating'!BA19+'Adjustments - Pro Forma'!BA19</f>
        <v>0</v>
      </c>
      <c r="BB19" s="1080">
        <f>'Adjustments - restating'!BB19+'Adjustments - Pro Forma'!BB19</f>
        <v>0</v>
      </c>
      <c r="BC19" s="1080">
        <f>'Adjustments - restating'!BC19+'Adjustments - Pro Forma'!BC19</f>
        <v>0</v>
      </c>
      <c r="BD19" s="1053"/>
      <c r="CZ19" s="10"/>
    </row>
    <row r="20" spans="1:104">
      <c r="A20" s="4">
        <v>14</v>
      </c>
      <c r="B20" s="8" t="s">
        <v>23</v>
      </c>
      <c r="C20" s="1083">
        <f t="shared" si="1"/>
        <v>542504.38474412996</v>
      </c>
      <c r="D20" s="1080">
        <f>'Adjustments - restating'!D20+'Adjustments - Pro Forma'!D20</f>
        <v>0</v>
      </c>
      <c r="E20" s="1080">
        <f>'Adjustments - restating'!E20+'Adjustments - Pro Forma'!E20</f>
        <v>0</v>
      </c>
      <c r="F20" s="1080">
        <f>'Adjustments - restating'!F20+'Adjustments - Pro Forma'!F20</f>
        <v>0</v>
      </c>
      <c r="G20" s="1080">
        <f>'Adjustments - restating'!G20+'Adjustments - Pro Forma'!G20</f>
        <v>0</v>
      </c>
      <c r="H20" s="1080">
        <f>'Adjustments - restating'!H20+'Adjustments - Pro Forma'!H20</f>
        <v>0</v>
      </c>
      <c r="I20" s="1080">
        <f>'Adjustments - restating'!I20+'Adjustments - Pro Forma'!I20</f>
        <v>0</v>
      </c>
      <c r="J20" s="1080">
        <f>'Adjustments - restating'!J20+'Adjustments - Pro Forma'!J20</f>
        <v>0</v>
      </c>
      <c r="K20" s="1080">
        <f>'Adjustments - restating'!K20+'Adjustments - Pro Forma'!K20</f>
        <v>0</v>
      </c>
      <c r="L20" s="1080">
        <f>'Adjustments - restating'!L20+'Adjustments - Pro Forma'!L20</f>
        <v>0</v>
      </c>
      <c r="M20" s="1080">
        <f>'Adjustments - restating'!M20+'Adjustments - Pro Forma'!M20</f>
        <v>-1703.490610626937</v>
      </c>
      <c r="N20" s="1080">
        <f>'Adjustments - restating'!N20+'Adjustments - Pro Forma'!N20</f>
        <v>-5409.3940757339369</v>
      </c>
      <c r="O20" s="1080">
        <f>'Adjustments - restating'!O20+'Adjustments - Pro Forma'!O20</f>
        <v>140245.90084645982</v>
      </c>
      <c r="P20" s="1080">
        <f>'Adjustments - restating'!P20+'Adjustments - Pro Forma'!P20</f>
        <v>0</v>
      </c>
      <c r="Q20" s="1080">
        <f>'Adjustments - restating'!Q20+'Adjustments - Pro Forma'!Q20</f>
        <v>0</v>
      </c>
      <c r="R20" s="1080">
        <f>'Adjustments - restating'!R20+'Adjustments - Pro Forma'!R20</f>
        <v>0</v>
      </c>
      <c r="S20" s="1080">
        <f>'Adjustments - restating'!S20+'Adjustments - Pro Forma'!S20</f>
        <v>0</v>
      </c>
      <c r="T20" s="1080">
        <f>'Adjustments - restating'!T20+'Adjustments - Pro Forma'!T20</f>
        <v>0</v>
      </c>
      <c r="U20" s="1080">
        <f>'Adjustments - restating'!U20+'Adjustments - Pro Forma'!U20</f>
        <v>0</v>
      </c>
      <c r="V20" s="1080">
        <f>'Adjustments - restating'!V20+'Adjustments - Pro Forma'!V20</f>
        <v>422425.00651124539</v>
      </c>
      <c r="W20" s="1080">
        <f>'Adjustments - restating'!W20+'Adjustments - Pro Forma'!W20</f>
        <v>-2949.2486031032072</v>
      </c>
      <c r="X20" s="1080">
        <f>'Adjustments - restating'!X20+'Adjustments - Pro Forma'!X20</f>
        <v>0</v>
      </c>
      <c r="Y20" s="1080">
        <f>'Adjustments - restating'!Y20+'Adjustments - Pro Forma'!Y20</f>
        <v>0</v>
      </c>
      <c r="Z20" s="1080">
        <f>'Adjustments - restating'!Z20+'Adjustments - Pro Forma'!Z20</f>
        <v>0</v>
      </c>
      <c r="AA20" s="1080">
        <f>'Adjustments - restating'!AA20+'Adjustments - Pro Forma'!AA20</f>
        <v>0</v>
      </c>
      <c r="AB20" s="1080">
        <f>'Adjustments - restating'!AB20+'Adjustments - Pro Forma'!AB20</f>
        <v>0</v>
      </c>
      <c r="AC20" s="1080">
        <f>'Adjustments - restating'!AC20+'Adjustments - Pro Forma'!AC20</f>
        <v>0</v>
      </c>
      <c r="AD20" s="1080">
        <f>'Adjustments - restating'!AD20+'Adjustments - Pro Forma'!AD20</f>
        <v>0</v>
      </c>
      <c r="AE20" s="1080">
        <f>'Adjustments - restating'!AE20+'Adjustments - Pro Forma'!AE20</f>
        <v>0</v>
      </c>
      <c r="AF20" s="1080">
        <f>'Adjustments - restating'!AF20+'Adjustments - Pro Forma'!AF20</f>
        <v>0</v>
      </c>
      <c r="AG20" s="1080">
        <f>'Adjustments - restating'!AG20+'Adjustments - Pro Forma'!AG20</f>
        <v>-10104.389324111222</v>
      </c>
      <c r="AH20" s="1080">
        <f>'Adjustments - restating'!AH20+'Adjustments - Pro Forma'!AH20</f>
        <v>0</v>
      </c>
      <c r="AI20" s="1080">
        <f>'Adjustments - restating'!AI20+'Adjustments - Pro Forma'!AI20</f>
        <v>0</v>
      </c>
      <c r="AJ20" s="1080">
        <f>'Adjustments - restating'!AJ20+'Adjustments - Pro Forma'!AJ20</f>
        <v>0</v>
      </c>
      <c r="AK20" s="1080">
        <f>'Adjustments - restating'!AK20+'Adjustments - Pro Forma'!AK20</f>
        <v>0</v>
      </c>
      <c r="AL20" s="1080">
        <f>'Adjustments - restating'!AL20+'Adjustments - Pro Forma'!AL20</f>
        <v>0</v>
      </c>
      <c r="AM20" s="1080">
        <f>'Adjustments - restating'!AM20+'Adjustments - Pro Forma'!AM20</f>
        <v>0</v>
      </c>
      <c r="AN20" s="1080">
        <f>'Adjustments - restating'!AN20+'Adjustments - Pro Forma'!AN20</f>
        <v>0</v>
      </c>
      <c r="AO20" s="1080">
        <f>'Adjustments - restating'!AO20+'Adjustments - Pro Forma'!AO20</f>
        <v>0</v>
      </c>
      <c r="AP20" s="1080">
        <f>'Adjustments - restating'!AP20+'Adjustments - Pro Forma'!AP20</f>
        <v>0</v>
      </c>
      <c r="AQ20" s="1080">
        <f>'Adjustments - restating'!AQ20+'Adjustments - Pro Forma'!AQ20</f>
        <v>0</v>
      </c>
      <c r="AR20" s="1080">
        <f>'Adjustments - restating'!AR20+'Adjustments - Pro Forma'!AR20</f>
        <v>0</v>
      </c>
      <c r="AS20" s="1080">
        <f>'Adjustments - restating'!AS20+'Adjustments - Pro Forma'!AS20</f>
        <v>0</v>
      </c>
      <c r="AT20" s="1080">
        <f>'Adjustments - restating'!AT20+'Adjustments - Pro Forma'!AT20</f>
        <v>0</v>
      </c>
      <c r="AU20" s="1080">
        <f>'Adjustments - restating'!AU20+'Adjustments - Pro Forma'!AU20</f>
        <v>0</v>
      </c>
      <c r="AV20" s="1080">
        <f>'Adjustments - restating'!AV20+'Adjustments - Pro Forma'!AV20</f>
        <v>0</v>
      </c>
      <c r="AW20" s="1080">
        <f>'Adjustments - restating'!AW20+'Adjustments - Pro Forma'!AW20</f>
        <v>0</v>
      </c>
      <c r="AX20" s="1080">
        <f>'Adjustments - restating'!AX20+'Adjustments - Pro Forma'!AX20</f>
        <v>0</v>
      </c>
      <c r="AY20" s="1080">
        <f>'Adjustments - restating'!AY20+'Adjustments - Pro Forma'!AY20</f>
        <v>0</v>
      </c>
      <c r="AZ20" s="1080">
        <f>'Adjustments - restating'!AZ20+'Adjustments - Pro Forma'!AZ20</f>
        <v>0</v>
      </c>
      <c r="BA20" s="1080">
        <f>'Adjustments - restating'!BA20+'Adjustments - Pro Forma'!BA20</f>
        <v>0</v>
      </c>
      <c r="BB20" s="1080">
        <f>'Adjustments - restating'!BB20+'Adjustments - Pro Forma'!BB20</f>
        <v>0</v>
      </c>
      <c r="BC20" s="1080">
        <f>'Adjustments - restating'!BC20+'Adjustments - Pro Forma'!BC20</f>
        <v>0</v>
      </c>
      <c r="BD20" s="1053"/>
      <c r="CZ20" s="10"/>
    </row>
    <row r="21" spans="1:104">
      <c r="A21" s="4">
        <v>15</v>
      </c>
      <c r="B21" s="8" t="s">
        <v>24</v>
      </c>
      <c r="C21" s="1083">
        <f t="shared" si="1"/>
        <v>-10661992.638556631</v>
      </c>
      <c r="D21" s="1080">
        <f>'Adjustments - restating'!D21+'Adjustments - Pro Forma'!D21</f>
        <v>0</v>
      </c>
      <c r="E21" s="1080">
        <f>'Adjustments - restating'!E21+'Adjustments - Pro Forma'!E21</f>
        <v>0</v>
      </c>
      <c r="F21" s="1080">
        <f>'Adjustments - restating'!F21+'Adjustments - Pro Forma'!F21</f>
        <v>0</v>
      </c>
      <c r="G21" s="1080">
        <f>'Adjustments - restating'!G21+'Adjustments - Pro Forma'!G21</f>
        <v>0</v>
      </c>
      <c r="H21" s="1080">
        <f>'Adjustments - restating'!H21+'Adjustments - Pro Forma'!H21</f>
        <v>0</v>
      </c>
      <c r="I21" s="1080">
        <f>'Adjustments - restating'!I21+'Adjustments - Pro Forma'!I21</f>
        <v>0</v>
      </c>
      <c r="J21" s="1080">
        <f>'Adjustments - restating'!J21+'Adjustments - Pro Forma'!J21</f>
        <v>0</v>
      </c>
      <c r="K21" s="1080">
        <f>'Adjustments - restating'!K21+'Adjustments - Pro Forma'!K21</f>
        <v>0</v>
      </c>
      <c r="L21" s="1080">
        <f>'Adjustments - restating'!L21+'Adjustments - Pro Forma'!L21</f>
        <v>0</v>
      </c>
      <c r="M21" s="1080">
        <f>'Adjustments - restating'!M21+'Adjustments - Pro Forma'!M21</f>
        <v>-2911.3712282595038</v>
      </c>
      <c r="N21" s="1080">
        <f>'Adjustments - restating'!N21+'Adjustments - Pro Forma'!N21</f>
        <v>-830.05033790862353</v>
      </c>
      <c r="O21" s="1080">
        <f>'Adjustments - restating'!O21+'Adjustments - Pro Forma'!O21</f>
        <v>21520.249650806429</v>
      </c>
      <c r="P21" s="1080">
        <f>'Adjustments - restating'!P21+'Adjustments - Pro Forma'!P21</f>
        <v>-329.60724603979043</v>
      </c>
      <c r="Q21" s="1080">
        <f>'Adjustments - restating'!Q21+'Adjustments - Pro Forma'!Q21</f>
        <v>0</v>
      </c>
      <c r="R21" s="1080">
        <f>'Adjustments - restating'!R21+'Adjustments - Pro Forma'!R21</f>
        <v>-10677588.59</v>
      </c>
      <c r="S21" s="1080">
        <f>'Adjustments - restating'!S21+'Adjustments - Pro Forma'!S21</f>
        <v>0</v>
      </c>
      <c r="T21" s="1080">
        <f>'Adjustments - restating'!T21+'Adjustments - Pro Forma'!T21</f>
        <v>-305.30612733818725</v>
      </c>
      <c r="U21" s="1080">
        <f>'Adjustments - restating'!U21+'Adjustments - Pro Forma'!U21</f>
        <v>0</v>
      </c>
      <c r="V21" s="1080">
        <f>'Adjustments - restating'!V21+'Adjustments - Pro Forma'!V21</f>
        <v>0</v>
      </c>
      <c r="W21" s="1080">
        <f>'Adjustments - restating'!W21+'Adjustments - Pro Forma'!W21</f>
        <v>0</v>
      </c>
      <c r="X21" s="1080">
        <f>'Adjustments - restating'!X21+'Adjustments - Pro Forma'!X21</f>
        <v>0</v>
      </c>
      <c r="Y21" s="1080">
        <f>'Adjustments - restating'!Y21+'Adjustments - Pro Forma'!Y21</f>
        <v>0</v>
      </c>
      <c r="Z21" s="1080">
        <f>'Adjustments - restating'!Z21+'Adjustments - Pro Forma'!Z21</f>
        <v>0</v>
      </c>
      <c r="AA21" s="1080">
        <f>'Adjustments - restating'!AA21+'Adjustments - Pro Forma'!AA21</f>
        <v>0</v>
      </c>
      <c r="AB21" s="1080">
        <f>'Adjustments - restating'!AB21+'Adjustments - Pro Forma'!AB21</f>
        <v>0</v>
      </c>
      <c r="AC21" s="1080">
        <f>'Adjustments - restating'!AC21+'Adjustments - Pro Forma'!AC21</f>
        <v>0</v>
      </c>
      <c r="AD21" s="1080">
        <f>'Adjustments - restating'!AD21+'Adjustments - Pro Forma'!AD21</f>
        <v>0</v>
      </c>
      <c r="AE21" s="1080">
        <f>'Adjustments - restating'!AE21+'Adjustments - Pro Forma'!AE21</f>
        <v>0</v>
      </c>
      <c r="AF21" s="1080">
        <f>'Adjustments - restating'!AF21+'Adjustments - Pro Forma'!AF21</f>
        <v>0</v>
      </c>
      <c r="AG21" s="1080">
        <f>'Adjustments - restating'!AG21+'Adjustments - Pro Forma'!AG21</f>
        <v>-1547.9632678918319</v>
      </c>
      <c r="AH21" s="1080">
        <f>'Adjustments - restating'!AH21+'Adjustments - Pro Forma'!AH21</f>
        <v>0</v>
      </c>
      <c r="AI21" s="1080">
        <f>'Adjustments - restating'!AI21+'Adjustments - Pro Forma'!AI21</f>
        <v>0</v>
      </c>
      <c r="AJ21" s="1080">
        <f>'Adjustments - restating'!AJ21+'Adjustments - Pro Forma'!AJ21</f>
        <v>0</v>
      </c>
      <c r="AK21" s="1080">
        <f>'Adjustments - restating'!AK21+'Adjustments - Pro Forma'!AK21</f>
        <v>0</v>
      </c>
      <c r="AL21" s="1080">
        <f>'Adjustments - restating'!AL21+'Adjustments - Pro Forma'!AL21</f>
        <v>0</v>
      </c>
      <c r="AM21" s="1080">
        <f>'Adjustments - restating'!AM21+'Adjustments - Pro Forma'!AM21</f>
        <v>0</v>
      </c>
      <c r="AN21" s="1080">
        <f>'Adjustments - restating'!AN21+'Adjustments - Pro Forma'!AN21</f>
        <v>0</v>
      </c>
      <c r="AO21" s="1080">
        <f>'Adjustments - restating'!AO21+'Adjustments - Pro Forma'!AO21</f>
        <v>0</v>
      </c>
      <c r="AP21" s="1080">
        <f>'Adjustments - restating'!AP21+'Adjustments - Pro Forma'!AP21</f>
        <v>0</v>
      </c>
      <c r="AQ21" s="1080">
        <f>'Adjustments - restating'!AQ21+'Adjustments - Pro Forma'!AQ21</f>
        <v>0</v>
      </c>
      <c r="AR21" s="1080">
        <f>'Adjustments - restating'!AR21+'Adjustments - Pro Forma'!AR21</f>
        <v>0</v>
      </c>
      <c r="AS21" s="1080">
        <f>'Adjustments - restating'!AS21+'Adjustments - Pro Forma'!AS21</f>
        <v>0</v>
      </c>
      <c r="AT21" s="1080">
        <f>'Adjustments - restating'!AT21+'Adjustments - Pro Forma'!AT21</f>
        <v>0</v>
      </c>
      <c r="AU21" s="1080">
        <f>'Adjustments - restating'!AU21+'Adjustments - Pro Forma'!AU21</f>
        <v>0</v>
      </c>
      <c r="AV21" s="1080">
        <f>'Adjustments - restating'!AV21+'Adjustments - Pro Forma'!AV21</f>
        <v>0</v>
      </c>
      <c r="AW21" s="1080">
        <f>'Adjustments - restating'!AW21+'Adjustments - Pro Forma'!AW21</f>
        <v>0</v>
      </c>
      <c r="AX21" s="1080">
        <f>'Adjustments - restating'!AX21+'Adjustments - Pro Forma'!AX21</f>
        <v>0</v>
      </c>
      <c r="AY21" s="1080">
        <f>'Adjustments - restating'!AY21+'Adjustments - Pro Forma'!AY21</f>
        <v>0</v>
      </c>
      <c r="AZ21" s="1080">
        <f>'Adjustments - restating'!AZ21+'Adjustments - Pro Forma'!AZ21</f>
        <v>0</v>
      </c>
      <c r="BA21" s="1080">
        <f>'Adjustments - restating'!BA21+'Adjustments - Pro Forma'!BA21</f>
        <v>0</v>
      </c>
      <c r="BB21" s="1080">
        <f>'Adjustments - restating'!BB21+'Adjustments - Pro Forma'!BB21</f>
        <v>0</v>
      </c>
      <c r="BC21" s="1080">
        <f>'Adjustments - restating'!BC21+'Adjustments - Pro Forma'!BC21</f>
        <v>0</v>
      </c>
      <c r="BD21" s="1053"/>
      <c r="CZ21" s="10"/>
    </row>
    <row r="22" spans="1:104">
      <c r="A22" s="4">
        <v>16</v>
      </c>
      <c r="B22" s="8" t="s">
        <v>25</v>
      </c>
      <c r="C22" s="1083">
        <f t="shared" si="1"/>
        <v>0</v>
      </c>
      <c r="D22" s="1080">
        <f>'Adjustments - restating'!D22+'Adjustments - Pro Forma'!D22</f>
        <v>0</v>
      </c>
      <c r="E22" s="1080">
        <f>'Adjustments - restating'!E22+'Adjustments - Pro Forma'!E22</f>
        <v>0</v>
      </c>
      <c r="F22" s="1080">
        <f>'Adjustments - restating'!F22+'Adjustments - Pro Forma'!F22</f>
        <v>0</v>
      </c>
      <c r="G22" s="1080">
        <f>'Adjustments - restating'!G22+'Adjustments - Pro Forma'!G22</f>
        <v>0</v>
      </c>
      <c r="H22" s="1080">
        <f>'Adjustments - restating'!H22+'Adjustments - Pro Forma'!H22</f>
        <v>0</v>
      </c>
      <c r="I22" s="1080">
        <f>'Adjustments - restating'!I22+'Adjustments - Pro Forma'!I22</f>
        <v>0</v>
      </c>
      <c r="J22" s="1080">
        <f>'Adjustments - restating'!J22+'Adjustments - Pro Forma'!J22</f>
        <v>0</v>
      </c>
      <c r="K22" s="1080">
        <f>'Adjustments - restating'!K22+'Adjustments - Pro Forma'!K22</f>
        <v>0</v>
      </c>
      <c r="L22" s="1080">
        <f>'Adjustments - restating'!L22+'Adjustments - Pro Forma'!L22</f>
        <v>0</v>
      </c>
      <c r="M22" s="1080">
        <f>'Adjustments - restating'!M22+'Adjustments - Pro Forma'!M22</f>
        <v>0</v>
      </c>
      <c r="N22" s="1080">
        <f>'Adjustments - restating'!N22+'Adjustments - Pro Forma'!N22</f>
        <v>0</v>
      </c>
      <c r="O22" s="1080">
        <f>'Adjustments - restating'!O22+'Adjustments - Pro Forma'!O22</f>
        <v>0</v>
      </c>
      <c r="P22" s="1080">
        <f>'Adjustments - restating'!P22+'Adjustments - Pro Forma'!P22</f>
        <v>0</v>
      </c>
      <c r="Q22" s="1080">
        <f>'Adjustments - restating'!Q22+'Adjustments - Pro Forma'!Q22</f>
        <v>0</v>
      </c>
      <c r="R22" s="1080">
        <f>'Adjustments - restating'!R22+'Adjustments - Pro Forma'!R22</f>
        <v>0</v>
      </c>
      <c r="S22" s="1080">
        <f>'Adjustments - restating'!S22+'Adjustments - Pro Forma'!S22</f>
        <v>0</v>
      </c>
      <c r="T22" s="1080">
        <f>'Adjustments - restating'!T22+'Adjustments - Pro Forma'!T22</f>
        <v>0</v>
      </c>
      <c r="U22" s="1080">
        <f>'Adjustments - restating'!U22+'Adjustments - Pro Forma'!U22</f>
        <v>0</v>
      </c>
      <c r="V22" s="1080">
        <f>'Adjustments - restating'!V22+'Adjustments - Pro Forma'!V22</f>
        <v>0</v>
      </c>
      <c r="W22" s="1080">
        <f>'Adjustments - restating'!W22+'Adjustments - Pro Forma'!W22</f>
        <v>0</v>
      </c>
      <c r="X22" s="1080">
        <f>'Adjustments - restating'!X22+'Adjustments - Pro Forma'!X22</f>
        <v>0</v>
      </c>
      <c r="Y22" s="1080">
        <f>'Adjustments - restating'!Y22+'Adjustments - Pro Forma'!Y22</f>
        <v>0</v>
      </c>
      <c r="Z22" s="1080">
        <f>'Adjustments - restating'!Z22+'Adjustments - Pro Forma'!Z22</f>
        <v>0</v>
      </c>
      <c r="AA22" s="1080">
        <f>'Adjustments - restating'!AA22+'Adjustments - Pro Forma'!AA22</f>
        <v>0</v>
      </c>
      <c r="AB22" s="1080">
        <f>'Adjustments - restating'!AB22+'Adjustments - Pro Forma'!AB22</f>
        <v>0</v>
      </c>
      <c r="AC22" s="1080">
        <f>'Adjustments - restating'!AC22+'Adjustments - Pro Forma'!AC22</f>
        <v>0</v>
      </c>
      <c r="AD22" s="1080">
        <f>'Adjustments - restating'!AD22+'Adjustments - Pro Forma'!AD22</f>
        <v>0</v>
      </c>
      <c r="AE22" s="1080">
        <f>'Adjustments - restating'!AE22+'Adjustments - Pro Forma'!AE22</f>
        <v>0</v>
      </c>
      <c r="AF22" s="1080">
        <f>'Adjustments - restating'!AF22+'Adjustments - Pro Forma'!AF22</f>
        <v>0</v>
      </c>
      <c r="AG22" s="1080">
        <f>'Adjustments - restating'!AG22+'Adjustments - Pro Forma'!AG22</f>
        <v>0</v>
      </c>
      <c r="AH22" s="1080">
        <f>'Adjustments - restating'!AH22+'Adjustments - Pro Forma'!AH22</f>
        <v>0</v>
      </c>
      <c r="AI22" s="1080">
        <f>'Adjustments - restating'!AI22+'Adjustments - Pro Forma'!AI22</f>
        <v>0</v>
      </c>
      <c r="AJ22" s="1080">
        <f>'Adjustments - restating'!AJ22+'Adjustments - Pro Forma'!AJ22</f>
        <v>0</v>
      </c>
      <c r="AK22" s="1080">
        <f>'Adjustments - restating'!AK22+'Adjustments - Pro Forma'!AK22</f>
        <v>0</v>
      </c>
      <c r="AL22" s="1080">
        <f>'Adjustments - restating'!AL22+'Adjustments - Pro Forma'!AL22</f>
        <v>0</v>
      </c>
      <c r="AM22" s="1080">
        <f>'Adjustments - restating'!AM22+'Adjustments - Pro Forma'!AM22</f>
        <v>0</v>
      </c>
      <c r="AN22" s="1080">
        <f>'Adjustments - restating'!AN22+'Adjustments - Pro Forma'!AN22</f>
        <v>0</v>
      </c>
      <c r="AO22" s="1080">
        <f>'Adjustments - restating'!AO22+'Adjustments - Pro Forma'!AO22</f>
        <v>0</v>
      </c>
      <c r="AP22" s="1080">
        <f>'Adjustments - restating'!AP22+'Adjustments - Pro Forma'!AP22</f>
        <v>0</v>
      </c>
      <c r="AQ22" s="1080">
        <f>'Adjustments - restating'!AQ22+'Adjustments - Pro Forma'!AQ22</f>
        <v>0</v>
      </c>
      <c r="AR22" s="1080">
        <f>'Adjustments - restating'!AR22+'Adjustments - Pro Forma'!AR22</f>
        <v>0</v>
      </c>
      <c r="AS22" s="1080">
        <f>'Adjustments - restating'!AS22+'Adjustments - Pro Forma'!AS22</f>
        <v>0</v>
      </c>
      <c r="AT22" s="1080">
        <f>'Adjustments - restating'!AT22+'Adjustments - Pro Forma'!AT22</f>
        <v>0</v>
      </c>
      <c r="AU22" s="1080">
        <f>'Adjustments - restating'!AU22+'Adjustments - Pro Forma'!AU22</f>
        <v>0</v>
      </c>
      <c r="AV22" s="1080">
        <f>'Adjustments - restating'!AV22+'Adjustments - Pro Forma'!AV22</f>
        <v>0</v>
      </c>
      <c r="AW22" s="1080">
        <f>'Adjustments - restating'!AW22+'Adjustments - Pro Forma'!AW22</f>
        <v>0</v>
      </c>
      <c r="AX22" s="1080">
        <f>'Adjustments - restating'!AX22+'Adjustments - Pro Forma'!AX22</f>
        <v>0</v>
      </c>
      <c r="AY22" s="1080">
        <f>'Adjustments - restating'!AY22+'Adjustments - Pro Forma'!AY22</f>
        <v>0</v>
      </c>
      <c r="AZ22" s="1080">
        <f>'Adjustments - restating'!AZ22+'Adjustments - Pro Forma'!AZ22</f>
        <v>0</v>
      </c>
      <c r="BA22" s="1080">
        <f>'Adjustments - restating'!BA22+'Adjustments - Pro Forma'!BA22</f>
        <v>0</v>
      </c>
      <c r="BB22" s="1080">
        <f>'Adjustments - restating'!BB22+'Adjustments - Pro Forma'!BB22</f>
        <v>0</v>
      </c>
      <c r="BC22" s="1080">
        <f>'Adjustments - restating'!BC22+'Adjustments - Pro Forma'!BC22</f>
        <v>0</v>
      </c>
      <c r="BD22" s="1053"/>
      <c r="CZ22" s="10"/>
    </row>
    <row r="23" spans="1:104">
      <c r="A23" s="4">
        <v>17</v>
      </c>
      <c r="B23" s="8" t="s">
        <v>26</v>
      </c>
      <c r="C23" s="1083">
        <f t="shared" si="1"/>
        <v>-1047201.9636169939</v>
      </c>
      <c r="D23" s="1080">
        <f>'Adjustments - restating'!D23+'Adjustments - Pro Forma'!D23</f>
        <v>0</v>
      </c>
      <c r="E23" s="1080">
        <f>'Adjustments - restating'!E23+'Adjustments - Pro Forma'!E23</f>
        <v>0</v>
      </c>
      <c r="F23" s="1080">
        <f>'Adjustments - restating'!F23+'Adjustments - Pro Forma'!F23</f>
        <v>0</v>
      </c>
      <c r="G23" s="1080">
        <f>'Adjustments - restating'!G23+'Adjustments - Pro Forma'!G23</f>
        <v>0</v>
      </c>
      <c r="H23" s="1080">
        <f>'Adjustments - restating'!H23+'Adjustments - Pro Forma'!H23</f>
        <v>0</v>
      </c>
      <c r="I23" s="1080">
        <f>'Adjustments - restating'!I23+'Adjustments - Pro Forma'!I23</f>
        <v>0</v>
      </c>
      <c r="J23" s="1080">
        <f>'Adjustments - restating'!J23+'Adjustments - Pro Forma'!J23</f>
        <v>0</v>
      </c>
      <c r="K23" s="1080">
        <f>'Adjustments - restating'!K23+'Adjustments - Pro Forma'!K23</f>
        <v>0</v>
      </c>
      <c r="L23" s="1080">
        <f>'Adjustments - restating'!L23+'Adjustments - Pro Forma'!L23</f>
        <v>0</v>
      </c>
      <c r="M23" s="1080">
        <f>'Adjustments - restating'!M23+'Adjustments - Pro Forma'!M23</f>
        <v>-9143.570824686507</v>
      </c>
      <c r="N23" s="1080">
        <f>'Adjustments - restating'!N23+'Adjustments - Pro Forma'!N23</f>
        <v>-11242.511462546512</v>
      </c>
      <c r="O23" s="1080">
        <f>'Adjustments - restating'!O23+'Adjustments - Pro Forma'!O23</f>
        <v>291478.26459482458</v>
      </c>
      <c r="P23" s="1080">
        <f>'Adjustments - restating'!P23+'Adjustments - Pro Forma'!P23</f>
        <v>0</v>
      </c>
      <c r="Q23" s="1080">
        <f>'Adjustments - restating'!Q23+'Adjustments - Pro Forma'!Q23</f>
        <v>0</v>
      </c>
      <c r="R23" s="1080">
        <f>'Adjustments - restating'!R23+'Adjustments - Pro Forma'!R23</f>
        <v>0</v>
      </c>
      <c r="S23" s="1080">
        <f>'Adjustments - restating'!S23+'Adjustments - Pro Forma'!S23</f>
        <v>-1773629.0809942801</v>
      </c>
      <c r="T23" s="1080">
        <f>'Adjustments - restating'!T23+'Adjustments - Pro Forma'!T23</f>
        <v>-96.640490930986942</v>
      </c>
      <c r="U23" s="1080">
        <f>'Adjustments - restating'!U23+'Adjustments - Pro Forma'!U23</f>
        <v>1496.5274180481501</v>
      </c>
      <c r="V23" s="1080">
        <f>'Adjustments - restating'!V23+'Adjustments - Pro Forma'!V23</f>
        <v>0</v>
      </c>
      <c r="W23" s="1080">
        <f>'Adjustments - restating'!W23+'Adjustments - Pro Forma'!W23</f>
        <v>306135.44787366805</v>
      </c>
      <c r="X23" s="1080">
        <f>'Adjustments - restating'!X23+'Adjustments - Pro Forma'!X23</f>
        <v>0</v>
      </c>
      <c r="Y23" s="1080">
        <f>'Adjustments - restating'!Y23+'Adjustments - Pro Forma'!Y23</f>
        <v>0</v>
      </c>
      <c r="Z23" s="1080">
        <f>'Adjustments - restating'!Z23+'Adjustments - Pro Forma'!Z23</f>
        <v>0</v>
      </c>
      <c r="AA23" s="1080">
        <f>'Adjustments - restating'!AA23+'Adjustments - Pro Forma'!AA23</f>
        <v>0</v>
      </c>
      <c r="AB23" s="1080">
        <f>'Adjustments - restating'!AB23+'Adjustments - Pro Forma'!AB23</f>
        <v>0</v>
      </c>
      <c r="AC23" s="1080">
        <f>'Adjustments - restating'!AC23+'Adjustments - Pro Forma'!AC23</f>
        <v>0</v>
      </c>
      <c r="AD23" s="1080">
        <f>'Adjustments - restating'!AD23+'Adjustments - Pro Forma'!AD23</f>
        <v>0</v>
      </c>
      <c r="AE23" s="1080">
        <f>'Adjustments - restating'!AE23+'Adjustments - Pro Forma'!AE23</f>
        <v>0</v>
      </c>
      <c r="AF23" s="1080">
        <f>'Adjustments - restating'!AF23+'Adjustments - Pro Forma'!AF23</f>
        <v>0</v>
      </c>
      <c r="AG23" s="1080">
        <f>'Adjustments - restating'!AG23+'Adjustments - Pro Forma'!AG23</f>
        <v>-20966.275033748134</v>
      </c>
      <c r="AH23" s="1080">
        <f>'Adjustments - restating'!AH23+'Adjustments - Pro Forma'!AH23</f>
        <v>0</v>
      </c>
      <c r="AI23" s="1080">
        <f>'Adjustments - restating'!AI23+'Adjustments - Pro Forma'!AI23</f>
        <v>0</v>
      </c>
      <c r="AJ23" s="1080">
        <f>'Adjustments - restating'!AJ23+'Adjustments - Pro Forma'!AJ23</f>
        <v>0</v>
      </c>
      <c r="AK23" s="1080">
        <f>'Adjustments - restating'!AK23+'Adjustments - Pro Forma'!AK23</f>
        <v>0</v>
      </c>
      <c r="AL23" s="1080">
        <f>'Adjustments - restating'!AL23+'Adjustments - Pro Forma'!AL23</f>
        <v>0</v>
      </c>
      <c r="AM23" s="1080">
        <f>'Adjustments - restating'!AM23+'Adjustments - Pro Forma'!AM23</f>
        <v>0</v>
      </c>
      <c r="AN23" s="1080">
        <f>'Adjustments - restating'!AN23+'Adjustments - Pro Forma'!AN23</f>
        <v>0</v>
      </c>
      <c r="AO23" s="1080">
        <f>'Adjustments - restating'!AO23+'Adjustments - Pro Forma'!AO23</f>
        <v>0</v>
      </c>
      <c r="AP23" s="1080">
        <f>'Adjustments - restating'!AP23+'Adjustments - Pro Forma'!AP23</f>
        <v>0</v>
      </c>
      <c r="AQ23" s="1080">
        <f>'Adjustments - restating'!AQ23+'Adjustments - Pro Forma'!AQ23</f>
        <v>168765.87530265757</v>
      </c>
      <c r="AR23" s="1080">
        <f>'Adjustments - restating'!AR23+'Adjustments - Pro Forma'!AR23</f>
        <v>0</v>
      </c>
      <c r="AS23" s="1080">
        <f>'Adjustments - restating'!AS23+'Adjustments - Pro Forma'!AS23</f>
        <v>0</v>
      </c>
      <c r="AT23" s="1080">
        <f>'Adjustments - restating'!AT23+'Adjustments - Pro Forma'!AT23</f>
        <v>0</v>
      </c>
      <c r="AU23" s="1080">
        <f>'Adjustments - restating'!AU23+'Adjustments - Pro Forma'!AU23</f>
        <v>0</v>
      </c>
      <c r="AV23" s="1080">
        <f>'Adjustments - restating'!AV23+'Adjustments - Pro Forma'!AV23</f>
        <v>0</v>
      </c>
      <c r="AW23" s="1080">
        <f>'Adjustments - restating'!AW23+'Adjustments - Pro Forma'!AW23</f>
        <v>0</v>
      </c>
      <c r="AX23" s="1080">
        <f>'Adjustments - restating'!AX23+'Adjustments - Pro Forma'!AX23</f>
        <v>0</v>
      </c>
      <c r="AY23" s="1080">
        <f>'Adjustments - restating'!AY23+'Adjustments - Pro Forma'!AY23</f>
        <v>0</v>
      </c>
      <c r="AZ23" s="1080">
        <f>'Adjustments - restating'!AZ23+'Adjustments - Pro Forma'!AZ23</f>
        <v>0</v>
      </c>
      <c r="BA23" s="1080">
        <f>'Adjustments - restating'!BA23+'Adjustments - Pro Forma'!BA23</f>
        <v>0</v>
      </c>
      <c r="BB23" s="1080">
        <f>'Adjustments - restating'!BB23+'Adjustments - Pro Forma'!BB23</f>
        <v>0</v>
      </c>
      <c r="BC23" s="1080">
        <f>'Adjustments - restating'!BC23+'Adjustments - Pro Forma'!BC23</f>
        <v>0</v>
      </c>
      <c r="BD23" s="1053"/>
      <c r="CZ23" s="10"/>
    </row>
    <row r="24" spans="1:104">
      <c r="A24" s="4">
        <v>18</v>
      </c>
      <c r="B24" s="1282" t="s">
        <v>27</v>
      </c>
      <c r="C24" s="1287">
        <f>SUM(C14:C23)</f>
        <v>-20312610.000336703</v>
      </c>
      <c r="D24" s="1084">
        <f>SUM(D14:D23)</f>
        <v>0</v>
      </c>
      <c r="E24" s="1084">
        <f t="shared" ref="E24:BC24" si="2">SUM(E14:E23)</f>
        <v>0</v>
      </c>
      <c r="F24" s="1084">
        <f t="shared" si="2"/>
        <v>0</v>
      </c>
      <c r="G24" s="1084">
        <f t="shared" si="2"/>
        <v>0</v>
      </c>
      <c r="H24" s="1084">
        <f t="shared" si="2"/>
        <v>0</v>
      </c>
      <c r="I24" s="1084">
        <f t="shared" si="2"/>
        <v>-112130</v>
      </c>
      <c r="J24" s="1084">
        <f t="shared" si="2"/>
        <v>0</v>
      </c>
      <c r="K24" s="1084">
        <f t="shared" si="2"/>
        <v>0</v>
      </c>
      <c r="L24" s="1084">
        <f t="shared" si="2"/>
        <v>0</v>
      </c>
      <c r="M24" s="1084">
        <f t="shared" si="2"/>
        <v>-14454.43628016611</v>
      </c>
      <c r="N24" s="1084">
        <f t="shared" si="2"/>
        <v>-47588.981132557921</v>
      </c>
      <c r="O24" s="1084">
        <f t="shared" si="2"/>
        <v>1233812.5366109316</v>
      </c>
      <c r="P24" s="1084">
        <f t="shared" si="2"/>
        <v>-5340.7537227038374</v>
      </c>
      <c r="Q24" s="1084">
        <f t="shared" si="2"/>
        <v>-2677.954313646268</v>
      </c>
      <c r="R24" s="1084">
        <f t="shared" si="2"/>
        <v>-10677588.59</v>
      </c>
      <c r="S24" s="1084">
        <f t="shared" si="2"/>
        <v>-2008360.4615596212</v>
      </c>
      <c r="T24" s="1084">
        <f t="shared" si="2"/>
        <v>-401.94661826917422</v>
      </c>
      <c r="U24" s="1084">
        <f t="shared" si="2"/>
        <v>1496.5274180481501</v>
      </c>
      <c r="V24" s="1084">
        <f t="shared" si="2"/>
        <v>422425.00651124539</v>
      </c>
      <c r="W24" s="1084">
        <f t="shared" si="2"/>
        <v>215352.2102726177</v>
      </c>
      <c r="X24" s="1084">
        <f t="shared" si="2"/>
        <v>0</v>
      </c>
      <c r="Y24" s="1084">
        <f t="shared" si="2"/>
        <v>0</v>
      </c>
      <c r="Z24" s="1084">
        <f t="shared" si="2"/>
        <v>37600994.60665264</v>
      </c>
      <c r="AA24" s="1084">
        <f t="shared" si="2"/>
        <v>-48117337.102145284</v>
      </c>
      <c r="AB24" s="1084">
        <f t="shared" si="2"/>
        <v>0</v>
      </c>
      <c r="AC24" s="1084">
        <f t="shared" si="2"/>
        <v>0</v>
      </c>
      <c r="AD24" s="1084">
        <f t="shared" si="2"/>
        <v>0</v>
      </c>
      <c r="AE24" s="1084">
        <f t="shared" si="2"/>
        <v>0</v>
      </c>
      <c r="AF24" s="1084">
        <f t="shared" si="2"/>
        <v>0</v>
      </c>
      <c r="AG24" s="1084">
        <f t="shared" si="2"/>
        <v>-132157.57984889968</v>
      </c>
      <c r="AH24" s="1084">
        <f t="shared" si="2"/>
        <v>0</v>
      </c>
      <c r="AI24" s="1084">
        <f t="shared" si="2"/>
        <v>0</v>
      </c>
      <c r="AJ24" s="1084">
        <f t="shared" si="2"/>
        <v>0</v>
      </c>
      <c r="AK24" s="1084">
        <f t="shared" si="2"/>
        <v>0</v>
      </c>
      <c r="AL24" s="1084">
        <f t="shared" si="2"/>
        <v>0</v>
      </c>
      <c r="AM24" s="1084">
        <f t="shared" si="2"/>
        <v>0</v>
      </c>
      <c r="AN24" s="1084">
        <f t="shared" si="2"/>
        <v>0</v>
      </c>
      <c r="AO24" s="1084">
        <f t="shared" si="2"/>
        <v>0</v>
      </c>
      <c r="AP24" s="1084">
        <f t="shared" si="2"/>
        <v>0</v>
      </c>
      <c r="AQ24" s="1084">
        <f t="shared" si="2"/>
        <v>168765.87530265757</v>
      </c>
      <c r="AR24" s="1084">
        <f t="shared" si="2"/>
        <v>0</v>
      </c>
      <c r="AS24" s="1084">
        <f t="shared" si="2"/>
        <v>0</v>
      </c>
      <c r="AT24" s="1084">
        <f t="shared" si="2"/>
        <v>0</v>
      </c>
      <c r="AU24" s="1084">
        <f t="shared" si="2"/>
        <v>0</v>
      </c>
      <c r="AV24" s="1084">
        <f t="shared" si="2"/>
        <v>0</v>
      </c>
      <c r="AW24" s="1084">
        <f t="shared" si="2"/>
        <v>0</v>
      </c>
      <c r="AX24" s="1084">
        <f t="shared" si="2"/>
        <v>0</v>
      </c>
      <c r="AY24" s="1084">
        <f t="shared" si="2"/>
        <v>0</v>
      </c>
      <c r="AZ24" s="1084">
        <f t="shared" si="2"/>
        <v>-6984.2305789677403</v>
      </c>
      <c r="BA24" s="1084">
        <f t="shared" si="2"/>
        <v>0</v>
      </c>
      <c r="BB24" s="1084">
        <f t="shared" si="2"/>
        <v>0</v>
      </c>
      <c r="BC24" s="1084">
        <f t="shared" si="2"/>
        <v>1169565.2730952688</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3">SUM(D26:BC26)</f>
        <v>1960208.8511272804</v>
      </c>
      <c r="D26" s="1080">
        <f>'Adjustments - restating'!D26+'Adjustments - Pro Forma'!D26</f>
        <v>0</v>
      </c>
      <c r="E26" s="1080">
        <f>'Adjustments - restating'!E26+'Adjustments - Pro Forma'!E26</f>
        <v>0</v>
      </c>
      <c r="F26" s="1080">
        <f>'Adjustments - restating'!F26+'Adjustments - Pro Forma'!F26</f>
        <v>0</v>
      </c>
      <c r="G26" s="1080">
        <f>'Adjustments - restating'!G26+'Adjustments - Pro Forma'!G26</f>
        <v>0</v>
      </c>
      <c r="H26" s="1080">
        <f>'Adjustments - restating'!H26+'Adjustments - Pro Forma'!H26</f>
        <v>0</v>
      </c>
      <c r="I26" s="1080">
        <f>'Adjustments - restating'!I26+'Adjustments - Pro Forma'!I26</f>
        <v>0</v>
      </c>
      <c r="J26" s="1080">
        <f>'Adjustments - restating'!J26+'Adjustments - Pro Forma'!J26</f>
        <v>0</v>
      </c>
      <c r="K26" s="1080">
        <f>'Adjustments - restating'!K26+'Adjustments - Pro Forma'!K26</f>
        <v>0</v>
      </c>
      <c r="L26" s="1080">
        <f>'Adjustments - restating'!L26+'Adjustments - Pro Forma'!L26</f>
        <v>0</v>
      </c>
      <c r="M26" s="1080">
        <f>'Adjustments - restating'!M26+'Adjustments - Pro Forma'!M26</f>
        <v>0</v>
      </c>
      <c r="N26" s="1080">
        <f>'Adjustments - restating'!N26+'Adjustments - Pro Forma'!N26</f>
        <v>0</v>
      </c>
      <c r="O26" s="1080">
        <f>'Adjustments - restating'!O26+'Adjustments - Pro Forma'!O26</f>
        <v>0</v>
      </c>
      <c r="P26" s="1080">
        <f>'Adjustments - restating'!P26+'Adjustments - Pro Forma'!P26</f>
        <v>0</v>
      </c>
      <c r="Q26" s="1080">
        <f>'Adjustments - restating'!Q26+'Adjustments - Pro Forma'!Q26</f>
        <v>0</v>
      </c>
      <c r="R26" s="1080">
        <f>'Adjustments - restating'!R26+'Adjustments - Pro Forma'!R26</f>
        <v>0</v>
      </c>
      <c r="S26" s="1080">
        <f>'Adjustments - restating'!S26+'Adjustments - Pro Forma'!S26</f>
        <v>0</v>
      </c>
      <c r="T26" s="1080">
        <f>'Adjustments - restating'!T26+'Adjustments - Pro Forma'!T26</f>
        <v>0</v>
      </c>
      <c r="U26" s="1080">
        <f>'Adjustments - restating'!U26+'Adjustments - Pro Forma'!U26</f>
        <v>0</v>
      </c>
      <c r="V26" s="1080">
        <f>'Adjustments - restating'!V26+'Adjustments - Pro Forma'!V26</f>
        <v>0</v>
      </c>
      <c r="W26" s="1080">
        <f>'Adjustments - restating'!W26+'Adjustments - Pro Forma'!W26</f>
        <v>0</v>
      </c>
      <c r="X26" s="1080">
        <f>'Adjustments - restating'!X26+'Adjustments - Pro Forma'!X26</f>
        <v>0</v>
      </c>
      <c r="Y26" s="1080">
        <f>'Adjustments - restating'!Y26+'Adjustments - Pro Forma'!Y26</f>
        <v>0</v>
      </c>
      <c r="Z26" s="1080">
        <f>'Adjustments - restating'!Z26+'Adjustments - Pro Forma'!Z26</f>
        <v>0</v>
      </c>
      <c r="AA26" s="1080">
        <f>'Adjustments - restating'!AA26+'Adjustments - Pro Forma'!AA26</f>
        <v>0</v>
      </c>
      <c r="AB26" s="1080">
        <f>'Adjustments - restating'!AB26+'Adjustments - Pro Forma'!AB26</f>
        <v>0</v>
      </c>
      <c r="AC26" s="1080">
        <f>'Adjustments - restating'!AC26+'Adjustments - Pro Forma'!AC26</f>
        <v>-428046.01728697837</v>
      </c>
      <c r="AD26" s="1080">
        <f>'Adjustments - restating'!AD26+'Adjustments - Pro Forma'!AD26</f>
        <v>0</v>
      </c>
      <c r="AE26" s="1080">
        <f>'Adjustments - restating'!AE26+'Adjustments - Pro Forma'!AE26</f>
        <v>0</v>
      </c>
      <c r="AF26" s="1080">
        <f>'Adjustments - restating'!AF26+'Adjustments - Pro Forma'!AF26</f>
        <v>2013215.9657142847</v>
      </c>
      <c r="AG26" s="1080">
        <f>'Adjustments - restating'!AG26+'Adjustments - Pro Forma'!AG26</f>
        <v>0</v>
      </c>
      <c r="AH26" s="1080">
        <f>'Adjustments - restating'!AH26+'Adjustments - Pro Forma'!AH26</f>
        <v>0</v>
      </c>
      <c r="AI26" s="1080">
        <f>'Adjustments - restating'!AI26+'Adjustments - Pro Forma'!AI26</f>
        <v>0</v>
      </c>
      <c r="AJ26" s="1080">
        <f>'Adjustments - restating'!AJ26+'Adjustments - Pro Forma'!AJ26</f>
        <v>0</v>
      </c>
      <c r="AK26" s="1080">
        <f>'Adjustments - restating'!AK26+'Adjustments - Pro Forma'!AK26</f>
        <v>0</v>
      </c>
      <c r="AL26" s="1080">
        <f>'Adjustments - restating'!AL26+'Adjustments - Pro Forma'!AL26</f>
        <v>0</v>
      </c>
      <c r="AM26" s="1080">
        <f>'Adjustments - restating'!AM26+'Adjustments - Pro Forma'!AM26</f>
        <v>0</v>
      </c>
      <c r="AN26" s="1080">
        <f>'Adjustments - restating'!AN26+'Adjustments - Pro Forma'!AN26</f>
        <v>0</v>
      </c>
      <c r="AO26" s="1080">
        <f>'Adjustments - restating'!AO26+'Adjustments - Pro Forma'!AO26</f>
        <v>0</v>
      </c>
      <c r="AP26" s="1080">
        <f>'Adjustments - restating'!AP26+'Adjustments - Pro Forma'!AP26</f>
        <v>0</v>
      </c>
      <c r="AQ26" s="1080">
        <f>'Adjustments - restating'!AQ26+'Adjustments - Pro Forma'!AQ26</f>
        <v>0</v>
      </c>
      <c r="AR26" s="1080">
        <f>'Adjustments - restating'!AR26+'Adjustments - Pro Forma'!AR26</f>
        <v>0</v>
      </c>
      <c r="AS26" s="1080">
        <f>'Adjustments - restating'!AS26+'Adjustments - Pro Forma'!AS26</f>
        <v>744845.36788250029</v>
      </c>
      <c r="AT26" s="1080">
        <f>'Adjustments - restating'!AT26+'Adjustments - Pro Forma'!AT26</f>
        <v>0</v>
      </c>
      <c r="AU26" s="1080">
        <f>'Adjustments - restating'!AU26+'Adjustments - Pro Forma'!AU26</f>
        <v>0</v>
      </c>
      <c r="AV26" s="1080">
        <f>'Adjustments - restating'!AV26+'Adjustments - Pro Forma'!AV26</f>
        <v>-17990.552800000001</v>
      </c>
      <c r="AW26" s="1080">
        <f>'Adjustments - restating'!AW26+'Adjustments - Pro Forma'!AW26</f>
        <v>0</v>
      </c>
      <c r="AX26" s="1080">
        <f>'Adjustments - restating'!AX26+'Adjustments - Pro Forma'!AX26</f>
        <v>0</v>
      </c>
      <c r="AY26" s="1080">
        <f>'Adjustments - restating'!AY26+'Adjustments - Pro Forma'!AY26</f>
        <v>0</v>
      </c>
      <c r="AZ26" s="1080">
        <f>'Adjustments - restating'!AZ26+'Adjustments - Pro Forma'!AZ26</f>
        <v>-357573.5670762576</v>
      </c>
      <c r="BA26" s="1080">
        <f>'Adjustments - restating'!BA26+'Adjustments - Pro Forma'!BA26</f>
        <v>0</v>
      </c>
      <c r="BB26" s="1080">
        <f>'Adjustments - restating'!BB26+'Adjustments - Pro Forma'!BB26</f>
        <v>0</v>
      </c>
      <c r="BC26" s="1080">
        <f>'Adjustments - restating'!BC26+'Adjustments - Pro Forma'!BC26</f>
        <v>5757.6546937317326</v>
      </c>
      <c r="BD26" s="1053"/>
      <c r="CZ26" s="10"/>
    </row>
    <row r="27" spans="1:104" ht="13.5" thickBot="1">
      <c r="A27" s="4">
        <v>20</v>
      </c>
      <c r="B27" s="8" t="s">
        <v>8</v>
      </c>
      <c r="C27" s="1083">
        <f t="shared" si="3"/>
        <v>82361.759263031505</v>
      </c>
      <c r="D27" s="1080">
        <f>'Adjustments - restating'!D27+'Adjustments - Pro Forma'!D27</f>
        <v>0</v>
      </c>
      <c r="E27" s="1080">
        <f>'Adjustments - restating'!E27+'Adjustments - Pro Forma'!E27</f>
        <v>0</v>
      </c>
      <c r="F27" s="1080">
        <f>'Adjustments - restating'!F27+'Adjustments - Pro Forma'!F27</f>
        <v>0</v>
      </c>
      <c r="G27" s="1080">
        <f>'Adjustments - restating'!G27+'Adjustments - Pro Forma'!G27</f>
        <v>0</v>
      </c>
      <c r="H27" s="1080">
        <f>'Adjustments - restating'!H27+'Adjustments - Pro Forma'!H27</f>
        <v>0</v>
      </c>
      <c r="I27" s="1080">
        <f>'Adjustments - restating'!I27+'Adjustments - Pro Forma'!I27</f>
        <v>0</v>
      </c>
      <c r="J27" s="1080">
        <f>'Adjustments - restating'!J27+'Adjustments - Pro Forma'!J27</f>
        <v>0</v>
      </c>
      <c r="K27" s="1080">
        <f>'Adjustments - restating'!K27+'Adjustments - Pro Forma'!K27</f>
        <v>0</v>
      </c>
      <c r="L27" s="1080">
        <f>'Adjustments - restating'!L27+'Adjustments - Pro Forma'!L27</f>
        <v>0</v>
      </c>
      <c r="M27" s="1080">
        <f>'Adjustments - restating'!M27+'Adjustments - Pro Forma'!M27</f>
        <v>0</v>
      </c>
      <c r="N27" s="1080">
        <f>'Adjustments - restating'!N27+'Adjustments - Pro Forma'!N27</f>
        <v>0</v>
      </c>
      <c r="O27" s="1080">
        <f>'Adjustments - restating'!O27+'Adjustments - Pro Forma'!O27</f>
        <v>0</v>
      </c>
      <c r="P27" s="1080">
        <f>'Adjustments - restating'!P27+'Adjustments - Pro Forma'!P27</f>
        <v>0</v>
      </c>
      <c r="Q27" s="1080">
        <f>'Adjustments - restating'!Q27+'Adjustments - Pro Forma'!Q27</f>
        <v>0</v>
      </c>
      <c r="R27" s="1080">
        <f>'Adjustments - restating'!R27+'Adjustments - Pro Forma'!R27</f>
        <v>0</v>
      </c>
      <c r="S27" s="1080">
        <f>'Adjustments - restating'!S27+'Adjustments - Pro Forma'!S27</f>
        <v>0</v>
      </c>
      <c r="T27" s="1080">
        <f>'Adjustments - restating'!T27+'Adjustments - Pro Forma'!T27</f>
        <v>0</v>
      </c>
      <c r="U27" s="1080">
        <f>'Adjustments - restating'!U27+'Adjustments - Pro Forma'!U27</f>
        <v>0</v>
      </c>
      <c r="V27" s="1080">
        <f>'Adjustments - restating'!V27+'Adjustments - Pro Forma'!V27</f>
        <v>0</v>
      </c>
      <c r="W27" s="1080">
        <f>'Adjustments - restating'!W27+'Adjustments - Pro Forma'!W27</f>
        <v>0</v>
      </c>
      <c r="X27" s="1080">
        <f>'Adjustments - restating'!X27+'Adjustments - Pro Forma'!X27</f>
        <v>0</v>
      </c>
      <c r="Y27" s="1080">
        <f>'Adjustments - restating'!Y27+'Adjustments - Pro Forma'!Y27</f>
        <v>0</v>
      </c>
      <c r="Z27" s="1080">
        <f>'Adjustments - restating'!Z27+'Adjustments - Pro Forma'!Z27</f>
        <v>0</v>
      </c>
      <c r="AA27" s="1080">
        <f>'Adjustments - restating'!AA27+'Adjustments - Pro Forma'!AA27</f>
        <v>0</v>
      </c>
      <c r="AB27" s="1080">
        <f>'Adjustments - restating'!AB27+'Adjustments - Pro Forma'!AB27</f>
        <v>0</v>
      </c>
      <c r="AC27" s="1080">
        <f>'Adjustments - restating'!AC27+'Adjustments - Pro Forma'!AC27</f>
        <v>0</v>
      </c>
      <c r="AD27" s="1080">
        <f>'Adjustments - restating'!AD27+'Adjustments - Pro Forma'!AD27</f>
        <v>0</v>
      </c>
      <c r="AE27" s="1080">
        <f>'Adjustments - restating'!AE27+'Adjustments - Pro Forma'!AE27</f>
        <v>0</v>
      </c>
      <c r="AF27" s="1080">
        <f>'Adjustments - restating'!AF27+'Adjustments - Pro Forma'!AF27</f>
        <v>0</v>
      </c>
      <c r="AG27" s="1080">
        <f>'Adjustments - restating'!AG27+'Adjustments - Pro Forma'!AG27</f>
        <v>0</v>
      </c>
      <c r="AH27" s="1080">
        <f>'Adjustments - restating'!AH27+'Adjustments - Pro Forma'!AH27</f>
        <v>0</v>
      </c>
      <c r="AI27" s="1080">
        <f>'Adjustments - restating'!AI27+'Adjustments - Pro Forma'!AI27</f>
        <v>0</v>
      </c>
      <c r="AJ27" s="1080">
        <f>'Adjustments - restating'!AJ27+'Adjustments - Pro Forma'!AJ27</f>
        <v>0</v>
      </c>
      <c r="AK27" s="1080">
        <f>'Adjustments - restating'!AK27+'Adjustments - Pro Forma'!AK27</f>
        <v>0</v>
      </c>
      <c r="AL27" s="1080">
        <f>'Adjustments - restating'!AL27+'Adjustments - Pro Forma'!AL27</f>
        <v>0</v>
      </c>
      <c r="AM27" s="1080">
        <f>'Adjustments - restating'!AM27+'Adjustments - Pro Forma'!AM27</f>
        <v>0</v>
      </c>
      <c r="AN27" s="1080">
        <f>'Adjustments - restating'!AN27+'Adjustments - Pro Forma'!AN27</f>
        <v>0</v>
      </c>
      <c r="AO27" s="1080">
        <f>'Adjustments - restating'!AO27+'Adjustments - Pro Forma'!AO27</f>
        <v>0</v>
      </c>
      <c r="AP27" s="1080">
        <f>'Adjustments - restating'!AP27+'Adjustments - Pro Forma'!AP27</f>
        <v>0</v>
      </c>
      <c r="AQ27" s="1080">
        <f>'Adjustments - restating'!AQ27+'Adjustments - Pro Forma'!AQ27</f>
        <v>0</v>
      </c>
      <c r="AR27" s="1080">
        <f>'Adjustments - restating'!AR27+'Adjustments - Pro Forma'!AR27</f>
        <v>0</v>
      </c>
      <c r="AS27" s="1080">
        <f>'Adjustments - restating'!AS27+'Adjustments - Pro Forma'!AS27</f>
        <v>0</v>
      </c>
      <c r="AT27" s="1080">
        <f>'Adjustments - restating'!AT27+'Adjustments - Pro Forma'!AT27</f>
        <v>0</v>
      </c>
      <c r="AU27" s="1080">
        <f>'Adjustments - restating'!AU27+'Adjustments - Pro Forma'!AU27</f>
        <v>82361.759263031505</v>
      </c>
      <c r="AV27" s="1080">
        <f>'Adjustments - restating'!AV27+'Adjustments - Pro Forma'!AV27</f>
        <v>0</v>
      </c>
      <c r="AW27" s="1080">
        <f>'Adjustments - restating'!AW27+'Adjustments - Pro Forma'!AW27</f>
        <v>0</v>
      </c>
      <c r="AX27" s="1080">
        <f>'Adjustments - restating'!AX27+'Adjustments - Pro Forma'!AX27</f>
        <v>0</v>
      </c>
      <c r="AY27" s="1080">
        <f>'Adjustments - restating'!AY27+'Adjustments - Pro Forma'!AY27</f>
        <v>0</v>
      </c>
      <c r="AZ27" s="1080">
        <f>'Adjustments - restating'!AZ27+'Adjustments - Pro Forma'!AZ27</f>
        <v>0</v>
      </c>
      <c r="BA27" s="1080">
        <f>'Adjustments - restating'!BA27+'Adjustments - Pro Forma'!BA27</f>
        <v>0</v>
      </c>
      <c r="BB27" s="1080">
        <f>'Adjustments - restating'!BB27+'Adjustments - Pro Forma'!BB27</f>
        <v>0</v>
      </c>
      <c r="BC27" s="1080">
        <f>'Adjustments - restating'!BC27+'Adjustments - Pro Forma'!BC27</f>
        <v>0</v>
      </c>
      <c r="BD27" s="1053"/>
      <c r="CZ27" s="10"/>
    </row>
    <row r="28" spans="1:104">
      <c r="A28" s="1095">
        <v>21</v>
      </c>
      <c r="B28" s="1094" t="s">
        <v>29</v>
      </c>
      <c r="C28" s="1288">
        <f t="shared" si="3"/>
        <v>-848317.806534403</v>
      </c>
      <c r="D28" s="1289">
        <f>'Adjustments - restating'!D28+'Adjustments - Pro Forma'!D28</f>
        <v>0</v>
      </c>
      <c r="E28" s="1289">
        <f>'Adjustments - restating'!E28+'Adjustments - Pro Forma'!E28</f>
        <v>0</v>
      </c>
      <c r="F28" s="1289">
        <f>'Adjustments - restating'!F28+'Adjustments - Pro Forma'!F28</f>
        <v>0</v>
      </c>
      <c r="G28" s="1289">
        <f>'Adjustments - restating'!G28+'Adjustments - Pro Forma'!G28</f>
        <v>0</v>
      </c>
      <c r="H28" s="1289">
        <f>'Adjustments - restating'!H28+'Adjustments - Pro Forma'!H28</f>
        <v>0</v>
      </c>
      <c r="I28" s="1289">
        <f>'Adjustments - restating'!I28+'Adjustments - Pro Forma'!I28</f>
        <v>0</v>
      </c>
      <c r="J28" s="1289">
        <f>'Adjustments - restating'!J28+'Adjustments - Pro Forma'!J28</f>
        <v>0</v>
      </c>
      <c r="K28" s="1289">
        <f>'Adjustments - restating'!K28+'Adjustments - Pro Forma'!K28</f>
        <v>0</v>
      </c>
      <c r="L28" s="1289">
        <f>'Adjustments - restating'!L28+'Adjustments - Pro Forma'!L28</f>
        <v>0</v>
      </c>
      <c r="M28" s="1289">
        <f>'Adjustments - restating'!M28+'Adjustments - Pro Forma'!M28</f>
        <v>0</v>
      </c>
      <c r="N28" s="1289">
        <f>'Adjustments - restating'!N28+'Adjustments - Pro Forma'!N28</f>
        <v>0</v>
      </c>
      <c r="O28" s="1289">
        <f>'Adjustments - restating'!O28+'Adjustments - Pro Forma'!O28</f>
        <v>0</v>
      </c>
      <c r="P28" s="1289">
        <f>'Adjustments - restating'!P28+'Adjustments - Pro Forma'!P28</f>
        <v>0</v>
      </c>
      <c r="Q28" s="1289">
        <f>'Adjustments - restating'!Q28+'Adjustments - Pro Forma'!Q28</f>
        <v>0</v>
      </c>
      <c r="R28" s="1289">
        <f>'Adjustments - restating'!R28+'Adjustments - Pro Forma'!R28</f>
        <v>0</v>
      </c>
      <c r="S28" s="1289">
        <f>'Adjustments - restating'!S28+'Adjustments - Pro Forma'!S28</f>
        <v>0</v>
      </c>
      <c r="T28" s="1289">
        <f>'Adjustments - restating'!T28+'Adjustments - Pro Forma'!T28</f>
        <v>0</v>
      </c>
      <c r="U28" s="1289">
        <f>'Adjustments - restating'!U28+'Adjustments - Pro Forma'!U28</f>
        <v>0</v>
      </c>
      <c r="V28" s="1289">
        <f>'Adjustments - restating'!V28+'Adjustments - Pro Forma'!V28</f>
        <v>0</v>
      </c>
      <c r="W28" s="1289">
        <f>'Adjustments - restating'!W28+'Adjustments - Pro Forma'!W28</f>
        <v>0</v>
      </c>
      <c r="X28" s="1289">
        <f>'Adjustments - restating'!X28+'Adjustments - Pro Forma'!X28</f>
        <v>0</v>
      </c>
      <c r="Y28" s="1289">
        <f>'Adjustments - restating'!Y28+'Adjustments - Pro Forma'!Y28</f>
        <v>0</v>
      </c>
      <c r="Z28" s="1289">
        <f>'Adjustments - restating'!Z28+'Adjustments - Pro Forma'!Z28</f>
        <v>0</v>
      </c>
      <c r="AA28" s="1289">
        <f>'Adjustments - restating'!AA28+'Adjustments - Pro Forma'!AA28</f>
        <v>0</v>
      </c>
      <c r="AB28" s="1289">
        <f>'Adjustments - restating'!AB28+'Adjustments - Pro Forma'!AB28</f>
        <v>0</v>
      </c>
      <c r="AC28" s="1289">
        <f>'Adjustments - restating'!AC28+'Adjustments - Pro Forma'!AC28</f>
        <v>-41073.316515808037</v>
      </c>
      <c r="AD28" s="1289">
        <f>'Adjustments - restating'!AD28+'Adjustments - Pro Forma'!AD28</f>
        <v>0</v>
      </c>
      <c r="AE28" s="1289">
        <f>'Adjustments - restating'!AE28+'Adjustments - Pro Forma'!AE28</f>
        <v>0</v>
      </c>
      <c r="AF28" s="1289">
        <f>'Adjustments - restating'!AF28+'Adjustments - Pro Forma'!AF28</f>
        <v>0</v>
      </c>
      <c r="AG28" s="1289">
        <f>'Adjustments - restating'!AG28+'Adjustments - Pro Forma'!AG28</f>
        <v>0</v>
      </c>
      <c r="AH28" s="1289">
        <f>'Adjustments - restating'!AH28+'Adjustments - Pro Forma'!AH28</f>
        <v>0</v>
      </c>
      <c r="AI28" s="1289">
        <f>'Adjustments - restating'!AI28+'Adjustments - Pro Forma'!AI28</f>
        <v>0</v>
      </c>
      <c r="AJ28" s="1289">
        <f>'Adjustments - restating'!AJ28+'Adjustments - Pro Forma'!AJ28</f>
        <v>0</v>
      </c>
      <c r="AK28" s="1289">
        <f>'Adjustments - restating'!AK28+'Adjustments - Pro Forma'!AK28</f>
        <v>0</v>
      </c>
      <c r="AL28" s="1289">
        <f>'Adjustments - restating'!AL28+'Adjustments - Pro Forma'!AL28</f>
        <v>0</v>
      </c>
      <c r="AM28" s="1289">
        <f>'Adjustments - restating'!AM28+'Adjustments - Pro Forma'!AM28</f>
        <v>0</v>
      </c>
      <c r="AN28" s="1289">
        <f>'Adjustments - restating'!AN28+'Adjustments - Pro Forma'!AN28</f>
        <v>0</v>
      </c>
      <c r="AO28" s="1289">
        <f>'Adjustments - restating'!AO28+'Adjustments - Pro Forma'!AO28</f>
        <v>-807244.49001859501</v>
      </c>
      <c r="AP28" s="1289">
        <f>'Adjustments - restating'!AP28+'Adjustments - Pro Forma'!AP28</f>
        <v>0</v>
      </c>
      <c r="AQ28" s="1289">
        <f>'Adjustments - restating'!AQ28+'Adjustments - Pro Forma'!AQ28</f>
        <v>0</v>
      </c>
      <c r="AR28" s="1289">
        <f>'Adjustments - restating'!AR28+'Adjustments - Pro Forma'!AR28</f>
        <v>0</v>
      </c>
      <c r="AS28" s="1289">
        <f>'Adjustments - restating'!AS28+'Adjustments - Pro Forma'!AS28</f>
        <v>0</v>
      </c>
      <c r="AT28" s="1289">
        <f>'Adjustments - restating'!AT28+'Adjustments - Pro Forma'!AT28</f>
        <v>0</v>
      </c>
      <c r="AU28" s="1289">
        <f>'Adjustments - restating'!AU28+'Adjustments - Pro Forma'!AU28</f>
        <v>0</v>
      </c>
      <c r="AV28" s="1289">
        <f>'Adjustments - restating'!AV28+'Adjustments - Pro Forma'!AV28</f>
        <v>0</v>
      </c>
      <c r="AW28" s="1289">
        <f>'Adjustments - restating'!AW28+'Adjustments - Pro Forma'!AW28</f>
        <v>0</v>
      </c>
      <c r="AX28" s="1289">
        <f>'Adjustments - restating'!AX28+'Adjustments - Pro Forma'!AX28</f>
        <v>0</v>
      </c>
      <c r="AY28" s="1289">
        <f>'Adjustments - restating'!AY28+'Adjustments - Pro Forma'!AY28</f>
        <v>0</v>
      </c>
      <c r="AZ28" s="1289">
        <f>'Adjustments - restating'!AZ28+'Adjustments - Pro Forma'!AZ28</f>
        <v>0</v>
      </c>
      <c r="BA28" s="1289">
        <f>'Adjustments - restating'!BA28+'Adjustments - Pro Forma'!BA28</f>
        <v>0</v>
      </c>
      <c r="BB28" s="1289">
        <f>'Adjustments - restating'!BB28+'Adjustments - Pro Forma'!BB28</f>
        <v>0</v>
      </c>
      <c r="BC28" s="1290">
        <f>'Adjustments - restating'!BC28+'Adjustments - Pro Forma'!BC28</f>
        <v>0</v>
      </c>
      <c r="BD28" s="1053"/>
      <c r="CZ28" s="10"/>
    </row>
    <row r="29" spans="1:104" ht="13.5" thickBot="1">
      <c r="A29" s="1236">
        <v>22</v>
      </c>
      <c r="B29" s="1098" t="s">
        <v>30</v>
      </c>
      <c r="C29" s="1291">
        <f t="shared" si="3"/>
        <v>4136164.5551616969</v>
      </c>
      <c r="D29" s="1292">
        <f>D80</f>
        <v>-1992466</v>
      </c>
      <c r="E29" s="1292">
        <f t="shared" ref="E29:BC29" si="4">E80</f>
        <v>-2599655</v>
      </c>
      <c r="F29" s="1292">
        <f t="shared" si="4"/>
        <v>5959039</v>
      </c>
      <c r="G29" s="1292">
        <f t="shared" si="4"/>
        <v>-681</v>
      </c>
      <c r="H29" s="1292">
        <f t="shared" si="4"/>
        <v>-788669</v>
      </c>
      <c r="I29" s="1292">
        <f t="shared" si="4"/>
        <v>121528</v>
      </c>
      <c r="J29" s="1292">
        <f t="shared" si="4"/>
        <v>14464</v>
      </c>
      <c r="K29" s="1292">
        <f t="shared" si="4"/>
        <v>0</v>
      </c>
      <c r="L29" s="1292">
        <f t="shared" si="4"/>
        <v>9061</v>
      </c>
      <c r="M29" s="1292">
        <f t="shared" si="4"/>
        <v>7740</v>
      </c>
      <c r="N29" s="1292">
        <f t="shared" si="4"/>
        <v>16656</v>
      </c>
      <c r="O29" s="1292">
        <f t="shared" si="4"/>
        <v>-431834</v>
      </c>
      <c r="P29" s="1292">
        <f t="shared" si="4"/>
        <v>1869</v>
      </c>
      <c r="Q29" s="1292">
        <f t="shared" si="4"/>
        <v>-54403</v>
      </c>
      <c r="R29" s="1292">
        <f t="shared" si="4"/>
        <v>3753899</v>
      </c>
      <c r="S29" s="1292">
        <f t="shared" si="4"/>
        <v>263494</v>
      </c>
      <c r="T29" s="1292">
        <f t="shared" si="4"/>
        <v>141</v>
      </c>
      <c r="U29" s="1292">
        <f t="shared" si="4"/>
        <v>-524</v>
      </c>
      <c r="V29" s="1292">
        <f t="shared" si="4"/>
        <v>-147849</v>
      </c>
      <c r="W29" s="1292">
        <f t="shared" si="4"/>
        <v>-75373</v>
      </c>
      <c r="X29" s="1292">
        <f t="shared" si="4"/>
        <v>0</v>
      </c>
      <c r="Y29" s="1292">
        <f t="shared" si="4"/>
        <v>0</v>
      </c>
      <c r="Z29" s="1292">
        <f t="shared" si="4"/>
        <v>4030152</v>
      </c>
      <c r="AA29" s="1292">
        <f t="shared" si="4"/>
        <v>317912</v>
      </c>
      <c r="AB29" s="1292">
        <f t="shared" si="4"/>
        <v>237964</v>
      </c>
      <c r="AC29" s="1292">
        <f t="shared" si="4"/>
        <v>41616</v>
      </c>
      <c r="AD29" s="1292">
        <f t="shared" si="4"/>
        <v>-44842</v>
      </c>
      <c r="AE29" s="1292">
        <f t="shared" si="4"/>
        <v>0</v>
      </c>
      <c r="AF29" s="1292">
        <f t="shared" si="4"/>
        <v>0</v>
      </c>
      <c r="AG29" s="1292">
        <f t="shared" si="4"/>
        <v>-86330</v>
      </c>
      <c r="AH29" s="1292">
        <f t="shared" si="4"/>
        <v>-277542</v>
      </c>
      <c r="AI29" s="1292">
        <f t="shared" si="4"/>
        <v>0</v>
      </c>
      <c r="AJ29" s="1292">
        <f t="shared" si="4"/>
        <v>-661916.82775972039</v>
      </c>
      <c r="AK29" s="1292">
        <f t="shared" si="4"/>
        <v>0</v>
      </c>
      <c r="AL29" s="1292">
        <f t="shared" si="4"/>
        <v>0</v>
      </c>
      <c r="AM29" s="1292">
        <f t="shared" si="4"/>
        <v>0</v>
      </c>
      <c r="AN29" s="1292">
        <f t="shared" si="4"/>
        <v>0</v>
      </c>
      <c r="AO29" s="1292">
        <f t="shared" si="4"/>
        <v>282536</v>
      </c>
      <c r="AP29" s="1292">
        <f t="shared" si="4"/>
        <v>138615</v>
      </c>
      <c r="AQ29" s="1292">
        <f t="shared" si="4"/>
        <v>-49695</v>
      </c>
      <c r="AR29" s="1292">
        <f t="shared" si="4"/>
        <v>0</v>
      </c>
      <c r="AS29" s="1292">
        <f t="shared" si="4"/>
        <v>-2031908</v>
      </c>
      <c r="AT29" s="1292">
        <f t="shared" si="4"/>
        <v>0</v>
      </c>
      <c r="AU29" s="1292">
        <f t="shared" si="4"/>
        <v>-86068</v>
      </c>
      <c r="AV29" s="1292">
        <f t="shared" si="4"/>
        <v>0</v>
      </c>
      <c r="AW29" s="1292">
        <f t="shared" si="4"/>
        <v>99762</v>
      </c>
      <c r="AX29" s="1292">
        <f t="shared" si="4"/>
        <v>-1459</v>
      </c>
      <c r="AY29" s="1292">
        <f t="shared" si="4"/>
        <v>-1585565</v>
      </c>
      <c r="AZ29" s="1292">
        <f t="shared" si="4"/>
        <v>127595</v>
      </c>
      <c r="BA29" s="1292">
        <f t="shared" si="4"/>
        <v>0</v>
      </c>
      <c r="BB29" s="1292">
        <f t="shared" si="4"/>
        <v>0</v>
      </c>
      <c r="BC29" s="1293">
        <f t="shared" si="4"/>
        <v>-371098.61707858276</v>
      </c>
      <c r="BD29" s="1053"/>
      <c r="CZ29" s="10"/>
    </row>
    <row r="30" spans="1:104">
      <c r="A30" s="4">
        <v>23</v>
      </c>
      <c r="B30" s="8" t="s">
        <v>31</v>
      </c>
      <c r="C30" s="1083">
        <f t="shared" si="3"/>
        <v>0</v>
      </c>
      <c r="D30" s="1080">
        <f>D76</f>
        <v>0</v>
      </c>
      <c r="E30" s="1080">
        <f t="shared" ref="E30:BC30" si="5">E76</f>
        <v>0</v>
      </c>
      <c r="F30" s="1080">
        <f t="shared" si="5"/>
        <v>0</v>
      </c>
      <c r="G30" s="1080">
        <f t="shared" si="5"/>
        <v>0</v>
      </c>
      <c r="H30" s="1080">
        <f t="shared" si="5"/>
        <v>0</v>
      </c>
      <c r="I30" s="1080">
        <f t="shared" si="5"/>
        <v>0</v>
      </c>
      <c r="J30" s="1080">
        <f t="shared" si="5"/>
        <v>0</v>
      </c>
      <c r="K30" s="1080">
        <f t="shared" si="5"/>
        <v>0</v>
      </c>
      <c r="L30" s="1080">
        <f t="shared" si="5"/>
        <v>0</v>
      </c>
      <c r="M30" s="1080">
        <f t="shared" si="5"/>
        <v>0</v>
      </c>
      <c r="N30" s="1080">
        <f t="shared" si="5"/>
        <v>0</v>
      </c>
      <c r="O30" s="1080">
        <f t="shared" si="5"/>
        <v>0</v>
      </c>
      <c r="P30" s="1080">
        <f t="shared" si="5"/>
        <v>0</v>
      </c>
      <c r="Q30" s="1080">
        <f t="shared" si="5"/>
        <v>0</v>
      </c>
      <c r="R30" s="1080">
        <f t="shared" si="5"/>
        <v>0</v>
      </c>
      <c r="S30" s="1080">
        <f t="shared" si="5"/>
        <v>0</v>
      </c>
      <c r="T30" s="1080">
        <f t="shared" si="5"/>
        <v>0</v>
      </c>
      <c r="U30" s="1080">
        <f t="shared" si="5"/>
        <v>0</v>
      </c>
      <c r="V30" s="1080">
        <f t="shared" si="5"/>
        <v>0</v>
      </c>
      <c r="W30" s="1080">
        <f t="shared" si="5"/>
        <v>0</v>
      </c>
      <c r="X30" s="1080">
        <f t="shared" si="5"/>
        <v>0</v>
      </c>
      <c r="Y30" s="1080">
        <f t="shared" si="5"/>
        <v>0</v>
      </c>
      <c r="Z30" s="1080">
        <f t="shared" si="5"/>
        <v>0</v>
      </c>
      <c r="AA30" s="1080">
        <f t="shared" si="5"/>
        <v>0</v>
      </c>
      <c r="AB30" s="1080">
        <f t="shared" si="5"/>
        <v>0</v>
      </c>
      <c r="AC30" s="1080">
        <f t="shared" si="5"/>
        <v>0</v>
      </c>
      <c r="AD30" s="1080">
        <f t="shared" si="5"/>
        <v>0</v>
      </c>
      <c r="AE30" s="1080">
        <f t="shared" si="5"/>
        <v>0</v>
      </c>
      <c r="AF30" s="1080">
        <f t="shared" si="5"/>
        <v>0</v>
      </c>
      <c r="AG30" s="1080">
        <f t="shared" si="5"/>
        <v>0</v>
      </c>
      <c r="AH30" s="1080">
        <f t="shared" si="5"/>
        <v>0</v>
      </c>
      <c r="AI30" s="1080">
        <f t="shared" si="5"/>
        <v>0</v>
      </c>
      <c r="AJ30" s="1080">
        <f t="shared" si="5"/>
        <v>0</v>
      </c>
      <c r="AK30" s="1080">
        <f t="shared" si="5"/>
        <v>0</v>
      </c>
      <c r="AL30" s="1080">
        <f t="shared" si="5"/>
        <v>0</v>
      </c>
      <c r="AM30" s="1080">
        <f t="shared" si="5"/>
        <v>0</v>
      </c>
      <c r="AN30" s="1080">
        <f t="shared" si="5"/>
        <v>0</v>
      </c>
      <c r="AO30" s="1080">
        <f t="shared" si="5"/>
        <v>0</v>
      </c>
      <c r="AP30" s="1080">
        <f t="shared" si="5"/>
        <v>0</v>
      </c>
      <c r="AQ30" s="1080">
        <f t="shared" si="5"/>
        <v>0</v>
      </c>
      <c r="AR30" s="1080">
        <f t="shared" si="5"/>
        <v>0</v>
      </c>
      <c r="AS30" s="1080">
        <f t="shared" si="5"/>
        <v>0</v>
      </c>
      <c r="AT30" s="1080">
        <f t="shared" si="5"/>
        <v>0</v>
      </c>
      <c r="AU30" s="1080">
        <f t="shared" si="5"/>
        <v>0</v>
      </c>
      <c r="AV30" s="1080">
        <f t="shared" si="5"/>
        <v>0</v>
      </c>
      <c r="AW30" s="1080">
        <f t="shared" si="5"/>
        <v>0</v>
      </c>
      <c r="AX30" s="1080">
        <f t="shared" si="5"/>
        <v>0</v>
      </c>
      <c r="AY30" s="1080">
        <f t="shared" si="5"/>
        <v>0</v>
      </c>
      <c r="AZ30" s="1080">
        <f t="shared" si="5"/>
        <v>0</v>
      </c>
      <c r="BA30" s="1080">
        <f t="shared" si="5"/>
        <v>0</v>
      </c>
      <c r="BB30" s="1080">
        <f t="shared" si="5"/>
        <v>0</v>
      </c>
      <c r="BC30" s="1080">
        <f t="shared" si="5"/>
        <v>0</v>
      </c>
      <c r="BD30" s="1053"/>
      <c r="CZ30" s="10"/>
    </row>
    <row r="31" spans="1:104">
      <c r="A31" s="4">
        <v>24</v>
      </c>
      <c r="B31" s="8" t="s">
        <v>32</v>
      </c>
      <c r="C31" s="1083">
        <f t="shared" si="3"/>
        <v>985247.23301194876</v>
      </c>
      <c r="D31" s="1080">
        <f>'Adjustments - restating'!D31+'Adjustments - Pro Forma'!D31</f>
        <v>0</v>
      </c>
      <c r="E31" s="1080">
        <f>'Adjustments - restating'!E31+'Adjustments - Pro Forma'!E31</f>
        <v>0</v>
      </c>
      <c r="F31" s="1080">
        <f>'Adjustments - restating'!F31+'Adjustments - Pro Forma'!F31</f>
        <v>0</v>
      </c>
      <c r="G31" s="1080">
        <f>'Adjustments - restating'!G31+'Adjustments - Pro Forma'!G31</f>
        <v>295256.29879283818</v>
      </c>
      <c r="H31" s="1080">
        <f>'Adjustments - restating'!H31+'Adjustments - Pro Forma'!H31</f>
        <v>0</v>
      </c>
      <c r="I31" s="1080">
        <f>'Adjustments - restating'!I31+'Adjustments - Pro Forma'!I31</f>
        <v>0</v>
      </c>
      <c r="J31" s="1080">
        <f>'Adjustments - restating'!J31+'Adjustments - Pro Forma'!J31</f>
        <v>0</v>
      </c>
      <c r="K31" s="1080">
        <f>'Adjustments - restating'!K31+'Adjustments - Pro Forma'!K31</f>
        <v>0</v>
      </c>
      <c r="L31" s="1080">
        <f>'Adjustments - restating'!L31+'Adjustments - Pro Forma'!L31</f>
        <v>0</v>
      </c>
      <c r="M31" s="1080">
        <f>'Adjustments - restating'!M31+'Adjustments - Pro Forma'!M31</f>
        <v>0</v>
      </c>
      <c r="N31" s="1080">
        <f>'Adjustments - restating'!N31+'Adjustments - Pro Forma'!N31</f>
        <v>0</v>
      </c>
      <c r="O31" s="1080">
        <f>'Adjustments - restating'!O31+'Adjustments - Pro Forma'!O31</f>
        <v>0</v>
      </c>
      <c r="P31" s="1080">
        <f>'Adjustments - restating'!P31+'Adjustments - Pro Forma'!P31</f>
        <v>0</v>
      </c>
      <c r="Q31" s="1080">
        <f>'Adjustments - restating'!Q31+'Adjustments - Pro Forma'!Q31</f>
        <v>0</v>
      </c>
      <c r="R31" s="1080">
        <f>'Adjustments - restating'!R31+'Adjustments - Pro Forma'!R31</f>
        <v>0</v>
      </c>
      <c r="S31" s="1080">
        <f>'Adjustments - restating'!S31+'Adjustments - Pro Forma'!S31</f>
        <v>0</v>
      </c>
      <c r="T31" s="1080">
        <f>'Adjustments - restating'!T31+'Adjustments - Pro Forma'!T31</f>
        <v>0</v>
      </c>
      <c r="U31" s="1080">
        <f>'Adjustments - restating'!U31+'Adjustments - Pro Forma'!U31</f>
        <v>0</v>
      </c>
      <c r="V31" s="1080">
        <f>'Adjustments - restating'!V31+'Adjustments - Pro Forma'!V31</f>
        <v>0</v>
      </c>
      <c r="W31" s="1080">
        <f>'Adjustments - restating'!W31+'Adjustments - Pro Forma'!W31</f>
        <v>0</v>
      </c>
      <c r="X31" s="1080">
        <f>'Adjustments - restating'!X31+'Adjustments - Pro Forma'!X31</f>
        <v>0</v>
      </c>
      <c r="Y31" s="1080">
        <f>'Adjustments - restating'!Y31+'Adjustments - Pro Forma'!Y31</f>
        <v>0</v>
      </c>
      <c r="Z31" s="1080">
        <f>'Adjustments - restating'!Z31+'Adjustments - Pro Forma'!Z31</f>
        <v>0</v>
      </c>
      <c r="AA31" s="1080">
        <f>'Adjustments - restating'!AA31+'Adjustments - Pro Forma'!AA31</f>
        <v>0</v>
      </c>
      <c r="AB31" s="1080">
        <f>'Adjustments - restating'!AB31+'Adjustments - Pro Forma'!AB31</f>
        <v>0</v>
      </c>
      <c r="AC31" s="1080">
        <f>'Adjustments - restating'!AC31+'Adjustments - Pro Forma'!AC31</f>
        <v>113105.10250531929</v>
      </c>
      <c r="AD31" s="1080">
        <f>'Adjustments - restating'!AD31+'Adjustments - Pro Forma'!AD31</f>
        <v>48623.232940317663</v>
      </c>
      <c r="AE31" s="1080">
        <f>'Adjustments - restating'!AE31+'Adjustments - Pro Forma'!AE31</f>
        <v>0</v>
      </c>
      <c r="AF31" s="1080">
        <f>'Adjustments - restating'!AF31+'Adjustments - Pro Forma'!AF31</f>
        <v>-764035.59114822827</v>
      </c>
      <c r="AG31" s="1080">
        <f>'Adjustments - restating'!AG31+'Adjustments - Pro Forma'!AG31</f>
        <v>143763.74042216278</v>
      </c>
      <c r="AH31" s="1080">
        <f>'Adjustments - restating'!AH31+'Adjustments - Pro Forma'!AH31</f>
        <v>0</v>
      </c>
      <c r="AI31" s="1080">
        <f>'Adjustments - restating'!AI31+'Adjustments - Pro Forma'!AI31</f>
        <v>0</v>
      </c>
      <c r="AJ31" s="1080">
        <f>'Adjustments - restating'!AJ31+'Adjustments - Pro Forma'!AJ31</f>
        <v>0</v>
      </c>
      <c r="AK31" s="1080">
        <f>'Adjustments - restating'!AK31+'Adjustments - Pro Forma'!AK31</f>
        <v>0</v>
      </c>
      <c r="AL31" s="1080">
        <f>'Adjustments - restating'!AL31+'Adjustments - Pro Forma'!AL31</f>
        <v>0</v>
      </c>
      <c r="AM31" s="1080">
        <f>'Adjustments - restating'!AM31+'Adjustments - Pro Forma'!AM31</f>
        <v>-407648.85953784268</v>
      </c>
      <c r="AN31" s="1080">
        <f>'Adjustments - restating'!AN31+'Adjustments - Pro Forma'!AN31</f>
        <v>-493727</v>
      </c>
      <c r="AO31" s="1080">
        <f>'Adjustments - restating'!AO31+'Adjustments - Pro Forma'!AO31</f>
        <v>0</v>
      </c>
      <c r="AP31" s="1080">
        <f>'Adjustments - restating'!AP31+'Adjustments - Pro Forma'!AP31</f>
        <v>0</v>
      </c>
      <c r="AQ31" s="1080">
        <f>'Adjustments - restating'!AQ31+'Adjustments - Pro Forma'!AQ31</f>
        <v>52446.028746304786</v>
      </c>
      <c r="AR31" s="1080">
        <f>'Adjustments - restating'!AR31+'Adjustments - Pro Forma'!AR31</f>
        <v>0</v>
      </c>
      <c r="AS31" s="1080">
        <f>'Adjustments - restating'!AS31+'Adjustments - Pro Forma'!AS31</f>
        <v>1920551.3589821786</v>
      </c>
      <c r="AT31" s="1080">
        <f>'Adjustments - restating'!AT31+'Adjustments - Pro Forma'!AT31</f>
        <v>0</v>
      </c>
      <c r="AU31" s="1080">
        <f>'Adjustments - restating'!AU31+'Adjustments - Pro Forma'!AU31</f>
        <v>62067.059303965922</v>
      </c>
      <c r="AV31" s="1080">
        <f>'Adjustments - restating'!AV31+'Adjustments - Pro Forma'!AV31</f>
        <v>0</v>
      </c>
      <c r="AW31" s="1080">
        <f>'Adjustments - restating'!AW31+'Adjustments - Pro Forma'!AW31</f>
        <v>0</v>
      </c>
      <c r="AX31" s="1080">
        <f>'Adjustments - restating'!AX31+'Adjustments - Pro Forma'!AX31</f>
        <v>0</v>
      </c>
      <c r="AY31" s="1080">
        <f>'Adjustments - restating'!AY31+'Adjustments - Pro Forma'!AY31</f>
        <v>0</v>
      </c>
      <c r="AZ31" s="1080">
        <f>'Adjustments - restating'!AZ31+'Adjustments - Pro Forma'!AZ31</f>
        <v>0</v>
      </c>
      <c r="BA31" s="1080">
        <f>'Adjustments - restating'!BA31+'Adjustments - Pro Forma'!BA31</f>
        <v>0</v>
      </c>
      <c r="BB31" s="1080">
        <f>'Adjustments - restating'!BB31+'Adjustments - Pro Forma'!BB31</f>
        <v>0</v>
      </c>
      <c r="BC31" s="1080">
        <f>'Adjustments - restating'!BC31+'Adjustments - Pro Forma'!BC31</f>
        <v>14845.86200493232</v>
      </c>
      <c r="BD31" s="1053"/>
      <c r="CZ31" s="10"/>
    </row>
    <row r="32" spans="1:104">
      <c r="A32" s="4">
        <v>25</v>
      </c>
      <c r="B32" s="8" t="s">
        <v>33</v>
      </c>
      <c r="C32" s="1083">
        <f t="shared" si="3"/>
        <v>0</v>
      </c>
      <c r="D32" s="1080">
        <f>'Adjustments - restating'!D32+'Adjustments - Pro Forma'!D32</f>
        <v>0</v>
      </c>
      <c r="E32" s="1080">
        <f>'Adjustments - restating'!E32+'Adjustments - Pro Forma'!E32</f>
        <v>0</v>
      </c>
      <c r="F32" s="1080">
        <f>'Adjustments - restating'!F32+'Adjustments - Pro Forma'!F32</f>
        <v>0</v>
      </c>
      <c r="G32" s="1080">
        <f>'Adjustments - restating'!G32+'Adjustments - Pro Forma'!G32</f>
        <v>0</v>
      </c>
      <c r="H32" s="1080">
        <f>'Adjustments - restating'!H32+'Adjustments - Pro Forma'!H32</f>
        <v>0</v>
      </c>
      <c r="I32" s="1080">
        <f>'Adjustments - restating'!I32+'Adjustments - Pro Forma'!I32</f>
        <v>0</v>
      </c>
      <c r="J32" s="1080">
        <f>'Adjustments - restating'!J32+'Adjustments - Pro Forma'!J32</f>
        <v>0</v>
      </c>
      <c r="K32" s="1080">
        <f>'Adjustments - restating'!K32+'Adjustments - Pro Forma'!K32</f>
        <v>0</v>
      </c>
      <c r="L32" s="1080">
        <f>'Adjustments - restating'!L32+'Adjustments - Pro Forma'!L32</f>
        <v>0</v>
      </c>
      <c r="M32" s="1080">
        <f>'Adjustments - restating'!M32+'Adjustments - Pro Forma'!M32</f>
        <v>0</v>
      </c>
      <c r="N32" s="1080">
        <f>'Adjustments - restating'!N32+'Adjustments - Pro Forma'!N32</f>
        <v>0</v>
      </c>
      <c r="O32" s="1080">
        <f>'Adjustments - restating'!O32+'Adjustments - Pro Forma'!O32</f>
        <v>0</v>
      </c>
      <c r="P32" s="1080">
        <f>'Adjustments - restating'!P32+'Adjustments - Pro Forma'!P32</f>
        <v>0</v>
      </c>
      <c r="Q32" s="1080">
        <f>'Adjustments - restating'!Q32+'Adjustments - Pro Forma'!Q32</f>
        <v>0</v>
      </c>
      <c r="R32" s="1080">
        <f>'Adjustments - restating'!R32+'Adjustments - Pro Forma'!R32</f>
        <v>0</v>
      </c>
      <c r="S32" s="1080">
        <f>'Adjustments - restating'!S32+'Adjustments - Pro Forma'!S32</f>
        <v>0</v>
      </c>
      <c r="T32" s="1080">
        <f>'Adjustments - restating'!T32+'Adjustments - Pro Forma'!T32</f>
        <v>0</v>
      </c>
      <c r="U32" s="1080">
        <f>'Adjustments - restating'!U32+'Adjustments - Pro Forma'!U32</f>
        <v>0</v>
      </c>
      <c r="V32" s="1080">
        <f>'Adjustments - restating'!V32+'Adjustments - Pro Forma'!V32</f>
        <v>0</v>
      </c>
      <c r="W32" s="1080">
        <f>'Adjustments - restating'!W32+'Adjustments - Pro Forma'!W32</f>
        <v>0</v>
      </c>
      <c r="X32" s="1080">
        <f>'Adjustments - restating'!X32+'Adjustments - Pro Forma'!X32</f>
        <v>0</v>
      </c>
      <c r="Y32" s="1080">
        <f>'Adjustments - restating'!Y32+'Adjustments - Pro Forma'!Y32</f>
        <v>0</v>
      </c>
      <c r="Z32" s="1080">
        <f>'Adjustments - restating'!Z32+'Adjustments - Pro Forma'!Z32</f>
        <v>0</v>
      </c>
      <c r="AA32" s="1080">
        <f>'Adjustments - restating'!AA32+'Adjustments - Pro Forma'!AA32</f>
        <v>0</v>
      </c>
      <c r="AB32" s="1080">
        <f>'Adjustments - restating'!AB32+'Adjustments - Pro Forma'!AB32</f>
        <v>0</v>
      </c>
      <c r="AC32" s="1080">
        <f>'Adjustments - restating'!AC32+'Adjustments - Pro Forma'!AC32</f>
        <v>0</v>
      </c>
      <c r="AD32" s="1080">
        <f>'Adjustments - restating'!AD32+'Adjustments - Pro Forma'!AD32</f>
        <v>0</v>
      </c>
      <c r="AE32" s="1080">
        <f>'Adjustments - restating'!AE32+'Adjustments - Pro Forma'!AE32</f>
        <v>0</v>
      </c>
      <c r="AF32" s="1080">
        <f>'Adjustments - restating'!AF32+'Adjustments - Pro Forma'!AF32</f>
        <v>0</v>
      </c>
      <c r="AG32" s="1080">
        <f>'Adjustments - restating'!AG32+'Adjustments - Pro Forma'!AG32</f>
        <v>0</v>
      </c>
      <c r="AH32" s="1080">
        <f>'Adjustments - restating'!AH32+'Adjustments - Pro Forma'!AH32</f>
        <v>0</v>
      </c>
      <c r="AI32" s="1080">
        <f>'Adjustments - restating'!AI32+'Adjustments - Pro Forma'!AI32</f>
        <v>0</v>
      </c>
      <c r="AJ32" s="1080">
        <f>'Adjustments - restating'!AJ32+'Adjustments - Pro Forma'!AJ32</f>
        <v>0</v>
      </c>
      <c r="AK32" s="1080">
        <f>'Adjustments - restating'!AK32+'Adjustments - Pro Forma'!AK32</f>
        <v>0</v>
      </c>
      <c r="AL32" s="1080">
        <f>'Adjustments - restating'!AL32+'Adjustments - Pro Forma'!AL32</f>
        <v>0</v>
      </c>
      <c r="AM32" s="1080">
        <f>'Adjustments - restating'!AM32+'Adjustments - Pro Forma'!AM32</f>
        <v>0</v>
      </c>
      <c r="AN32" s="1080">
        <f>'Adjustments - restating'!AN32+'Adjustments - Pro Forma'!AN32</f>
        <v>0</v>
      </c>
      <c r="AO32" s="1080">
        <f>'Adjustments - restating'!AO32+'Adjustments - Pro Forma'!AO32</f>
        <v>0</v>
      </c>
      <c r="AP32" s="1080">
        <f>'Adjustments - restating'!AP32+'Adjustments - Pro Forma'!AP32</f>
        <v>0</v>
      </c>
      <c r="AQ32" s="1080">
        <f>'Adjustments - restating'!AQ32+'Adjustments - Pro Forma'!AQ32</f>
        <v>0</v>
      </c>
      <c r="AR32" s="1080">
        <f>'Adjustments - restating'!AR32+'Adjustments - Pro Forma'!AR32</f>
        <v>0</v>
      </c>
      <c r="AS32" s="1080">
        <f>'Adjustments - restating'!AS32+'Adjustments - Pro Forma'!AS32</f>
        <v>0</v>
      </c>
      <c r="AT32" s="1080">
        <f>'Adjustments - restating'!AT32+'Adjustments - Pro Forma'!AT32</f>
        <v>0</v>
      </c>
      <c r="AU32" s="1080">
        <f>'Adjustments - restating'!AU32+'Adjustments - Pro Forma'!AU32</f>
        <v>0</v>
      </c>
      <c r="AV32" s="1080">
        <f>'Adjustments - restating'!AV32+'Adjustments - Pro Forma'!AV32</f>
        <v>0</v>
      </c>
      <c r="AW32" s="1080">
        <f>'Adjustments - restating'!AW32+'Adjustments - Pro Forma'!AW32</f>
        <v>0</v>
      </c>
      <c r="AX32" s="1080">
        <f>'Adjustments - restating'!AX32+'Adjustments - Pro Forma'!AX32</f>
        <v>0</v>
      </c>
      <c r="AY32" s="1080">
        <f>'Adjustments - restating'!AY32+'Adjustments - Pro Forma'!AY32</f>
        <v>0</v>
      </c>
      <c r="AZ32" s="1080">
        <f>'Adjustments - restating'!AZ32+'Adjustments - Pro Forma'!AZ32</f>
        <v>0</v>
      </c>
      <c r="BA32" s="1080">
        <f>'Adjustments - restating'!BA32+'Adjustments - Pro Forma'!BA32</f>
        <v>0</v>
      </c>
      <c r="BB32" s="1080">
        <f>'Adjustments - restating'!BB32+'Adjustments - Pro Forma'!BB32</f>
        <v>0</v>
      </c>
      <c r="BC32" s="1080">
        <f>'Adjustments - restating'!BC32+'Adjustments - Pro Forma'!BC32</f>
        <v>0</v>
      </c>
      <c r="BD32" s="1053"/>
      <c r="CZ32" s="10"/>
    </row>
    <row r="33" spans="1:104">
      <c r="A33" s="4">
        <v>26</v>
      </c>
      <c r="B33" s="8" t="s">
        <v>34</v>
      </c>
      <c r="C33" s="1083">
        <f t="shared" si="3"/>
        <v>-779539.15291931701</v>
      </c>
      <c r="D33" s="1080">
        <f>'Adjustments - restating'!D33+'Adjustments - Pro Forma'!D33</f>
        <v>0</v>
      </c>
      <c r="E33" s="1080">
        <f>'Adjustments - restating'!E33+'Adjustments - Pro Forma'!E33</f>
        <v>0</v>
      </c>
      <c r="F33" s="1080">
        <f>'Adjustments - restating'!F33+'Adjustments - Pro Forma'!F33</f>
        <v>0</v>
      </c>
      <c r="G33" s="1080">
        <f>'Adjustments - restating'!G33+'Adjustments - Pro Forma'!G33</f>
        <v>-776048.95839665306</v>
      </c>
      <c r="H33" s="1080">
        <f>'Adjustments - restating'!H33+'Adjustments - Pro Forma'!H33</f>
        <v>0</v>
      </c>
      <c r="I33" s="1080">
        <f>'Adjustments - restating'!I33+'Adjustments - Pro Forma'!I33</f>
        <v>0</v>
      </c>
      <c r="J33" s="1080">
        <f>'Adjustments - restating'!J33+'Adjustments - Pro Forma'!J33</f>
        <v>0</v>
      </c>
      <c r="K33" s="1080">
        <f>'Adjustments - restating'!K33+'Adjustments - Pro Forma'!K33</f>
        <v>0</v>
      </c>
      <c r="L33" s="1080">
        <f>'Adjustments - restating'!L33+'Adjustments - Pro Forma'!L33</f>
        <v>0</v>
      </c>
      <c r="M33" s="1080">
        <f>'Adjustments - restating'!M33+'Adjustments - Pro Forma'!M33</f>
        <v>-7659.5617953912351</v>
      </c>
      <c r="N33" s="1080">
        <f>'Adjustments - restating'!N33+'Adjustments - Pro Forma'!N33</f>
        <v>0</v>
      </c>
      <c r="O33" s="1080">
        <f>'Adjustments - restating'!O33+'Adjustments - Pro Forma'!O33</f>
        <v>0</v>
      </c>
      <c r="P33" s="1080">
        <f>'Adjustments - restating'!P33+'Adjustments - Pro Forma'!P33</f>
        <v>0</v>
      </c>
      <c r="Q33" s="1080">
        <f>'Adjustments - restating'!Q33+'Adjustments - Pro Forma'!Q33</f>
        <v>0</v>
      </c>
      <c r="R33" s="1080">
        <f>'Adjustments - restating'!R33+'Adjustments - Pro Forma'!R33</f>
        <v>0</v>
      </c>
      <c r="S33" s="1080">
        <f>'Adjustments - restating'!S33+'Adjustments - Pro Forma'!S33</f>
        <v>0</v>
      </c>
      <c r="T33" s="1080">
        <f>'Adjustments - restating'!T33+'Adjustments - Pro Forma'!T33</f>
        <v>0</v>
      </c>
      <c r="U33" s="1080">
        <f>'Adjustments - restating'!U33+'Adjustments - Pro Forma'!U33</f>
        <v>0</v>
      </c>
      <c r="V33" s="1080">
        <f>'Adjustments - restating'!V33+'Adjustments - Pro Forma'!V33</f>
        <v>0</v>
      </c>
      <c r="W33" s="1080">
        <f>'Adjustments - restating'!W33+'Adjustments - Pro Forma'!W33</f>
        <v>0</v>
      </c>
      <c r="X33" s="1080">
        <f>'Adjustments - restating'!X33+'Adjustments - Pro Forma'!X33</f>
        <v>0</v>
      </c>
      <c r="Y33" s="1080">
        <f>'Adjustments - restating'!Y33+'Adjustments - Pro Forma'!Y33</f>
        <v>0</v>
      </c>
      <c r="Z33" s="1080">
        <f>'Adjustments - restating'!Z33+'Adjustments - Pro Forma'!Z33</f>
        <v>0</v>
      </c>
      <c r="AA33" s="1080">
        <f>'Adjustments - restating'!AA33+'Adjustments - Pro Forma'!AA33</f>
        <v>0</v>
      </c>
      <c r="AB33" s="1080">
        <f>'Adjustments - restating'!AB33+'Adjustments - Pro Forma'!AB33</f>
        <v>0</v>
      </c>
      <c r="AC33" s="1080">
        <f>'Adjustments - restating'!AC33+'Adjustments - Pro Forma'!AC33</f>
        <v>0</v>
      </c>
      <c r="AD33" s="1080">
        <f>'Adjustments - restating'!AD33+'Adjustments - Pro Forma'!AD33</f>
        <v>0</v>
      </c>
      <c r="AE33" s="1080">
        <f>'Adjustments - restating'!AE33+'Adjustments - Pro Forma'!AE33</f>
        <v>0</v>
      </c>
      <c r="AF33" s="1080">
        <f>'Adjustments - restating'!AF33+'Adjustments - Pro Forma'!AF33</f>
        <v>0</v>
      </c>
      <c r="AG33" s="1080">
        <f>'Adjustments - restating'!AG33+'Adjustments - Pro Forma'!AG33</f>
        <v>0</v>
      </c>
      <c r="AH33" s="1080">
        <f>'Adjustments - restating'!AH33+'Adjustments - Pro Forma'!AH33</f>
        <v>0</v>
      </c>
      <c r="AI33" s="1080">
        <f>'Adjustments - restating'!AI33+'Adjustments - Pro Forma'!AI33</f>
        <v>0</v>
      </c>
      <c r="AJ33" s="1080">
        <f>'Adjustments - restating'!AJ33+'Adjustments - Pro Forma'!AJ33</f>
        <v>0</v>
      </c>
      <c r="AK33" s="1080">
        <f>'Adjustments - restating'!AK33+'Adjustments - Pro Forma'!AK33</f>
        <v>0</v>
      </c>
      <c r="AL33" s="1080">
        <f>'Adjustments - restating'!AL33+'Adjustments - Pro Forma'!AL33</f>
        <v>0</v>
      </c>
      <c r="AM33" s="1080">
        <f>'Adjustments - restating'!AM33+'Adjustments - Pro Forma'!AM33</f>
        <v>0</v>
      </c>
      <c r="AN33" s="1080">
        <f>'Adjustments - restating'!AN33+'Adjustments - Pro Forma'!AN33</f>
        <v>0</v>
      </c>
      <c r="AO33" s="1080">
        <f>'Adjustments - restating'!AO33+'Adjustments - Pro Forma'!AO33</f>
        <v>0</v>
      </c>
      <c r="AP33" s="1080">
        <f>'Adjustments - restating'!AP33+'Adjustments - Pro Forma'!AP33</f>
        <v>0</v>
      </c>
      <c r="AQ33" s="1080">
        <f>'Adjustments - restating'!AQ33+'Adjustments - Pro Forma'!AQ33</f>
        <v>0</v>
      </c>
      <c r="AR33" s="1080">
        <f>'Adjustments - restating'!AR33+'Adjustments - Pro Forma'!AR33</f>
        <v>0</v>
      </c>
      <c r="AS33" s="1080">
        <f>'Adjustments - restating'!AS33+'Adjustments - Pro Forma'!AS33</f>
        <v>0</v>
      </c>
      <c r="AT33" s="1080">
        <f>'Adjustments - restating'!AT33+'Adjustments - Pro Forma'!AT33</f>
        <v>0</v>
      </c>
      <c r="AU33" s="1080">
        <f>'Adjustments - restating'!AU33+'Adjustments - Pro Forma'!AU33</f>
        <v>0</v>
      </c>
      <c r="AV33" s="1080">
        <f>'Adjustments - restating'!AV33+'Adjustments - Pro Forma'!AV33</f>
        <v>0</v>
      </c>
      <c r="AW33" s="1080">
        <f>'Adjustments - restating'!AW33+'Adjustments - Pro Forma'!AW33</f>
        <v>0</v>
      </c>
      <c r="AX33" s="1080">
        <f>'Adjustments - restating'!AX33+'Adjustments - Pro Forma'!AX33</f>
        <v>4169.3672727272733</v>
      </c>
      <c r="AY33" s="1080">
        <f>'Adjustments - restating'!AY33+'Adjustments - Pro Forma'!AY33</f>
        <v>0</v>
      </c>
      <c r="AZ33" s="1080">
        <f>'Adjustments - restating'!AZ33+'Adjustments - Pro Forma'!AZ33</f>
        <v>0</v>
      </c>
      <c r="BA33" s="1080">
        <f>'Adjustments - restating'!BA33+'Adjustments - Pro Forma'!BA33</f>
        <v>0</v>
      </c>
      <c r="BB33" s="1080">
        <f>'Adjustments - restating'!BB33+'Adjustments - Pro Forma'!BB33</f>
        <v>0</v>
      </c>
      <c r="BC33" s="1080">
        <f>'Adjustments - restating'!BC33+'Adjustments - Pro Forma'!BC33</f>
        <v>0</v>
      </c>
      <c r="BD33" s="1053"/>
      <c r="CZ33" s="10"/>
    </row>
    <row r="34" spans="1:104">
      <c r="A34" s="4">
        <v>27</v>
      </c>
      <c r="B34" s="1284" t="s">
        <v>35</v>
      </c>
      <c r="C34" s="1294">
        <f>SUM(C24:C33)</f>
        <v>-14776484.561226465</v>
      </c>
      <c r="D34" s="1082">
        <f>SUM(D24:D33)</f>
        <v>-1992466</v>
      </c>
      <c r="E34" s="1082">
        <f t="shared" ref="E34:BC34" si="6">SUM(E24:E33)</f>
        <v>-2599655</v>
      </c>
      <c r="F34" s="1082">
        <f t="shared" si="6"/>
        <v>5959039</v>
      </c>
      <c r="G34" s="1082">
        <f t="shared" si="6"/>
        <v>-481473.65960381489</v>
      </c>
      <c r="H34" s="1082">
        <f t="shared" si="6"/>
        <v>-788669</v>
      </c>
      <c r="I34" s="1082">
        <f t="shared" si="6"/>
        <v>9398</v>
      </c>
      <c r="J34" s="1082">
        <f t="shared" si="6"/>
        <v>14464</v>
      </c>
      <c r="K34" s="1082">
        <f t="shared" si="6"/>
        <v>0</v>
      </c>
      <c r="L34" s="1082">
        <f t="shared" si="6"/>
        <v>9061</v>
      </c>
      <c r="M34" s="1082">
        <f t="shared" si="6"/>
        <v>-14373.998075557345</v>
      </c>
      <c r="N34" s="1082">
        <f t="shared" si="6"/>
        <v>-30932.981132557921</v>
      </c>
      <c r="O34" s="1082">
        <f t="shared" si="6"/>
        <v>801978.53661093162</v>
      </c>
      <c r="P34" s="1082">
        <f t="shared" si="6"/>
        <v>-3471.7537227038374</v>
      </c>
      <c r="Q34" s="1082">
        <f t="shared" si="6"/>
        <v>-57080.954313646267</v>
      </c>
      <c r="R34" s="1082">
        <f t="shared" si="6"/>
        <v>-6923689.5899999999</v>
      </c>
      <c r="S34" s="1082">
        <f t="shared" si="6"/>
        <v>-1744866.4615596212</v>
      </c>
      <c r="T34" s="1082">
        <f t="shared" si="6"/>
        <v>-260.94661826917422</v>
      </c>
      <c r="U34" s="1082">
        <f t="shared" si="6"/>
        <v>972.52741804815014</v>
      </c>
      <c r="V34" s="1082">
        <f t="shared" si="6"/>
        <v>274576.00651124539</v>
      </c>
      <c r="W34" s="1082">
        <f t="shared" si="6"/>
        <v>139979.2102726177</v>
      </c>
      <c r="X34" s="1082">
        <f t="shared" si="6"/>
        <v>0</v>
      </c>
      <c r="Y34" s="1082">
        <f t="shared" si="6"/>
        <v>0</v>
      </c>
      <c r="Z34" s="1082">
        <f t="shared" si="6"/>
        <v>41631146.60665264</v>
      </c>
      <c r="AA34" s="1082">
        <f t="shared" si="6"/>
        <v>-47799425.102145284</v>
      </c>
      <c r="AB34" s="1082">
        <f t="shared" si="6"/>
        <v>237964</v>
      </c>
      <c r="AC34" s="1082">
        <f t="shared" si="6"/>
        <v>-314398.23129746714</v>
      </c>
      <c r="AD34" s="1082">
        <f t="shared" si="6"/>
        <v>3781.2329403176627</v>
      </c>
      <c r="AE34" s="1082">
        <f t="shared" si="6"/>
        <v>0</v>
      </c>
      <c r="AF34" s="1082">
        <f t="shared" si="6"/>
        <v>1249180.3745660563</v>
      </c>
      <c r="AG34" s="1082">
        <f t="shared" si="6"/>
        <v>-74723.8394267369</v>
      </c>
      <c r="AH34" s="1082">
        <f t="shared" si="6"/>
        <v>-277542</v>
      </c>
      <c r="AI34" s="1082">
        <f t="shared" si="6"/>
        <v>0</v>
      </c>
      <c r="AJ34" s="1082">
        <f t="shared" si="6"/>
        <v>-661916.82775972039</v>
      </c>
      <c r="AK34" s="1082">
        <f t="shared" si="6"/>
        <v>0</v>
      </c>
      <c r="AL34" s="1082">
        <f t="shared" si="6"/>
        <v>0</v>
      </c>
      <c r="AM34" s="1082">
        <f t="shared" si="6"/>
        <v>-407648.85953784268</v>
      </c>
      <c r="AN34" s="1082">
        <f t="shared" si="6"/>
        <v>-493727</v>
      </c>
      <c r="AO34" s="1082">
        <f t="shared" si="6"/>
        <v>-524708.49001859501</v>
      </c>
      <c r="AP34" s="1082">
        <f t="shared" si="6"/>
        <v>138615</v>
      </c>
      <c r="AQ34" s="1082">
        <f t="shared" si="6"/>
        <v>171516.90404896234</v>
      </c>
      <c r="AR34" s="1082">
        <f t="shared" si="6"/>
        <v>0</v>
      </c>
      <c r="AS34" s="1082">
        <f t="shared" si="6"/>
        <v>633488.72686467902</v>
      </c>
      <c r="AT34" s="1082">
        <f t="shared" si="6"/>
        <v>0</v>
      </c>
      <c r="AU34" s="1082">
        <f t="shared" si="6"/>
        <v>58360.818566997426</v>
      </c>
      <c r="AV34" s="1082">
        <f t="shared" si="6"/>
        <v>-17990.552800000001</v>
      </c>
      <c r="AW34" s="1082">
        <f t="shared" si="6"/>
        <v>99762</v>
      </c>
      <c r="AX34" s="1082">
        <f t="shared" si="6"/>
        <v>2710.3672727272733</v>
      </c>
      <c r="AY34" s="1082">
        <f t="shared" si="6"/>
        <v>-1585565</v>
      </c>
      <c r="AZ34" s="1082">
        <f t="shared" si="6"/>
        <v>-236962.79765522532</v>
      </c>
      <c r="BA34" s="1082">
        <f t="shared" si="6"/>
        <v>0</v>
      </c>
      <c r="BB34" s="1082">
        <f t="shared" si="6"/>
        <v>0</v>
      </c>
      <c r="BC34" s="1082">
        <f t="shared" si="6"/>
        <v>819070.17271535017</v>
      </c>
      <c r="BD34" s="1053"/>
      <c r="CZ34" s="10"/>
    </row>
    <row r="35" spans="1:104">
      <c r="A35" s="4">
        <v>28</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29</v>
      </c>
      <c r="B36" s="22" t="s">
        <v>98</v>
      </c>
      <c r="C36" s="1295">
        <f>C11-C34</f>
        <v>14798008.386217026</v>
      </c>
      <c r="D36" s="1086">
        <f>D11-D34</f>
        <v>-3700295.2699999996</v>
      </c>
      <c r="E36" s="1086">
        <f t="shared" ref="E36:BC36" si="7">E11-E34</f>
        <v>-4827929.4312790008</v>
      </c>
      <c r="F36" s="1086">
        <f t="shared" si="7"/>
        <v>11066785.820802085</v>
      </c>
      <c r="G36" s="1086">
        <f t="shared" si="7"/>
        <v>481473.65960381489</v>
      </c>
      <c r="H36" s="1086">
        <f t="shared" si="7"/>
        <v>-1464670.1310724937</v>
      </c>
      <c r="I36" s="1086">
        <f t="shared" si="7"/>
        <v>225696</v>
      </c>
      <c r="J36" s="1086">
        <f t="shared" si="7"/>
        <v>26861.822449383042</v>
      </c>
      <c r="K36" s="1086">
        <f t="shared" si="7"/>
        <v>0</v>
      </c>
      <c r="L36" s="1086">
        <f t="shared" si="7"/>
        <v>16827.581406835918</v>
      </c>
      <c r="M36" s="1086">
        <f t="shared" si="7"/>
        <v>14373.998075557345</v>
      </c>
      <c r="N36" s="1086">
        <f t="shared" si="7"/>
        <v>30932.981132557921</v>
      </c>
      <c r="O36" s="1086">
        <f t="shared" si="7"/>
        <v>-801978.53661093162</v>
      </c>
      <c r="P36" s="1086">
        <f t="shared" si="7"/>
        <v>3471.7537227038374</v>
      </c>
      <c r="Q36" s="1086">
        <f t="shared" si="7"/>
        <v>-101033.59276701676</v>
      </c>
      <c r="R36" s="1086">
        <f t="shared" si="7"/>
        <v>6923689.5899999999</v>
      </c>
      <c r="S36" s="1086">
        <f t="shared" si="7"/>
        <v>1744866.4615596212</v>
      </c>
      <c r="T36" s="1086">
        <f t="shared" si="7"/>
        <v>260.94661826917422</v>
      </c>
      <c r="U36" s="1086">
        <f t="shared" si="7"/>
        <v>-972.52741804815014</v>
      </c>
      <c r="V36" s="1086">
        <f t="shared" si="7"/>
        <v>-274576.00651124539</v>
      </c>
      <c r="W36" s="1086">
        <f t="shared" si="7"/>
        <v>-139979.2102726177</v>
      </c>
      <c r="X36" s="1086">
        <f t="shared" si="7"/>
        <v>0</v>
      </c>
      <c r="Y36" s="1086">
        <f t="shared" si="7"/>
        <v>0</v>
      </c>
      <c r="Z36" s="1086">
        <f t="shared" si="7"/>
        <v>7484567.6746666431</v>
      </c>
      <c r="AA36" s="1086">
        <f t="shared" si="7"/>
        <v>590408.56677233428</v>
      </c>
      <c r="AB36" s="1086">
        <f t="shared" si="7"/>
        <v>441934.4167838149</v>
      </c>
      <c r="AC36" s="1086">
        <f t="shared" si="7"/>
        <v>314398.23129746714</v>
      </c>
      <c r="AD36" s="1086">
        <f t="shared" si="7"/>
        <v>-3781.2329403176627</v>
      </c>
      <c r="AE36" s="1086">
        <f t="shared" si="7"/>
        <v>0</v>
      </c>
      <c r="AF36" s="1086">
        <f t="shared" si="7"/>
        <v>-1249180.3745660563</v>
      </c>
      <c r="AG36" s="1086">
        <f t="shared" si="7"/>
        <v>74723.8394267369</v>
      </c>
      <c r="AH36" s="1086">
        <f t="shared" si="7"/>
        <v>277542</v>
      </c>
      <c r="AI36" s="1086">
        <f t="shared" si="7"/>
        <v>0</v>
      </c>
      <c r="AJ36" s="1086">
        <f t="shared" si="7"/>
        <v>661916.82775972039</v>
      </c>
      <c r="AK36" s="1086">
        <f t="shared" si="7"/>
        <v>0</v>
      </c>
      <c r="AL36" s="1086">
        <f t="shared" si="7"/>
        <v>0</v>
      </c>
      <c r="AM36" s="1086">
        <f t="shared" si="7"/>
        <v>407648.85953784268</v>
      </c>
      <c r="AN36" s="1086">
        <f t="shared" si="7"/>
        <v>493727</v>
      </c>
      <c r="AO36" s="1086">
        <f t="shared" si="7"/>
        <v>524708.49001859501</v>
      </c>
      <c r="AP36" s="1086">
        <f t="shared" si="7"/>
        <v>-138615</v>
      </c>
      <c r="AQ36" s="1086">
        <f t="shared" si="7"/>
        <v>-171516.90404896234</v>
      </c>
      <c r="AR36" s="1086">
        <f t="shared" si="7"/>
        <v>0</v>
      </c>
      <c r="AS36" s="1086">
        <f t="shared" si="7"/>
        <v>-633488.72686467902</v>
      </c>
      <c r="AT36" s="1086">
        <f t="shared" si="7"/>
        <v>0</v>
      </c>
      <c r="AU36" s="1086">
        <f t="shared" si="7"/>
        <v>-58360.818566997426</v>
      </c>
      <c r="AV36" s="1086">
        <f t="shared" si="7"/>
        <v>17990.552800000001</v>
      </c>
      <c r="AW36" s="1086">
        <f t="shared" si="7"/>
        <v>-99762</v>
      </c>
      <c r="AX36" s="1086">
        <f t="shared" si="7"/>
        <v>-2710.3672727272733</v>
      </c>
      <c r="AY36" s="1086">
        <f t="shared" si="7"/>
        <v>-2944621</v>
      </c>
      <c r="AZ36" s="1086">
        <f t="shared" si="7"/>
        <v>236962.79765522532</v>
      </c>
      <c r="BA36" s="1086">
        <f t="shared" si="7"/>
        <v>0</v>
      </c>
      <c r="BB36" s="1086">
        <f t="shared" si="7"/>
        <v>0</v>
      </c>
      <c r="BC36" s="1086">
        <f t="shared" si="7"/>
        <v>-650290.35568108479</v>
      </c>
      <c r="BD36" s="1053"/>
      <c r="CZ36" s="10"/>
    </row>
    <row r="37" spans="1:104" ht="13.5"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8">SUM(D39:BC39)</f>
        <v>103943023.31218547</v>
      </c>
      <c r="D39" s="1080">
        <f>'Adjustments - restating'!D39+'Adjustments - Pro Forma'!D39</f>
        <v>0</v>
      </c>
      <c r="E39" s="1080">
        <f>'Adjustments - restating'!E39+'Adjustments - Pro Forma'!E39</f>
        <v>0</v>
      </c>
      <c r="F39" s="1080">
        <f>'Adjustments - restating'!F39+'Adjustments - Pro Forma'!F39</f>
        <v>0</v>
      </c>
      <c r="G39" s="1080">
        <f>'Adjustments - restating'!G39+'Adjustments - Pro Forma'!G39</f>
        <v>0</v>
      </c>
      <c r="H39" s="1080">
        <f>'Adjustments - restating'!H39+'Adjustments - Pro Forma'!H39</f>
        <v>0</v>
      </c>
      <c r="I39" s="1080">
        <f>'Adjustments - restating'!I39+'Adjustments - Pro Forma'!I39</f>
        <v>0</v>
      </c>
      <c r="J39" s="1080">
        <f>'Adjustments - restating'!J39+'Adjustments - Pro Forma'!J39</f>
        <v>0</v>
      </c>
      <c r="K39" s="1080">
        <f>'Adjustments - restating'!K39+'Adjustments - Pro Forma'!K39</f>
        <v>0</v>
      </c>
      <c r="L39" s="1080">
        <f>'Adjustments - restating'!L39+'Adjustments - Pro Forma'!L39</f>
        <v>0</v>
      </c>
      <c r="M39" s="1080">
        <f>'Adjustments - restating'!M39+'Adjustments - Pro Forma'!M39</f>
        <v>0</v>
      </c>
      <c r="N39" s="1080">
        <f>'Adjustments - restating'!N39+'Adjustments - Pro Forma'!N39</f>
        <v>0</v>
      </c>
      <c r="O39" s="1080">
        <f>'Adjustments - restating'!O39+'Adjustments - Pro Forma'!O39</f>
        <v>0</v>
      </c>
      <c r="P39" s="1080">
        <f>'Adjustments - restating'!P39+'Adjustments - Pro Forma'!P39</f>
        <v>0</v>
      </c>
      <c r="Q39" s="1080">
        <f>'Adjustments - restating'!Q39+'Adjustments - Pro Forma'!Q39</f>
        <v>0</v>
      </c>
      <c r="R39" s="1080">
        <f>'Adjustments - restating'!R39+'Adjustments - Pro Forma'!R39</f>
        <v>0</v>
      </c>
      <c r="S39" s="1080">
        <f>'Adjustments - restating'!S39+'Adjustments - Pro Forma'!S39</f>
        <v>0</v>
      </c>
      <c r="T39" s="1080">
        <f>'Adjustments - restating'!T39+'Adjustments - Pro Forma'!T39</f>
        <v>0</v>
      </c>
      <c r="U39" s="1080">
        <f>'Adjustments - restating'!U39+'Adjustments - Pro Forma'!U39</f>
        <v>0</v>
      </c>
      <c r="V39" s="1080">
        <f>'Adjustments - restating'!V39+'Adjustments - Pro Forma'!V39</f>
        <v>0</v>
      </c>
      <c r="W39" s="1080">
        <f>'Adjustments - restating'!W39+'Adjustments - Pro Forma'!W39</f>
        <v>0</v>
      </c>
      <c r="X39" s="1080">
        <f>'Adjustments - restating'!X39+'Adjustments - Pro Forma'!X39</f>
        <v>0</v>
      </c>
      <c r="Y39" s="1080">
        <f>'Adjustments - restating'!Y39+'Adjustments - Pro Forma'!Y39</f>
        <v>0</v>
      </c>
      <c r="Z39" s="1080">
        <f>'Adjustments - restating'!Z39+'Adjustments - Pro Forma'!Z39</f>
        <v>0</v>
      </c>
      <c r="AA39" s="1080">
        <f>'Adjustments - restating'!AA39+'Adjustments - Pro Forma'!AA39</f>
        <v>0</v>
      </c>
      <c r="AB39" s="1080">
        <f>'Adjustments - restating'!AB39+'Adjustments - Pro Forma'!AB39</f>
        <v>0</v>
      </c>
      <c r="AC39" s="1080">
        <f>'Adjustments - restating'!AC39+'Adjustments - Pro Forma'!AC39</f>
        <v>-28327255.80891481</v>
      </c>
      <c r="AD39" s="1080">
        <f>'Adjustments - restating'!AD39+'Adjustments - Pro Forma'!AD39</f>
        <v>0</v>
      </c>
      <c r="AE39" s="1080">
        <f>'Adjustments - restating'!AE39+'Adjustments - Pro Forma'!AE39</f>
        <v>0</v>
      </c>
      <c r="AF39" s="1080">
        <f>'Adjustments - restating'!AF39+'Adjustments - Pro Forma'!AF39</f>
        <v>0</v>
      </c>
      <c r="AG39" s="1080">
        <f>'Adjustments - restating'!AG39+'Adjustments - Pro Forma'!AG39</f>
        <v>0</v>
      </c>
      <c r="AH39" s="1080">
        <f>'Adjustments - restating'!AH39+'Adjustments - Pro Forma'!AH39</f>
        <v>0</v>
      </c>
      <c r="AI39" s="1080">
        <f>'Adjustments - restating'!AI39+'Adjustments - Pro Forma'!AI39</f>
        <v>0</v>
      </c>
      <c r="AJ39" s="1080">
        <f>'Adjustments - restating'!AJ39+'Adjustments - Pro Forma'!AJ39</f>
        <v>0</v>
      </c>
      <c r="AK39" s="1080">
        <f>'Adjustments - restating'!AK39+'Adjustments - Pro Forma'!AK39</f>
        <v>0</v>
      </c>
      <c r="AL39" s="1080">
        <f>'Adjustments - restating'!AL39+'Adjustments - Pro Forma'!AL39</f>
        <v>0</v>
      </c>
      <c r="AM39" s="1080">
        <f>'Adjustments - restating'!AM39+'Adjustments - Pro Forma'!AM39</f>
        <v>0</v>
      </c>
      <c r="AN39" s="1080">
        <f>'Adjustments - restating'!AN39+'Adjustments - Pro Forma'!AN39</f>
        <v>0</v>
      </c>
      <c r="AO39" s="1080">
        <f>'Adjustments - restating'!AO39+'Adjustments - Pro Forma'!AO39</f>
        <v>0</v>
      </c>
      <c r="AP39" s="1080">
        <f>'Adjustments - restating'!AP39+'Adjustments - Pro Forma'!AP39</f>
        <v>69500552.513709083</v>
      </c>
      <c r="AQ39" s="1080">
        <f>'Adjustments - restating'!AQ39+'Adjustments - Pro Forma'!AQ39</f>
        <v>0</v>
      </c>
      <c r="AR39" s="1080">
        <f>'Adjustments - restating'!AR39+'Adjustments - Pro Forma'!AR39</f>
        <v>0</v>
      </c>
      <c r="AS39" s="1080">
        <f>'Adjustments - restating'!AS39+'Adjustments - Pro Forma'!AS39</f>
        <v>40424582.27398219</v>
      </c>
      <c r="AT39" s="1080">
        <f>'Adjustments - restating'!AT39+'Adjustments - Pro Forma'!AT39</f>
        <v>0</v>
      </c>
      <c r="AU39" s="1080">
        <f>'Adjustments - restating'!AU39+'Adjustments - Pro Forma'!AU39</f>
        <v>0</v>
      </c>
      <c r="AV39" s="1080">
        <f>'Adjustments - restating'!AV39+'Adjustments - Pro Forma'!AV39</f>
        <v>-360048.63899999904</v>
      </c>
      <c r="AW39" s="1080">
        <f>'Adjustments - restating'!AW39+'Adjustments - Pro Forma'!AW39</f>
        <v>0</v>
      </c>
      <c r="AX39" s="1080">
        <f>'Adjustments - restating'!AX39+'Adjustments - Pro Forma'!AX39</f>
        <v>0</v>
      </c>
      <c r="AY39" s="1080">
        <f>'Adjustments - restating'!AY39+'Adjustments - Pro Forma'!AY39</f>
        <v>0</v>
      </c>
      <c r="AZ39" s="1080">
        <f>'Adjustments - restating'!AZ39+'Adjustments - Pro Forma'!AZ39</f>
        <v>0</v>
      </c>
      <c r="BA39" s="1080">
        <f>'Adjustments - restating'!BA39+'Adjustments - Pro Forma'!BA39</f>
        <v>22392710.951431125</v>
      </c>
      <c r="BB39" s="1080">
        <f>'Adjustments - restating'!BB39+'Adjustments - Pro Forma'!BB39</f>
        <v>0</v>
      </c>
      <c r="BC39" s="1080">
        <f>'Adjustments - restating'!BC39+'Adjustments - Pro Forma'!BC39</f>
        <v>312482.0209778815</v>
      </c>
      <c r="BD39" s="1053"/>
      <c r="CZ39" s="10"/>
    </row>
    <row r="40" spans="1:104">
      <c r="A40" s="4">
        <v>33</v>
      </c>
      <c r="B40" s="8" t="s">
        <v>38</v>
      </c>
      <c r="C40" s="1083">
        <f t="shared" si="8"/>
        <v>0</v>
      </c>
      <c r="D40" s="1080">
        <f>'Adjustments - restating'!D40+'Adjustments - Pro Forma'!D40</f>
        <v>0</v>
      </c>
      <c r="E40" s="1080">
        <f>'Adjustments - restating'!E40+'Adjustments - Pro Forma'!E40</f>
        <v>0</v>
      </c>
      <c r="F40" s="1080">
        <f>'Adjustments - restating'!F40+'Adjustments - Pro Forma'!F40</f>
        <v>0</v>
      </c>
      <c r="G40" s="1080">
        <f>'Adjustments - restating'!G40+'Adjustments - Pro Forma'!G40</f>
        <v>0</v>
      </c>
      <c r="H40" s="1080">
        <f>'Adjustments - restating'!H40+'Adjustments - Pro Forma'!H40</f>
        <v>0</v>
      </c>
      <c r="I40" s="1080">
        <f>'Adjustments - restating'!I40+'Adjustments - Pro Forma'!I40</f>
        <v>0</v>
      </c>
      <c r="J40" s="1080">
        <f>'Adjustments - restating'!J40+'Adjustments - Pro Forma'!J40</f>
        <v>0</v>
      </c>
      <c r="K40" s="1080">
        <f>'Adjustments - restating'!K40+'Adjustments - Pro Forma'!K40</f>
        <v>0</v>
      </c>
      <c r="L40" s="1080">
        <f>'Adjustments - restating'!L40+'Adjustments - Pro Forma'!L40</f>
        <v>0</v>
      </c>
      <c r="M40" s="1080">
        <f>'Adjustments - restating'!M40+'Adjustments - Pro Forma'!M40</f>
        <v>0</v>
      </c>
      <c r="N40" s="1080">
        <f>'Adjustments - restating'!N40+'Adjustments - Pro Forma'!N40</f>
        <v>0</v>
      </c>
      <c r="O40" s="1080">
        <f>'Adjustments - restating'!O40+'Adjustments - Pro Forma'!O40</f>
        <v>0</v>
      </c>
      <c r="P40" s="1080">
        <f>'Adjustments - restating'!P40+'Adjustments - Pro Forma'!P40</f>
        <v>0</v>
      </c>
      <c r="Q40" s="1080">
        <f>'Adjustments - restating'!Q40+'Adjustments - Pro Forma'!Q40</f>
        <v>0</v>
      </c>
      <c r="R40" s="1080">
        <f>'Adjustments - restating'!R40+'Adjustments - Pro Forma'!R40</f>
        <v>0</v>
      </c>
      <c r="S40" s="1080">
        <f>'Adjustments - restating'!S40+'Adjustments - Pro Forma'!S40</f>
        <v>0</v>
      </c>
      <c r="T40" s="1080">
        <f>'Adjustments - restating'!T40+'Adjustments - Pro Forma'!T40</f>
        <v>0</v>
      </c>
      <c r="U40" s="1080">
        <f>'Adjustments - restating'!U40+'Adjustments - Pro Forma'!U40</f>
        <v>0</v>
      </c>
      <c r="V40" s="1080">
        <f>'Adjustments - restating'!V40+'Adjustments - Pro Forma'!V40</f>
        <v>0</v>
      </c>
      <c r="W40" s="1080">
        <f>'Adjustments - restating'!W40+'Adjustments - Pro Forma'!W40</f>
        <v>0</v>
      </c>
      <c r="X40" s="1080">
        <f>'Adjustments - restating'!X40+'Adjustments - Pro Forma'!X40</f>
        <v>0</v>
      </c>
      <c r="Y40" s="1080">
        <f>'Adjustments - restating'!Y40+'Adjustments - Pro Forma'!Y40</f>
        <v>0</v>
      </c>
      <c r="Z40" s="1080">
        <f>'Adjustments - restating'!Z40+'Adjustments - Pro Forma'!Z40</f>
        <v>0</v>
      </c>
      <c r="AA40" s="1080">
        <f>'Adjustments - restating'!AA40+'Adjustments - Pro Forma'!AA40</f>
        <v>0</v>
      </c>
      <c r="AB40" s="1080">
        <f>'Adjustments - restating'!AB40+'Adjustments - Pro Forma'!AB40</f>
        <v>0</v>
      </c>
      <c r="AC40" s="1080">
        <f>'Adjustments - restating'!AC40+'Adjustments - Pro Forma'!AC40</f>
        <v>0</v>
      </c>
      <c r="AD40" s="1080">
        <f>'Adjustments - restating'!AD40+'Adjustments - Pro Forma'!AD40</f>
        <v>0</v>
      </c>
      <c r="AE40" s="1080">
        <f>'Adjustments - restating'!AE40+'Adjustments - Pro Forma'!AE40</f>
        <v>0</v>
      </c>
      <c r="AF40" s="1080">
        <f>'Adjustments - restating'!AF40+'Adjustments - Pro Forma'!AF40</f>
        <v>0</v>
      </c>
      <c r="AG40" s="1080">
        <f>'Adjustments - restating'!AG40+'Adjustments - Pro Forma'!AG40</f>
        <v>0</v>
      </c>
      <c r="AH40" s="1080">
        <f>'Adjustments - restating'!AH40+'Adjustments - Pro Forma'!AH40</f>
        <v>0</v>
      </c>
      <c r="AI40" s="1080">
        <f>'Adjustments - restating'!AI40+'Adjustments - Pro Forma'!AI40</f>
        <v>0</v>
      </c>
      <c r="AJ40" s="1080">
        <f>'Adjustments - restating'!AJ40+'Adjustments - Pro Forma'!AJ40</f>
        <v>0</v>
      </c>
      <c r="AK40" s="1080">
        <f>'Adjustments - restating'!AK40+'Adjustments - Pro Forma'!AK40</f>
        <v>0</v>
      </c>
      <c r="AL40" s="1080">
        <f>'Adjustments - restating'!AL40+'Adjustments - Pro Forma'!AL40</f>
        <v>0</v>
      </c>
      <c r="AM40" s="1080">
        <f>'Adjustments - restating'!AM40+'Adjustments - Pro Forma'!AM40</f>
        <v>0</v>
      </c>
      <c r="AN40" s="1080">
        <f>'Adjustments - restating'!AN40+'Adjustments - Pro Forma'!AN40</f>
        <v>0</v>
      </c>
      <c r="AO40" s="1080">
        <f>'Adjustments - restating'!AO40+'Adjustments - Pro Forma'!AO40</f>
        <v>0</v>
      </c>
      <c r="AP40" s="1080">
        <f>'Adjustments - restating'!AP40+'Adjustments - Pro Forma'!AP40</f>
        <v>0</v>
      </c>
      <c r="AQ40" s="1080">
        <f>'Adjustments - restating'!AQ40+'Adjustments - Pro Forma'!AQ40</f>
        <v>0</v>
      </c>
      <c r="AR40" s="1080">
        <f>'Adjustments - restating'!AR40+'Adjustments - Pro Forma'!AR40</f>
        <v>0</v>
      </c>
      <c r="AS40" s="1080">
        <f>'Adjustments - restating'!AS40+'Adjustments - Pro Forma'!AS40</f>
        <v>0</v>
      </c>
      <c r="AT40" s="1080">
        <f>'Adjustments - restating'!AT40+'Adjustments - Pro Forma'!AT40</f>
        <v>0</v>
      </c>
      <c r="AU40" s="1080">
        <f>'Adjustments - restating'!AU40+'Adjustments - Pro Forma'!AU40</f>
        <v>0</v>
      </c>
      <c r="AV40" s="1080">
        <f>'Adjustments - restating'!AV40+'Adjustments - Pro Forma'!AV40</f>
        <v>0</v>
      </c>
      <c r="AW40" s="1080">
        <f>'Adjustments - restating'!AW40+'Adjustments - Pro Forma'!AW40</f>
        <v>0</v>
      </c>
      <c r="AX40" s="1080">
        <f>'Adjustments - restating'!AX40+'Adjustments - Pro Forma'!AX40</f>
        <v>0</v>
      </c>
      <c r="AY40" s="1080">
        <f>'Adjustments - restating'!AY40+'Adjustments - Pro Forma'!AY40</f>
        <v>0</v>
      </c>
      <c r="AZ40" s="1080">
        <f>'Adjustments - restating'!AZ40+'Adjustments - Pro Forma'!AZ40</f>
        <v>0</v>
      </c>
      <c r="BA40" s="1080">
        <f>'Adjustments - restating'!BA40+'Adjustments - Pro Forma'!BA40</f>
        <v>0</v>
      </c>
      <c r="BB40" s="1080">
        <f>'Adjustments - restating'!BB40+'Adjustments - Pro Forma'!BB40</f>
        <v>0</v>
      </c>
      <c r="BC40" s="1080">
        <f>'Adjustments - restating'!BC40+'Adjustments - Pro Forma'!BC40</f>
        <v>0</v>
      </c>
      <c r="BD40" s="1053"/>
      <c r="CZ40" s="10"/>
    </row>
    <row r="41" spans="1:104">
      <c r="A41" s="4">
        <v>34</v>
      </c>
      <c r="B41" s="8" t="s">
        <v>391</v>
      </c>
      <c r="C41" s="1083">
        <f t="shared" si="8"/>
        <v>-5671386.2543606469</v>
      </c>
      <c r="D41" s="1080">
        <f>'Adjustments - restating'!D41+'Adjustments - Pro Forma'!D41</f>
        <v>0</v>
      </c>
      <c r="E41" s="1080">
        <f>'Adjustments - restating'!E41+'Adjustments - Pro Forma'!E41</f>
        <v>0</v>
      </c>
      <c r="F41" s="1080">
        <f>'Adjustments - restating'!F41+'Adjustments - Pro Forma'!F41</f>
        <v>0</v>
      </c>
      <c r="G41" s="1080">
        <f>'Adjustments - restating'!G41+'Adjustments - Pro Forma'!G41</f>
        <v>0</v>
      </c>
      <c r="H41" s="1080">
        <f>'Adjustments - restating'!H41+'Adjustments - Pro Forma'!H41</f>
        <v>0</v>
      </c>
      <c r="I41" s="1080">
        <f>'Adjustments - restating'!I41+'Adjustments - Pro Forma'!I41</f>
        <v>0</v>
      </c>
      <c r="J41" s="1080">
        <f>'Adjustments - restating'!J41+'Adjustments - Pro Forma'!J41</f>
        <v>0</v>
      </c>
      <c r="K41" s="1080">
        <f>'Adjustments - restating'!K41+'Adjustments - Pro Forma'!K41</f>
        <v>0</v>
      </c>
      <c r="L41" s="1080">
        <f>'Adjustments - restating'!L41+'Adjustments - Pro Forma'!L41</f>
        <v>0</v>
      </c>
      <c r="M41" s="1080">
        <f>'Adjustments - restating'!M41+'Adjustments - Pro Forma'!M41</f>
        <v>0</v>
      </c>
      <c r="N41" s="1080">
        <f>'Adjustments - restating'!N41+'Adjustments - Pro Forma'!N41</f>
        <v>0</v>
      </c>
      <c r="O41" s="1080">
        <f>'Adjustments - restating'!O41+'Adjustments - Pro Forma'!O41</f>
        <v>0</v>
      </c>
      <c r="P41" s="1080">
        <f>'Adjustments - restating'!P41+'Adjustments - Pro Forma'!P41</f>
        <v>0</v>
      </c>
      <c r="Q41" s="1080">
        <f>'Adjustments - restating'!Q41+'Adjustments - Pro Forma'!Q41</f>
        <v>0</v>
      </c>
      <c r="R41" s="1080">
        <f>'Adjustments - restating'!R41+'Adjustments - Pro Forma'!R41</f>
        <v>0</v>
      </c>
      <c r="S41" s="1080">
        <f>'Adjustments - restating'!S41+'Adjustments - Pro Forma'!S41</f>
        <v>0</v>
      </c>
      <c r="T41" s="1080">
        <f>'Adjustments - restating'!T41+'Adjustments - Pro Forma'!T41</f>
        <v>0</v>
      </c>
      <c r="U41" s="1080">
        <f>'Adjustments - restating'!U41+'Adjustments - Pro Forma'!U41</f>
        <v>0</v>
      </c>
      <c r="V41" s="1080">
        <f>'Adjustments - restating'!V41+'Adjustments - Pro Forma'!V41</f>
        <v>0</v>
      </c>
      <c r="W41" s="1080">
        <f>'Adjustments - restating'!W41+'Adjustments - Pro Forma'!W41</f>
        <v>0</v>
      </c>
      <c r="X41" s="1080">
        <f>'Adjustments - restating'!X41+'Adjustments - Pro Forma'!X41</f>
        <v>0</v>
      </c>
      <c r="Y41" s="1080">
        <f>'Adjustments - restating'!Y41+'Adjustments - Pro Forma'!Y41</f>
        <v>0</v>
      </c>
      <c r="Z41" s="1080">
        <f>'Adjustments - restating'!Z41+'Adjustments - Pro Forma'!Z41</f>
        <v>0</v>
      </c>
      <c r="AA41" s="1080">
        <f>'Adjustments - restating'!AA41+'Adjustments - Pro Forma'!AA41</f>
        <v>0</v>
      </c>
      <c r="AB41" s="1080">
        <f>'Adjustments - restating'!AB41+'Adjustments - Pro Forma'!AB41</f>
        <v>0</v>
      </c>
      <c r="AC41" s="1080">
        <f>'Adjustments - restating'!AC41+'Adjustments - Pro Forma'!AC41</f>
        <v>0</v>
      </c>
      <c r="AD41" s="1080">
        <f>'Adjustments - restating'!AD41+'Adjustments - Pro Forma'!AD41</f>
        <v>0</v>
      </c>
      <c r="AE41" s="1080">
        <f>'Adjustments - restating'!AE41+'Adjustments - Pro Forma'!AE41</f>
        <v>0</v>
      </c>
      <c r="AF41" s="1080">
        <f>'Adjustments - restating'!AF41+'Adjustments - Pro Forma'!AF41</f>
        <v>0</v>
      </c>
      <c r="AG41" s="1080">
        <f>'Adjustments - restating'!AG41+'Adjustments - Pro Forma'!AG41</f>
        <v>0</v>
      </c>
      <c r="AH41" s="1080">
        <f>'Adjustments - restating'!AH41+'Adjustments - Pro Forma'!AH41</f>
        <v>0</v>
      </c>
      <c r="AI41" s="1080">
        <f>'Adjustments - restating'!AI41+'Adjustments - Pro Forma'!AI41</f>
        <v>0</v>
      </c>
      <c r="AJ41" s="1080">
        <f>'Adjustments - restating'!AJ41+'Adjustments - Pro Forma'!AJ41</f>
        <v>0</v>
      </c>
      <c r="AK41" s="1080">
        <f>'Adjustments - restating'!AK41+'Adjustments - Pro Forma'!AK41</f>
        <v>0</v>
      </c>
      <c r="AL41" s="1080">
        <f>'Adjustments - restating'!AL41+'Adjustments - Pro Forma'!AL41</f>
        <v>0</v>
      </c>
      <c r="AM41" s="1080">
        <f>'Adjustments - restating'!AM41+'Adjustments - Pro Forma'!AM41</f>
        <v>0</v>
      </c>
      <c r="AN41" s="1080">
        <f>'Adjustments - restating'!AN41+'Adjustments - Pro Forma'!AN41</f>
        <v>0</v>
      </c>
      <c r="AO41" s="1080">
        <f>'Adjustments - restating'!AO41+'Adjustments - Pro Forma'!AO41</f>
        <v>0</v>
      </c>
      <c r="AP41" s="1080">
        <f>'Adjustments - restating'!AP41+'Adjustments - Pro Forma'!AP41</f>
        <v>98976.422746625845</v>
      </c>
      <c r="AQ41" s="1080">
        <f>'Adjustments - restating'!AQ41+'Adjustments - Pro Forma'!AQ41</f>
        <v>130636.84776425855</v>
      </c>
      <c r="AR41" s="1080">
        <f>'Adjustments - restating'!AR41+'Adjustments - Pro Forma'!AR41</f>
        <v>0</v>
      </c>
      <c r="AS41" s="1080">
        <f>'Adjustments - restating'!AS41+'Adjustments - Pro Forma'!AS41</f>
        <v>0</v>
      </c>
      <c r="AT41" s="1080">
        <f>'Adjustments - restating'!AT41+'Adjustments - Pro Forma'!AT41</f>
        <v>-5698347.8147794101</v>
      </c>
      <c r="AU41" s="1080">
        <f>'Adjustments - restating'!AU41+'Adjustments - Pro Forma'!AU41</f>
        <v>-202651.71009212057</v>
      </c>
      <c r="AV41" s="1080">
        <f>'Adjustments - restating'!AV41+'Adjustments - Pro Forma'!AV41</f>
        <v>0</v>
      </c>
      <c r="AW41" s="1080">
        <f>'Adjustments - restating'!AW41+'Adjustments - Pro Forma'!AW41</f>
        <v>0</v>
      </c>
      <c r="AX41" s="1080">
        <f>'Adjustments - restating'!AX41+'Adjustments - Pro Forma'!AX41</f>
        <v>0</v>
      </c>
      <c r="AY41" s="1080">
        <f>'Adjustments - restating'!AY41+'Adjustments - Pro Forma'!AY41</f>
        <v>0</v>
      </c>
      <c r="AZ41" s="1080">
        <f>'Adjustments - restating'!AZ41+'Adjustments - Pro Forma'!AZ41</f>
        <v>0</v>
      </c>
      <c r="BA41" s="1080">
        <f>'Adjustments - restating'!BA41+'Adjustments - Pro Forma'!BA41</f>
        <v>0</v>
      </c>
      <c r="BB41" s="1080">
        <f>'Adjustments - restating'!BB41+'Adjustments - Pro Forma'!BB41</f>
        <v>0</v>
      </c>
      <c r="BC41" s="1080">
        <f>'Adjustments - restating'!BC41+'Adjustments - Pro Forma'!BC41</f>
        <v>0</v>
      </c>
      <c r="BD41" s="1053"/>
      <c r="CZ41" s="10"/>
    </row>
    <row r="42" spans="1:104">
      <c r="A42" s="4">
        <v>35</v>
      </c>
      <c r="B42" s="8" t="s">
        <v>40</v>
      </c>
      <c r="C42" s="1083">
        <f t="shared" si="8"/>
        <v>0</v>
      </c>
      <c r="D42" s="1080">
        <f>'Adjustments - restating'!D42+'Adjustments - Pro Forma'!D42</f>
        <v>0</v>
      </c>
      <c r="E42" s="1080">
        <f>'Adjustments - restating'!E42+'Adjustments - Pro Forma'!E42</f>
        <v>0</v>
      </c>
      <c r="F42" s="1080">
        <f>'Adjustments - restating'!F42+'Adjustments - Pro Forma'!F42</f>
        <v>0</v>
      </c>
      <c r="G42" s="1080">
        <f>'Adjustments - restating'!G42+'Adjustments - Pro Forma'!G42</f>
        <v>0</v>
      </c>
      <c r="H42" s="1080">
        <f>'Adjustments - restating'!H42+'Adjustments - Pro Forma'!H42</f>
        <v>0</v>
      </c>
      <c r="I42" s="1080">
        <f>'Adjustments - restating'!I42+'Adjustments - Pro Forma'!I42</f>
        <v>0</v>
      </c>
      <c r="J42" s="1080">
        <f>'Adjustments - restating'!J42+'Adjustments - Pro Forma'!J42</f>
        <v>0</v>
      </c>
      <c r="K42" s="1080">
        <f>'Adjustments - restating'!K42+'Adjustments - Pro Forma'!K42</f>
        <v>0</v>
      </c>
      <c r="L42" s="1080">
        <f>'Adjustments - restating'!L42+'Adjustments - Pro Forma'!L42</f>
        <v>0</v>
      </c>
      <c r="M42" s="1080">
        <f>'Adjustments - restating'!M42+'Adjustments - Pro Forma'!M42</f>
        <v>0</v>
      </c>
      <c r="N42" s="1080">
        <f>'Adjustments - restating'!N42+'Adjustments - Pro Forma'!N42</f>
        <v>0</v>
      </c>
      <c r="O42" s="1080">
        <f>'Adjustments - restating'!O42+'Adjustments - Pro Forma'!O42</f>
        <v>0</v>
      </c>
      <c r="P42" s="1080">
        <f>'Adjustments - restating'!P42+'Adjustments - Pro Forma'!P42</f>
        <v>0</v>
      </c>
      <c r="Q42" s="1080">
        <f>'Adjustments - restating'!Q42+'Adjustments - Pro Forma'!Q42</f>
        <v>0</v>
      </c>
      <c r="R42" s="1080">
        <f>'Adjustments - restating'!R42+'Adjustments - Pro Forma'!R42</f>
        <v>0</v>
      </c>
      <c r="S42" s="1080">
        <f>'Adjustments - restating'!S42+'Adjustments - Pro Forma'!S42</f>
        <v>0</v>
      </c>
      <c r="T42" s="1080">
        <f>'Adjustments - restating'!T42+'Adjustments - Pro Forma'!T42</f>
        <v>0</v>
      </c>
      <c r="U42" s="1080">
        <f>'Adjustments - restating'!U42+'Adjustments - Pro Forma'!U42</f>
        <v>0</v>
      </c>
      <c r="V42" s="1080">
        <f>'Adjustments - restating'!V42+'Adjustments - Pro Forma'!V42</f>
        <v>0</v>
      </c>
      <c r="W42" s="1080">
        <f>'Adjustments - restating'!W42+'Adjustments - Pro Forma'!W42</f>
        <v>0</v>
      </c>
      <c r="X42" s="1080">
        <f>'Adjustments - restating'!X42+'Adjustments - Pro Forma'!X42</f>
        <v>0</v>
      </c>
      <c r="Y42" s="1080">
        <f>'Adjustments - restating'!Y42+'Adjustments - Pro Forma'!Y42</f>
        <v>0</v>
      </c>
      <c r="Z42" s="1080">
        <f>'Adjustments - restating'!Z42+'Adjustments - Pro Forma'!Z42</f>
        <v>0</v>
      </c>
      <c r="AA42" s="1080">
        <f>'Adjustments - restating'!AA42+'Adjustments - Pro Forma'!AA42</f>
        <v>0</v>
      </c>
      <c r="AB42" s="1080">
        <f>'Adjustments - restating'!AB42+'Adjustments - Pro Forma'!AB42</f>
        <v>0</v>
      </c>
      <c r="AC42" s="1080">
        <f>'Adjustments - restating'!AC42+'Adjustments - Pro Forma'!AC42</f>
        <v>0</v>
      </c>
      <c r="AD42" s="1080">
        <f>'Adjustments - restating'!AD42+'Adjustments - Pro Forma'!AD42</f>
        <v>0</v>
      </c>
      <c r="AE42" s="1080">
        <f>'Adjustments - restating'!AE42+'Adjustments - Pro Forma'!AE42</f>
        <v>0</v>
      </c>
      <c r="AF42" s="1080">
        <f>'Adjustments - restating'!AF42+'Adjustments - Pro Forma'!AF42</f>
        <v>0</v>
      </c>
      <c r="AG42" s="1080">
        <f>'Adjustments - restating'!AG42+'Adjustments - Pro Forma'!AG42</f>
        <v>0</v>
      </c>
      <c r="AH42" s="1080">
        <f>'Adjustments - restating'!AH42+'Adjustments - Pro Forma'!AH42</f>
        <v>0</v>
      </c>
      <c r="AI42" s="1080">
        <f>'Adjustments - restating'!AI42+'Adjustments - Pro Forma'!AI42</f>
        <v>0</v>
      </c>
      <c r="AJ42" s="1080">
        <f>'Adjustments - restating'!AJ42+'Adjustments - Pro Forma'!AJ42</f>
        <v>0</v>
      </c>
      <c r="AK42" s="1080">
        <f>'Adjustments - restating'!AK42+'Adjustments - Pro Forma'!AK42</f>
        <v>0</v>
      </c>
      <c r="AL42" s="1080">
        <f>'Adjustments - restating'!AL42+'Adjustments - Pro Forma'!AL42</f>
        <v>0</v>
      </c>
      <c r="AM42" s="1080">
        <f>'Adjustments - restating'!AM42+'Adjustments - Pro Forma'!AM42</f>
        <v>0</v>
      </c>
      <c r="AN42" s="1080">
        <f>'Adjustments - restating'!AN42+'Adjustments - Pro Forma'!AN42</f>
        <v>0</v>
      </c>
      <c r="AO42" s="1080">
        <f>'Adjustments - restating'!AO42+'Adjustments - Pro Forma'!AO42</f>
        <v>0</v>
      </c>
      <c r="AP42" s="1080">
        <f>'Adjustments - restating'!AP42+'Adjustments - Pro Forma'!AP42</f>
        <v>0</v>
      </c>
      <c r="AQ42" s="1080">
        <f>'Adjustments - restating'!AQ42+'Adjustments - Pro Forma'!AQ42</f>
        <v>0</v>
      </c>
      <c r="AR42" s="1080">
        <f>'Adjustments - restating'!AR42+'Adjustments - Pro Forma'!AR42</f>
        <v>0</v>
      </c>
      <c r="AS42" s="1080">
        <f>'Adjustments - restating'!AS42+'Adjustments - Pro Forma'!AS42</f>
        <v>0</v>
      </c>
      <c r="AT42" s="1080">
        <f>'Adjustments - restating'!AT42+'Adjustments - Pro Forma'!AT42</f>
        <v>0</v>
      </c>
      <c r="AU42" s="1080">
        <f>'Adjustments - restating'!AU42+'Adjustments - Pro Forma'!AU42</f>
        <v>0</v>
      </c>
      <c r="AV42" s="1080">
        <f>'Adjustments - restating'!AV42+'Adjustments - Pro Forma'!AV42</f>
        <v>0</v>
      </c>
      <c r="AW42" s="1080">
        <f>'Adjustments - restating'!AW42+'Adjustments - Pro Forma'!AW42</f>
        <v>0</v>
      </c>
      <c r="AX42" s="1080">
        <f>'Adjustments - restating'!AX42+'Adjustments - Pro Forma'!AX42</f>
        <v>0</v>
      </c>
      <c r="AY42" s="1080">
        <f>'Adjustments - restating'!AY42+'Adjustments - Pro Forma'!AY42</f>
        <v>0</v>
      </c>
      <c r="AZ42" s="1080">
        <f>'Adjustments - restating'!AZ42+'Adjustments - Pro Forma'!AZ42</f>
        <v>0</v>
      </c>
      <c r="BA42" s="1080">
        <f>'Adjustments - restating'!BA42+'Adjustments - Pro Forma'!BA42</f>
        <v>0</v>
      </c>
      <c r="BB42" s="1080">
        <f>'Adjustments - restating'!BB42+'Adjustments - Pro Forma'!BB42</f>
        <v>0</v>
      </c>
      <c r="BC42" s="1080">
        <f>'Adjustments - restating'!BC42+'Adjustments - Pro Forma'!BC42</f>
        <v>0</v>
      </c>
      <c r="BD42" s="1053"/>
      <c r="CZ42" s="10"/>
    </row>
    <row r="43" spans="1:104">
      <c r="A43" s="4">
        <v>36</v>
      </c>
      <c r="B43" s="8" t="s">
        <v>41</v>
      </c>
      <c r="C43" s="1083">
        <f t="shared" si="8"/>
        <v>0</v>
      </c>
      <c r="D43" s="1080">
        <f>'Adjustments - restating'!D43+'Adjustments - Pro Forma'!D43</f>
        <v>0</v>
      </c>
      <c r="E43" s="1080">
        <f>'Adjustments - restating'!E43+'Adjustments - Pro Forma'!E43</f>
        <v>0</v>
      </c>
      <c r="F43" s="1080">
        <f>'Adjustments - restating'!F43+'Adjustments - Pro Forma'!F43</f>
        <v>0</v>
      </c>
      <c r="G43" s="1080">
        <f>'Adjustments - restating'!G43+'Adjustments - Pro Forma'!G43</f>
        <v>0</v>
      </c>
      <c r="H43" s="1080">
        <f>'Adjustments - restating'!H43+'Adjustments - Pro Forma'!H43</f>
        <v>0</v>
      </c>
      <c r="I43" s="1080">
        <f>'Adjustments - restating'!I43+'Adjustments - Pro Forma'!I43</f>
        <v>0</v>
      </c>
      <c r="J43" s="1080">
        <f>'Adjustments - restating'!J43+'Adjustments - Pro Forma'!J43</f>
        <v>0</v>
      </c>
      <c r="K43" s="1080">
        <f>'Adjustments - restating'!K43+'Adjustments - Pro Forma'!K43</f>
        <v>0</v>
      </c>
      <c r="L43" s="1080">
        <f>'Adjustments - restating'!L43+'Adjustments - Pro Forma'!L43</f>
        <v>0</v>
      </c>
      <c r="M43" s="1080">
        <f>'Adjustments - restating'!M43+'Adjustments - Pro Forma'!M43</f>
        <v>0</v>
      </c>
      <c r="N43" s="1080">
        <f>'Adjustments - restating'!N43+'Adjustments - Pro Forma'!N43</f>
        <v>0</v>
      </c>
      <c r="O43" s="1080">
        <f>'Adjustments - restating'!O43+'Adjustments - Pro Forma'!O43</f>
        <v>0</v>
      </c>
      <c r="P43" s="1080">
        <f>'Adjustments - restating'!P43+'Adjustments - Pro Forma'!P43</f>
        <v>0</v>
      </c>
      <c r="Q43" s="1080">
        <f>'Adjustments - restating'!Q43+'Adjustments - Pro Forma'!Q43</f>
        <v>0</v>
      </c>
      <c r="R43" s="1080">
        <f>'Adjustments - restating'!R43+'Adjustments - Pro Forma'!R43</f>
        <v>0</v>
      </c>
      <c r="S43" s="1080">
        <f>'Adjustments - restating'!S43+'Adjustments - Pro Forma'!S43</f>
        <v>0</v>
      </c>
      <c r="T43" s="1080">
        <f>'Adjustments - restating'!T43+'Adjustments - Pro Forma'!T43</f>
        <v>0</v>
      </c>
      <c r="U43" s="1080">
        <f>'Adjustments - restating'!U43+'Adjustments - Pro Forma'!U43</f>
        <v>0</v>
      </c>
      <c r="V43" s="1080">
        <f>'Adjustments - restating'!V43+'Adjustments - Pro Forma'!V43</f>
        <v>0</v>
      </c>
      <c r="W43" s="1080">
        <f>'Adjustments - restating'!W43+'Adjustments - Pro Forma'!W43</f>
        <v>0</v>
      </c>
      <c r="X43" s="1080">
        <f>'Adjustments - restating'!X43+'Adjustments - Pro Forma'!X43</f>
        <v>0</v>
      </c>
      <c r="Y43" s="1080">
        <f>'Adjustments - restating'!Y43+'Adjustments - Pro Forma'!Y43</f>
        <v>0</v>
      </c>
      <c r="Z43" s="1080">
        <f>'Adjustments - restating'!Z43+'Adjustments - Pro Forma'!Z43</f>
        <v>0</v>
      </c>
      <c r="AA43" s="1080">
        <f>'Adjustments - restating'!AA43+'Adjustments - Pro Forma'!AA43</f>
        <v>0</v>
      </c>
      <c r="AB43" s="1080">
        <f>'Adjustments - restating'!AB43+'Adjustments - Pro Forma'!AB43</f>
        <v>0</v>
      </c>
      <c r="AC43" s="1080">
        <f>'Adjustments - restating'!AC43+'Adjustments - Pro Forma'!AC43</f>
        <v>0</v>
      </c>
      <c r="AD43" s="1080">
        <f>'Adjustments - restating'!AD43+'Adjustments - Pro Forma'!AD43</f>
        <v>0</v>
      </c>
      <c r="AE43" s="1080">
        <f>'Adjustments - restating'!AE43+'Adjustments - Pro Forma'!AE43</f>
        <v>0</v>
      </c>
      <c r="AF43" s="1080">
        <f>'Adjustments - restating'!AF43+'Adjustments - Pro Forma'!AF43</f>
        <v>0</v>
      </c>
      <c r="AG43" s="1080">
        <f>'Adjustments - restating'!AG43+'Adjustments - Pro Forma'!AG43</f>
        <v>0</v>
      </c>
      <c r="AH43" s="1080">
        <f>'Adjustments - restating'!AH43+'Adjustments - Pro Forma'!AH43</f>
        <v>0</v>
      </c>
      <c r="AI43" s="1080">
        <f>'Adjustments - restating'!AI43+'Adjustments - Pro Forma'!AI43</f>
        <v>0</v>
      </c>
      <c r="AJ43" s="1080">
        <f>'Adjustments - restating'!AJ43+'Adjustments - Pro Forma'!AJ43</f>
        <v>0</v>
      </c>
      <c r="AK43" s="1080">
        <f>'Adjustments - restating'!AK43+'Adjustments - Pro Forma'!AK43</f>
        <v>0</v>
      </c>
      <c r="AL43" s="1080">
        <f>'Adjustments - restating'!AL43+'Adjustments - Pro Forma'!AL43</f>
        <v>0</v>
      </c>
      <c r="AM43" s="1080">
        <f>'Adjustments - restating'!AM43+'Adjustments - Pro Forma'!AM43</f>
        <v>0</v>
      </c>
      <c r="AN43" s="1080">
        <f>'Adjustments - restating'!AN43+'Adjustments - Pro Forma'!AN43</f>
        <v>0</v>
      </c>
      <c r="AO43" s="1080">
        <f>'Adjustments - restating'!AO43+'Adjustments - Pro Forma'!AO43</f>
        <v>0</v>
      </c>
      <c r="AP43" s="1080">
        <f>'Adjustments - restating'!AP43+'Adjustments - Pro Forma'!AP43</f>
        <v>0</v>
      </c>
      <c r="AQ43" s="1080">
        <f>'Adjustments - restating'!AQ43+'Adjustments - Pro Forma'!AQ43</f>
        <v>0</v>
      </c>
      <c r="AR43" s="1080">
        <f>'Adjustments - restating'!AR43+'Adjustments - Pro Forma'!AR43</f>
        <v>0</v>
      </c>
      <c r="AS43" s="1080">
        <f>'Adjustments - restating'!AS43+'Adjustments - Pro Forma'!AS43</f>
        <v>0</v>
      </c>
      <c r="AT43" s="1080">
        <f>'Adjustments - restating'!AT43+'Adjustments - Pro Forma'!AT43</f>
        <v>0</v>
      </c>
      <c r="AU43" s="1080">
        <f>'Adjustments - restating'!AU43+'Adjustments - Pro Forma'!AU43</f>
        <v>0</v>
      </c>
      <c r="AV43" s="1080">
        <f>'Adjustments - restating'!AV43+'Adjustments - Pro Forma'!AV43</f>
        <v>0</v>
      </c>
      <c r="AW43" s="1080">
        <f>'Adjustments - restating'!AW43+'Adjustments - Pro Forma'!AW43</f>
        <v>0</v>
      </c>
      <c r="AX43" s="1080">
        <f>'Adjustments - restating'!AX43+'Adjustments - Pro Forma'!AX43</f>
        <v>0</v>
      </c>
      <c r="AY43" s="1080">
        <f>'Adjustments - restating'!AY43+'Adjustments - Pro Forma'!AY43</f>
        <v>0</v>
      </c>
      <c r="AZ43" s="1080">
        <f>'Adjustments - restating'!AZ43+'Adjustments - Pro Forma'!AZ43</f>
        <v>0</v>
      </c>
      <c r="BA43" s="1080">
        <f>'Adjustments - restating'!BA43+'Adjustments - Pro Forma'!BA43</f>
        <v>0</v>
      </c>
      <c r="BB43" s="1080">
        <f>'Adjustments - restating'!BB43+'Adjustments - Pro Forma'!BB43</f>
        <v>0</v>
      </c>
      <c r="BC43" s="1080">
        <f>'Adjustments - restating'!BC43+'Adjustments - Pro Forma'!BC43</f>
        <v>0</v>
      </c>
      <c r="BD43" s="1053"/>
      <c r="CZ43" s="10"/>
    </row>
    <row r="44" spans="1:104">
      <c r="A44" s="4">
        <v>37</v>
      </c>
      <c r="B44" s="8" t="s">
        <v>42</v>
      </c>
      <c r="C44" s="1083">
        <f t="shared" si="8"/>
        <v>-1743278.7185106392</v>
      </c>
      <c r="D44" s="1080">
        <f>'Adjustments - restating'!D44+'Adjustments - Pro Forma'!D44</f>
        <v>0</v>
      </c>
      <c r="E44" s="1080">
        <f>'Adjustments - restating'!E44+'Adjustments - Pro Forma'!E44</f>
        <v>0</v>
      </c>
      <c r="F44" s="1080">
        <f>'Adjustments - restating'!F44+'Adjustments - Pro Forma'!F44</f>
        <v>0</v>
      </c>
      <c r="G44" s="1080">
        <f>'Adjustments - restating'!G44+'Adjustments - Pro Forma'!G44</f>
        <v>0</v>
      </c>
      <c r="H44" s="1080">
        <f>'Adjustments - restating'!H44+'Adjustments - Pro Forma'!H44</f>
        <v>0</v>
      </c>
      <c r="I44" s="1080">
        <f>'Adjustments - restating'!I44+'Adjustments - Pro Forma'!I44</f>
        <v>0</v>
      </c>
      <c r="J44" s="1080">
        <f>'Adjustments - restating'!J44+'Adjustments - Pro Forma'!J44</f>
        <v>0</v>
      </c>
      <c r="K44" s="1080">
        <f>'Adjustments - restating'!K44+'Adjustments - Pro Forma'!K44</f>
        <v>0</v>
      </c>
      <c r="L44" s="1080">
        <f>'Adjustments - restating'!L44+'Adjustments - Pro Forma'!L44</f>
        <v>0</v>
      </c>
      <c r="M44" s="1080">
        <f>'Adjustments - restating'!M44+'Adjustments - Pro Forma'!M44</f>
        <v>0</v>
      </c>
      <c r="N44" s="1080">
        <f>'Adjustments - restating'!N44+'Adjustments - Pro Forma'!N44</f>
        <v>0</v>
      </c>
      <c r="O44" s="1080">
        <f>'Adjustments - restating'!O44+'Adjustments - Pro Forma'!O44</f>
        <v>0</v>
      </c>
      <c r="P44" s="1080">
        <f>'Adjustments - restating'!P44+'Adjustments - Pro Forma'!P44</f>
        <v>0</v>
      </c>
      <c r="Q44" s="1080">
        <f>'Adjustments - restating'!Q44+'Adjustments - Pro Forma'!Q44</f>
        <v>0</v>
      </c>
      <c r="R44" s="1080">
        <f>'Adjustments - restating'!R44+'Adjustments - Pro Forma'!R44</f>
        <v>0</v>
      </c>
      <c r="S44" s="1080">
        <f>'Adjustments - restating'!S44+'Adjustments - Pro Forma'!S44</f>
        <v>0</v>
      </c>
      <c r="T44" s="1080">
        <f>'Adjustments - restating'!T44+'Adjustments - Pro Forma'!T44</f>
        <v>0</v>
      </c>
      <c r="U44" s="1080">
        <f>'Adjustments - restating'!U44+'Adjustments - Pro Forma'!U44</f>
        <v>0</v>
      </c>
      <c r="V44" s="1080">
        <f>'Adjustments - restating'!V44+'Adjustments - Pro Forma'!V44</f>
        <v>0</v>
      </c>
      <c r="W44" s="1080">
        <f>'Adjustments - restating'!W44+'Adjustments - Pro Forma'!W44</f>
        <v>0</v>
      </c>
      <c r="X44" s="1080">
        <f>'Adjustments - restating'!X44+'Adjustments - Pro Forma'!X44</f>
        <v>0</v>
      </c>
      <c r="Y44" s="1080">
        <f>'Adjustments - restating'!Y44+'Adjustments - Pro Forma'!Y44</f>
        <v>0</v>
      </c>
      <c r="Z44" s="1080">
        <f>'Adjustments - restating'!Z44+'Adjustments - Pro Forma'!Z44</f>
        <v>0</v>
      </c>
      <c r="AA44" s="1080">
        <f>'Adjustments - restating'!AA44+'Adjustments - Pro Forma'!AA44</f>
        <v>0</v>
      </c>
      <c r="AB44" s="1080">
        <f>'Adjustments - restating'!AB44+'Adjustments - Pro Forma'!AB44</f>
        <v>0</v>
      </c>
      <c r="AC44" s="1080">
        <f>'Adjustments - restating'!AC44+'Adjustments - Pro Forma'!AC44</f>
        <v>0</v>
      </c>
      <c r="AD44" s="1080">
        <f>'Adjustments - restating'!AD44+'Adjustments - Pro Forma'!AD44</f>
        <v>0</v>
      </c>
      <c r="AE44" s="1080">
        <f>'Adjustments - restating'!AE44+'Adjustments - Pro Forma'!AE44</f>
        <v>0</v>
      </c>
      <c r="AF44" s="1080">
        <f>'Adjustments - restating'!AF44+'Adjustments - Pro Forma'!AF44</f>
        <v>0</v>
      </c>
      <c r="AG44" s="1080">
        <f>'Adjustments - restating'!AG44+'Adjustments - Pro Forma'!AG44</f>
        <v>0</v>
      </c>
      <c r="AH44" s="1080">
        <f>'Adjustments - restating'!AH44+'Adjustments - Pro Forma'!AH44</f>
        <v>0</v>
      </c>
      <c r="AI44" s="1080">
        <f>'Adjustments - restating'!AI44+'Adjustments - Pro Forma'!AI44</f>
        <v>0</v>
      </c>
      <c r="AJ44" s="1080">
        <f>'Adjustments - restating'!AJ44+'Adjustments - Pro Forma'!AJ44</f>
        <v>0</v>
      </c>
      <c r="AK44" s="1080">
        <f>'Adjustments - restating'!AK44+'Adjustments - Pro Forma'!AK44</f>
        <v>0</v>
      </c>
      <c r="AL44" s="1080">
        <f>'Adjustments - restating'!AL44+'Adjustments - Pro Forma'!AL44</f>
        <v>0</v>
      </c>
      <c r="AM44" s="1080">
        <f>'Adjustments - restating'!AM44+'Adjustments - Pro Forma'!AM44</f>
        <v>0</v>
      </c>
      <c r="AN44" s="1080">
        <f>'Adjustments - restating'!AN44+'Adjustments - Pro Forma'!AN44</f>
        <v>0</v>
      </c>
      <c r="AO44" s="1080">
        <f>'Adjustments - restating'!AO44+'Adjustments - Pro Forma'!AO44</f>
        <v>0</v>
      </c>
      <c r="AP44" s="1080">
        <f>'Adjustments - restating'!AP44+'Adjustments - Pro Forma'!AP44</f>
        <v>0</v>
      </c>
      <c r="AQ44" s="1080">
        <f>'Adjustments - restating'!AQ44+'Adjustments - Pro Forma'!AQ44</f>
        <v>0</v>
      </c>
      <c r="AR44" s="1080">
        <f>'Adjustments - restating'!AR44+'Adjustments - Pro Forma'!AR44</f>
        <v>0</v>
      </c>
      <c r="AS44" s="1080">
        <f>'Adjustments - restating'!AS44+'Adjustments - Pro Forma'!AS44</f>
        <v>0</v>
      </c>
      <c r="AT44" s="1080">
        <f>'Adjustments - restating'!AT44+'Adjustments - Pro Forma'!AT44</f>
        <v>-1743278.7185106392</v>
      </c>
      <c r="AU44" s="1080">
        <f>'Adjustments - restating'!AU44+'Adjustments - Pro Forma'!AU44</f>
        <v>0</v>
      </c>
      <c r="AV44" s="1080">
        <f>'Adjustments - restating'!AV44+'Adjustments - Pro Forma'!AV44</f>
        <v>0</v>
      </c>
      <c r="AW44" s="1080">
        <f>'Adjustments - restating'!AW44+'Adjustments - Pro Forma'!AW44</f>
        <v>0</v>
      </c>
      <c r="AX44" s="1080">
        <f>'Adjustments - restating'!AX44+'Adjustments - Pro Forma'!AX44</f>
        <v>0</v>
      </c>
      <c r="AY44" s="1080">
        <f>'Adjustments - restating'!AY44+'Adjustments - Pro Forma'!AY44</f>
        <v>0</v>
      </c>
      <c r="AZ44" s="1080">
        <f>'Adjustments - restating'!AZ44+'Adjustments - Pro Forma'!AZ44</f>
        <v>0</v>
      </c>
      <c r="BA44" s="1080">
        <f>'Adjustments - restating'!BA44+'Adjustments - Pro Forma'!BA44</f>
        <v>0</v>
      </c>
      <c r="BB44" s="1080">
        <f>'Adjustments - restating'!BB44+'Adjustments - Pro Forma'!BB44</f>
        <v>0</v>
      </c>
      <c r="BC44" s="1080">
        <f>'Adjustments - restating'!BC44+'Adjustments - Pro Forma'!BC44</f>
        <v>0</v>
      </c>
      <c r="BD44" s="1053"/>
      <c r="CZ44" s="10"/>
    </row>
    <row r="45" spans="1:104">
      <c r="A45" s="4">
        <v>38</v>
      </c>
      <c r="B45" s="8" t="s">
        <v>43</v>
      </c>
      <c r="C45" s="1083">
        <f t="shared" si="8"/>
        <v>-6914148.5720945681</v>
      </c>
      <c r="D45" s="1080">
        <f>'Adjustments - restating'!D45+'Adjustments - Pro Forma'!D45</f>
        <v>0</v>
      </c>
      <c r="E45" s="1080">
        <f>'Adjustments - restating'!E45+'Adjustments - Pro Forma'!E45</f>
        <v>0</v>
      </c>
      <c r="F45" s="1080">
        <f>'Adjustments - restating'!F45+'Adjustments - Pro Forma'!F45</f>
        <v>0</v>
      </c>
      <c r="G45" s="1080">
        <f>'Adjustments - restating'!G45+'Adjustments - Pro Forma'!G45</f>
        <v>0</v>
      </c>
      <c r="H45" s="1080">
        <f>'Adjustments - restating'!H45+'Adjustments - Pro Forma'!H45</f>
        <v>0</v>
      </c>
      <c r="I45" s="1080">
        <f>'Adjustments - restating'!I45+'Adjustments - Pro Forma'!I45</f>
        <v>0</v>
      </c>
      <c r="J45" s="1080">
        <f>'Adjustments - restating'!J45+'Adjustments - Pro Forma'!J45</f>
        <v>0</v>
      </c>
      <c r="K45" s="1080">
        <f>'Adjustments - restating'!K45+'Adjustments - Pro Forma'!K45</f>
        <v>0</v>
      </c>
      <c r="L45" s="1080">
        <f>'Adjustments - restating'!L45+'Adjustments - Pro Forma'!L45</f>
        <v>0</v>
      </c>
      <c r="M45" s="1080">
        <f>'Adjustments - restating'!M45+'Adjustments - Pro Forma'!M45</f>
        <v>0</v>
      </c>
      <c r="N45" s="1080">
        <f>'Adjustments - restating'!N45+'Adjustments - Pro Forma'!N45</f>
        <v>0</v>
      </c>
      <c r="O45" s="1080">
        <f>'Adjustments - restating'!O45+'Adjustments - Pro Forma'!O45</f>
        <v>0</v>
      </c>
      <c r="P45" s="1080">
        <f>'Adjustments - restating'!P45+'Adjustments - Pro Forma'!P45</f>
        <v>0</v>
      </c>
      <c r="Q45" s="1080">
        <f>'Adjustments - restating'!Q45+'Adjustments - Pro Forma'!Q45</f>
        <v>0</v>
      </c>
      <c r="R45" s="1080">
        <f>'Adjustments - restating'!R45+'Adjustments - Pro Forma'!R45</f>
        <v>0</v>
      </c>
      <c r="S45" s="1080">
        <f>'Adjustments - restating'!S45+'Adjustments - Pro Forma'!S45</f>
        <v>0</v>
      </c>
      <c r="T45" s="1080">
        <f>'Adjustments - restating'!T45+'Adjustments - Pro Forma'!T45</f>
        <v>0</v>
      </c>
      <c r="U45" s="1080">
        <f>'Adjustments - restating'!U45+'Adjustments - Pro Forma'!U45</f>
        <v>0</v>
      </c>
      <c r="V45" s="1080">
        <f>'Adjustments - restating'!V45+'Adjustments - Pro Forma'!V45</f>
        <v>0</v>
      </c>
      <c r="W45" s="1080">
        <f>'Adjustments - restating'!W45+'Adjustments - Pro Forma'!W45</f>
        <v>0</v>
      </c>
      <c r="X45" s="1080">
        <f>'Adjustments - restating'!X45+'Adjustments - Pro Forma'!X45</f>
        <v>0</v>
      </c>
      <c r="Y45" s="1080">
        <f>'Adjustments - restating'!Y45+'Adjustments - Pro Forma'!Y45</f>
        <v>0</v>
      </c>
      <c r="Z45" s="1080">
        <f>'Adjustments - restating'!Z45+'Adjustments - Pro Forma'!Z45</f>
        <v>0</v>
      </c>
      <c r="AA45" s="1080">
        <f>'Adjustments - restating'!AA45+'Adjustments - Pro Forma'!AA45</f>
        <v>0</v>
      </c>
      <c r="AB45" s="1080">
        <f>'Adjustments - restating'!AB45+'Adjustments - Pro Forma'!AB45</f>
        <v>0</v>
      </c>
      <c r="AC45" s="1080">
        <f>'Adjustments - restating'!AC45+'Adjustments - Pro Forma'!AC45</f>
        <v>0</v>
      </c>
      <c r="AD45" s="1080">
        <f>'Adjustments - restating'!AD45+'Adjustments - Pro Forma'!AD45</f>
        <v>0</v>
      </c>
      <c r="AE45" s="1080">
        <f>'Adjustments - restating'!AE45+'Adjustments - Pro Forma'!AE45</f>
        <v>0</v>
      </c>
      <c r="AF45" s="1080">
        <f>'Adjustments - restating'!AF45+'Adjustments - Pro Forma'!AF45</f>
        <v>0</v>
      </c>
      <c r="AG45" s="1080">
        <f>'Adjustments - restating'!AG45+'Adjustments - Pro Forma'!AG45</f>
        <v>0</v>
      </c>
      <c r="AH45" s="1080">
        <f>'Adjustments - restating'!AH45+'Adjustments - Pro Forma'!AH45</f>
        <v>0</v>
      </c>
      <c r="AI45" s="1080">
        <f>'Adjustments - restating'!AI45+'Adjustments - Pro Forma'!AI45</f>
        <v>0</v>
      </c>
      <c r="AJ45" s="1080">
        <f>'Adjustments - restating'!AJ45+'Adjustments - Pro Forma'!AJ45</f>
        <v>0</v>
      </c>
      <c r="AK45" s="1080">
        <f>'Adjustments - restating'!AK45+'Adjustments - Pro Forma'!AK45</f>
        <v>0</v>
      </c>
      <c r="AL45" s="1080">
        <f>'Adjustments - restating'!AL45+'Adjustments - Pro Forma'!AL45</f>
        <v>0</v>
      </c>
      <c r="AM45" s="1080">
        <f>'Adjustments - restating'!AM45+'Adjustments - Pro Forma'!AM45</f>
        <v>0</v>
      </c>
      <c r="AN45" s="1080">
        <f>'Adjustments - restating'!AN45+'Adjustments - Pro Forma'!AN45</f>
        <v>0</v>
      </c>
      <c r="AO45" s="1080">
        <f>'Adjustments - restating'!AO45+'Adjustments - Pro Forma'!AO45</f>
        <v>0</v>
      </c>
      <c r="AP45" s="1080">
        <f>'Adjustments - restating'!AP45+'Adjustments - Pro Forma'!AP45</f>
        <v>0</v>
      </c>
      <c r="AQ45" s="1080">
        <f>'Adjustments - restating'!AQ45+'Adjustments - Pro Forma'!AQ45</f>
        <v>0</v>
      </c>
      <c r="AR45" s="1080">
        <f>'Adjustments - restating'!AR45+'Adjustments - Pro Forma'!AR45</f>
        <v>0</v>
      </c>
      <c r="AS45" s="1080">
        <f>'Adjustments - restating'!AS45+'Adjustments - Pro Forma'!AS45</f>
        <v>0</v>
      </c>
      <c r="AT45" s="1080">
        <f>'Adjustments - restating'!AT45+'Adjustments - Pro Forma'!AT45</f>
        <v>-6914148.5720945681</v>
      </c>
      <c r="AU45" s="1080">
        <f>'Adjustments - restating'!AU45+'Adjustments - Pro Forma'!AU45</f>
        <v>0</v>
      </c>
      <c r="AV45" s="1080">
        <f>'Adjustments - restating'!AV45+'Adjustments - Pro Forma'!AV45</f>
        <v>0</v>
      </c>
      <c r="AW45" s="1080">
        <f>'Adjustments - restating'!AW45+'Adjustments - Pro Forma'!AW45</f>
        <v>0</v>
      </c>
      <c r="AX45" s="1080">
        <f>'Adjustments - restating'!AX45+'Adjustments - Pro Forma'!AX45</f>
        <v>0</v>
      </c>
      <c r="AY45" s="1080">
        <f>'Adjustments - restating'!AY45+'Adjustments - Pro Forma'!AY45</f>
        <v>0</v>
      </c>
      <c r="AZ45" s="1080">
        <f>'Adjustments - restating'!AZ45+'Adjustments - Pro Forma'!AZ45</f>
        <v>0</v>
      </c>
      <c r="BA45" s="1080">
        <f>'Adjustments - restating'!BA45+'Adjustments - Pro Forma'!BA45</f>
        <v>0</v>
      </c>
      <c r="BB45" s="1080">
        <f>'Adjustments - restating'!BB45+'Adjustments - Pro Forma'!BB45</f>
        <v>0</v>
      </c>
      <c r="BC45" s="1080">
        <f>'Adjustments - restating'!BC45+'Adjustments - Pro Forma'!BC45</f>
        <v>0</v>
      </c>
      <c r="BD45" s="1053"/>
      <c r="CZ45" s="10"/>
    </row>
    <row r="46" spans="1:104">
      <c r="A46" s="4">
        <v>39</v>
      </c>
      <c r="B46" s="8" t="s">
        <v>44</v>
      </c>
      <c r="C46" s="1083">
        <f t="shared" si="8"/>
        <v>-6926884.9266495155</v>
      </c>
      <c r="D46" s="1080">
        <f>'Adjustments - restating'!D46+'Adjustments - Pro Forma'!D46</f>
        <v>0</v>
      </c>
      <c r="E46" s="1080">
        <f>'Adjustments - restating'!E46+'Adjustments - Pro Forma'!E46</f>
        <v>0</v>
      </c>
      <c r="F46" s="1080">
        <f>'Adjustments - restating'!F46+'Adjustments - Pro Forma'!F46</f>
        <v>0</v>
      </c>
      <c r="G46" s="1080">
        <f>'Adjustments - restating'!G46+'Adjustments - Pro Forma'!G46</f>
        <v>0</v>
      </c>
      <c r="H46" s="1080">
        <f>'Adjustments - restating'!H46+'Adjustments - Pro Forma'!H46</f>
        <v>0</v>
      </c>
      <c r="I46" s="1080">
        <f>'Adjustments - restating'!I46+'Adjustments - Pro Forma'!I46</f>
        <v>0</v>
      </c>
      <c r="J46" s="1080">
        <f>'Adjustments - restating'!J46+'Adjustments - Pro Forma'!J46</f>
        <v>0</v>
      </c>
      <c r="K46" s="1080">
        <f>'Adjustments - restating'!K46+'Adjustments - Pro Forma'!K46</f>
        <v>0</v>
      </c>
      <c r="L46" s="1080">
        <f>'Adjustments - restating'!L46+'Adjustments - Pro Forma'!L46</f>
        <v>0</v>
      </c>
      <c r="M46" s="1080">
        <f>'Adjustments - restating'!M46+'Adjustments - Pro Forma'!M46</f>
        <v>0</v>
      </c>
      <c r="N46" s="1080">
        <f>'Adjustments - restating'!N46+'Adjustments - Pro Forma'!N46</f>
        <v>0</v>
      </c>
      <c r="O46" s="1080">
        <f>'Adjustments - restating'!O46+'Adjustments - Pro Forma'!O46</f>
        <v>0</v>
      </c>
      <c r="P46" s="1080">
        <f>'Adjustments - restating'!P46+'Adjustments - Pro Forma'!P46</f>
        <v>0</v>
      </c>
      <c r="Q46" s="1080">
        <f>'Adjustments - restating'!Q46+'Adjustments - Pro Forma'!Q46</f>
        <v>0</v>
      </c>
      <c r="R46" s="1080">
        <f>'Adjustments - restating'!R46+'Adjustments - Pro Forma'!R46</f>
        <v>0</v>
      </c>
      <c r="S46" s="1080">
        <f>'Adjustments - restating'!S46+'Adjustments - Pro Forma'!S46</f>
        <v>0</v>
      </c>
      <c r="T46" s="1080">
        <f>'Adjustments - restating'!T46+'Adjustments - Pro Forma'!T46</f>
        <v>0</v>
      </c>
      <c r="U46" s="1080">
        <f>'Adjustments - restating'!U46+'Adjustments - Pro Forma'!U46</f>
        <v>0</v>
      </c>
      <c r="V46" s="1080">
        <f>'Adjustments - restating'!V46+'Adjustments - Pro Forma'!V46</f>
        <v>0</v>
      </c>
      <c r="W46" s="1080">
        <f>'Adjustments - restating'!W46+'Adjustments - Pro Forma'!W46</f>
        <v>0</v>
      </c>
      <c r="X46" s="1080">
        <f>'Adjustments - restating'!X46+'Adjustments - Pro Forma'!X46</f>
        <v>0</v>
      </c>
      <c r="Y46" s="1080">
        <f>'Adjustments - restating'!Y46+'Adjustments - Pro Forma'!Y46</f>
        <v>0</v>
      </c>
      <c r="Z46" s="1080">
        <f>'Adjustments - restating'!Z46+'Adjustments - Pro Forma'!Z46</f>
        <v>0</v>
      </c>
      <c r="AA46" s="1080">
        <f>'Adjustments - restating'!AA46+'Adjustments - Pro Forma'!AA46</f>
        <v>0</v>
      </c>
      <c r="AB46" s="1080">
        <f>'Adjustments - restating'!AB46+'Adjustments - Pro Forma'!AB46</f>
        <v>0</v>
      </c>
      <c r="AC46" s="1080">
        <f>'Adjustments - restating'!AC46+'Adjustments - Pro Forma'!AC46</f>
        <v>0</v>
      </c>
      <c r="AD46" s="1080">
        <f>'Adjustments - restating'!AD46+'Adjustments - Pro Forma'!AD46</f>
        <v>0</v>
      </c>
      <c r="AE46" s="1080">
        <f>'Adjustments - restating'!AE46+'Adjustments - Pro Forma'!AE46</f>
        <v>0</v>
      </c>
      <c r="AF46" s="1080">
        <f>'Adjustments - restating'!AF46+'Adjustments - Pro Forma'!AF46</f>
        <v>0</v>
      </c>
      <c r="AG46" s="1080">
        <f>'Adjustments - restating'!AG46+'Adjustments - Pro Forma'!AG46</f>
        <v>0</v>
      </c>
      <c r="AH46" s="1080">
        <f>'Adjustments - restating'!AH46+'Adjustments - Pro Forma'!AH46</f>
        <v>0</v>
      </c>
      <c r="AI46" s="1080">
        <f>'Adjustments - restating'!AI46+'Adjustments - Pro Forma'!AI46</f>
        <v>0</v>
      </c>
      <c r="AJ46" s="1080">
        <f>'Adjustments - restating'!AJ46+'Adjustments - Pro Forma'!AJ46</f>
        <v>0</v>
      </c>
      <c r="AK46" s="1080">
        <f>'Adjustments - restating'!AK46+'Adjustments - Pro Forma'!AK46</f>
        <v>0</v>
      </c>
      <c r="AL46" s="1080">
        <f>'Adjustments - restating'!AL46+'Adjustments - Pro Forma'!AL46</f>
        <v>0</v>
      </c>
      <c r="AM46" s="1080">
        <f>'Adjustments - restating'!AM46+'Adjustments - Pro Forma'!AM46</f>
        <v>0</v>
      </c>
      <c r="AN46" s="1080">
        <f>'Adjustments - restating'!AN46+'Adjustments - Pro Forma'!AN46</f>
        <v>0</v>
      </c>
      <c r="AO46" s="1080">
        <f>'Adjustments - restating'!AO46+'Adjustments - Pro Forma'!AO46</f>
        <v>0</v>
      </c>
      <c r="AP46" s="1080">
        <f>'Adjustments - restating'!AP46+'Adjustments - Pro Forma'!AP46</f>
        <v>0</v>
      </c>
      <c r="AQ46" s="1080">
        <f>'Adjustments - restating'!AQ46+'Adjustments - Pro Forma'!AQ46</f>
        <v>0</v>
      </c>
      <c r="AR46" s="1080">
        <f>'Adjustments - restating'!AR46+'Adjustments - Pro Forma'!AR46</f>
        <v>0</v>
      </c>
      <c r="AS46" s="1080">
        <f>'Adjustments - restating'!AS46+'Adjustments - Pro Forma'!AS46</f>
        <v>0</v>
      </c>
      <c r="AT46" s="1080">
        <f>'Adjustments - restating'!AT46+'Adjustments - Pro Forma'!AT46</f>
        <v>-6926884.9266495155</v>
      </c>
      <c r="AU46" s="1080">
        <f>'Adjustments - restating'!AU46+'Adjustments - Pro Forma'!AU46</f>
        <v>0</v>
      </c>
      <c r="AV46" s="1080">
        <f>'Adjustments - restating'!AV46+'Adjustments - Pro Forma'!AV46</f>
        <v>0</v>
      </c>
      <c r="AW46" s="1080">
        <f>'Adjustments - restating'!AW46+'Adjustments - Pro Forma'!AW46</f>
        <v>0</v>
      </c>
      <c r="AX46" s="1080">
        <f>'Adjustments - restating'!AX46+'Adjustments - Pro Forma'!AX46</f>
        <v>0</v>
      </c>
      <c r="AY46" s="1080">
        <f>'Adjustments - restating'!AY46+'Adjustments - Pro Forma'!AY46</f>
        <v>0</v>
      </c>
      <c r="AZ46" s="1080">
        <f>'Adjustments - restating'!AZ46+'Adjustments - Pro Forma'!AZ46</f>
        <v>0</v>
      </c>
      <c r="BA46" s="1080">
        <f>'Adjustments - restating'!BA46+'Adjustments - Pro Forma'!BA46</f>
        <v>0</v>
      </c>
      <c r="BB46" s="1080">
        <f>'Adjustments - restating'!BB46+'Adjustments - Pro Forma'!BB46</f>
        <v>0</v>
      </c>
      <c r="BC46" s="1080">
        <f>'Adjustments - restating'!BC46+'Adjustments - Pro Forma'!BC46</f>
        <v>0</v>
      </c>
      <c r="BD46" s="1053"/>
      <c r="CZ46" s="10"/>
    </row>
    <row r="47" spans="1:104">
      <c r="A47" s="4">
        <v>40</v>
      </c>
      <c r="B47" s="8" t="s">
        <v>9</v>
      </c>
      <c r="C47" s="1083">
        <f t="shared" si="8"/>
        <v>28579779.133268069</v>
      </c>
      <c r="D47" s="1080">
        <f>'Adjustments - restating'!D47+'Adjustments - Pro Forma'!D47</f>
        <v>0</v>
      </c>
      <c r="E47" s="1080">
        <f>'Adjustments - restating'!E47+'Adjustments - Pro Forma'!E47</f>
        <v>0</v>
      </c>
      <c r="F47" s="1080">
        <f>'Adjustments - restating'!F47+'Adjustments - Pro Forma'!F47</f>
        <v>0</v>
      </c>
      <c r="G47" s="1080">
        <f>'Adjustments - restating'!G47+'Adjustments - Pro Forma'!G47</f>
        <v>0</v>
      </c>
      <c r="H47" s="1080">
        <f>'Adjustments - restating'!H47+'Adjustments - Pro Forma'!H47</f>
        <v>0</v>
      </c>
      <c r="I47" s="1080">
        <f>'Adjustments - restating'!I47+'Adjustments - Pro Forma'!I47</f>
        <v>0</v>
      </c>
      <c r="J47" s="1080">
        <f>'Adjustments - restating'!J47+'Adjustments - Pro Forma'!J47</f>
        <v>0</v>
      </c>
      <c r="K47" s="1080">
        <f>'Adjustments - restating'!K47+'Adjustments - Pro Forma'!K47</f>
        <v>0</v>
      </c>
      <c r="L47" s="1080">
        <f>'Adjustments - restating'!L47+'Adjustments - Pro Forma'!L47</f>
        <v>0</v>
      </c>
      <c r="M47" s="1080">
        <f>'Adjustments - restating'!M47+'Adjustments - Pro Forma'!M47</f>
        <v>0</v>
      </c>
      <c r="N47" s="1080">
        <f>'Adjustments - restating'!N47+'Adjustments - Pro Forma'!N47</f>
        <v>0</v>
      </c>
      <c r="O47" s="1080">
        <f>'Adjustments - restating'!O47+'Adjustments - Pro Forma'!O47</f>
        <v>0</v>
      </c>
      <c r="P47" s="1080">
        <f>'Adjustments - restating'!P47+'Adjustments - Pro Forma'!P47</f>
        <v>0</v>
      </c>
      <c r="Q47" s="1080">
        <f>'Adjustments - restating'!Q47+'Adjustments - Pro Forma'!Q47</f>
        <v>0</v>
      </c>
      <c r="R47" s="1080">
        <f>'Adjustments - restating'!R47+'Adjustments - Pro Forma'!R47</f>
        <v>0</v>
      </c>
      <c r="S47" s="1080">
        <f>'Adjustments - restating'!S47+'Adjustments - Pro Forma'!S47</f>
        <v>0</v>
      </c>
      <c r="T47" s="1080">
        <f>'Adjustments - restating'!T47+'Adjustments - Pro Forma'!T47</f>
        <v>0</v>
      </c>
      <c r="U47" s="1080">
        <f>'Adjustments - restating'!U47+'Adjustments - Pro Forma'!U47</f>
        <v>0</v>
      </c>
      <c r="V47" s="1080">
        <f>'Adjustments - restating'!V47+'Adjustments - Pro Forma'!V47</f>
        <v>0</v>
      </c>
      <c r="W47" s="1080">
        <f>'Adjustments - restating'!W47+'Adjustments - Pro Forma'!W47</f>
        <v>0</v>
      </c>
      <c r="X47" s="1080">
        <f>'Adjustments - restating'!X47+'Adjustments - Pro Forma'!X47</f>
        <v>0</v>
      </c>
      <c r="Y47" s="1080">
        <f>'Adjustments - restating'!Y47+'Adjustments - Pro Forma'!Y47</f>
        <v>0</v>
      </c>
      <c r="Z47" s="1080">
        <f>'Adjustments - restating'!Z47+'Adjustments - Pro Forma'!Z47</f>
        <v>0</v>
      </c>
      <c r="AA47" s="1080">
        <f>'Adjustments - restating'!AA47+'Adjustments - Pro Forma'!AA47</f>
        <v>0</v>
      </c>
      <c r="AB47" s="1080">
        <f>'Adjustments - restating'!AB47+'Adjustments - Pro Forma'!AB47</f>
        <v>0</v>
      </c>
      <c r="AC47" s="1080">
        <f>'Adjustments - restating'!AC47+'Adjustments - Pro Forma'!AC47</f>
        <v>0</v>
      </c>
      <c r="AD47" s="1080">
        <f>'Adjustments - restating'!AD47+'Adjustments - Pro Forma'!AD47</f>
        <v>0</v>
      </c>
      <c r="AE47" s="1080">
        <f>'Adjustments - restating'!AE47+'Adjustments - Pro Forma'!AE47</f>
        <v>0</v>
      </c>
      <c r="AF47" s="1080">
        <f>'Adjustments - restating'!AF47+'Adjustments - Pro Forma'!AF47</f>
        <v>0</v>
      </c>
      <c r="AG47" s="1080">
        <f>'Adjustments - restating'!AG47+'Adjustments - Pro Forma'!AG47</f>
        <v>0</v>
      </c>
      <c r="AH47" s="1080">
        <f>'Adjustments - restating'!AH47+'Adjustments - Pro Forma'!AH47</f>
        <v>0</v>
      </c>
      <c r="AI47" s="1080">
        <f>'Adjustments - restating'!AI47+'Adjustments - Pro Forma'!AI47</f>
        <v>0</v>
      </c>
      <c r="AJ47" s="1080">
        <f>'Adjustments - restating'!AJ47+'Adjustments - Pro Forma'!AJ47</f>
        <v>0</v>
      </c>
      <c r="AK47" s="1080">
        <f>'Adjustments - restating'!AK47+'Adjustments - Pro Forma'!AK47</f>
        <v>0</v>
      </c>
      <c r="AL47" s="1080">
        <f>'Adjustments - restating'!AL47+'Adjustments - Pro Forma'!AL47</f>
        <v>0</v>
      </c>
      <c r="AM47" s="1080">
        <f>'Adjustments - restating'!AM47+'Adjustments - Pro Forma'!AM47</f>
        <v>0</v>
      </c>
      <c r="AN47" s="1080">
        <f>'Adjustments - restating'!AN47+'Adjustments - Pro Forma'!AN47</f>
        <v>0</v>
      </c>
      <c r="AO47" s="1080">
        <f>'Adjustments - restating'!AO47+'Adjustments - Pro Forma'!AO47</f>
        <v>0</v>
      </c>
      <c r="AP47" s="1080">
        <f>'Adjustments - restating'!AP47+'Adjustments - Pro Forma'!AP47</f>
        <v>0</v>
      </c>
      <c r="AQ47" s="1080">
        <f>'Adjustments - restating'!AQ47+'Adjustments - Pro Forma'!AQ47</f>
        <v>0</v>
      </c>
      <c r="AR47" s="1080">
        <f>'Adjustments - restating'!AR47+'Adjustments - Pro Forma'!AR47</f>
        <v>0</v>
      </c>
      <c r="AS47" s="1080">
        <f>'Adjustments - restating'!AS47+'Adjustments - Pro Forma'!AS47</f>
        <v>0</v>
      </c>
      <c r="AT47" s="1080">
        <f>'Adjustments - restating'!AT47+'Adjustments - Pro Forma'!AT47</f>
        <v>-2438703.9515725183</v>
      </c>
      <c r="AU47" s="1080">
        <f>'Adjustments - restating'!AU47+'Adjustments - Pro Forma'!AU47</f>
        <v>0</v>
      </c>
      <c r="AV47" s="1080">
        <f>'Adjustments - restating'!AV47+'Adjustments - Pro Forma'!AV47</f>
        <v>0</v>
      </c>
      <c r="AW47" s="1080">
        <f>'Adjustments - restating'!AW47+'Adjustments - Pro Forma'!AW47</f>
        <v>0</v>
      </c>
      <c r="AX47" s="1080">
        <f>'Adjustments - restating'!AX47+'Adjustments - Pro Forma'!AX47</f>
        <v>0</v>
      </c>
      <c r="AY47" s="1080">
        <f>'Adjustments - restating'!AY47+'Adjustments - Pro Forma'!AY47</f>
        <v>0</v>
      </c>
      <c r="AZ47" s="1080">
        <f>'Adjustments - restating'!AZ47+'Adjustments - Pro Forma'!AZ47</f>
        <v>0</v>
      </c>
      <c r="BA47" s="1080">
        <f>'Adjustments - restating'!BA47+'Adjustments - Pro Forma'!BA47</f>
        <v>0</v>
      </c>
      <c r="BB47" s="1080">
        <f>'Adjustments - restating'!BB47+'Adjustments - Pro Forma'!BB47</f>
        <v>31018483.084840588</v>
      </c>
      <c r="BC47" s="1080">
        <f>'Adjustments - restating'!BC47+'Adjustments - Pro Forma'!BC47</f>
        <v>0</v>
      </c>
      <c r="BD47" s="1053"/>
      <c r="CZ47" s="10"/>
    </row>
    <row r="48" spans="1:104">
      <c r="A48" s="4">
        <v>41</v>
      </c>
      <c r="B48" s="8" t="s">
        <v>45</v>
      </c>
      <c r="C48" s="1083">
        <f t="shared" si="8"/>
        <v>0</v>
      </c>
      <c r="D48" s="1080">
        <f>'Adjustments - restating'!D48+'Adjustments - Pro Forma'!D48</f>
        <v>0</v>
      </c>
      <c r="E48" s="1080">
        <f>'Adjustments - restating'!E48+'Adjustments - Pro Forma'!E48</f>
        <v>0</v>
      </c>
      <c r="F48" s="1080">
        <f>'Adjustments - restating'!F48+'Adjustments - Pro Forma'!F48</f>
        <v>0</v>
      </c>
      <c r="G48" s="1080">
        <f>'Adjustments - restating'!G48+'Adjustments - Pro Forma'!G48</f>
        <v>0</v>
      </c>
      <c r="H48" s="1080">
        <f>'Adjustments - restating'!H48+'Adjustments - Pro Forma'!H48</f>
        <v>0</v>
      </c>
      <c r="I48" s="1080">
        <f>'Adjustments - restating'!I48+'Adjustments - Pro Forma'!I48</f>
        <v>0</v>
      </c>
      <c r="J48" s="1080">
        <f>'Adjustments - restating'!J48+'Adjustments - Pro Forma'!J48</f>
        <v>0</v>
      </c>
      <c r="K48" s="1080">
        <f>'Adjustments - restating'!K48+'Adjustments - Pro Forma'!K48</f>
        <v>0</v>
      </c>
      <c r="L48" s="1080">
        <f>'Adjustments - restating'!L48+'Adjustments - Pro Forma'!L48</f>
        <v>0</v>
      </c>
      <c r="M48" s="1080">
        <f>'Adjustments - restating'!M48+'Adjustments - Pro Forma'!M48</f>
        <v>0</v>
      </c>
      <c r="N48" s="1080">
        <f>'Adjustments - restating'!N48+'Adjustments - Pro Forma'!N48</f>
        <v>0</v>
      </c>
      <c r="O48" s="1080">
        <f>'Adjustments - restating'!O48+'Adjustments - Pro Forma'!O48</f>
        <v>0</v>
      </c>
      <c r="P48" s="1080">
        <f>'Adjustments - restating'!P48+'Adjustments - Pro Forma'!P48</f>
        <v>0</v>
      </c>
      <c r="Q48" s="1080">
        <f>'Adjustments - restating'!Q48+'Adjustments - Pro Forma'!Q48</f>
        <v>0</v>
      </c>
      <c r="R48" s="1080">
        <f>'Adjustments - restating'!R48+'Adjustments - Pro Forma'!R48</f>
        <v>0</v>
      </c>
      <c r="S48" s="1080">
        <f>'Adjustments - restating'!S48+'Adjustments - Pro Forma'!S48</f>
        <v>0</v>
      </c>
      <c r="T48" s="1080">
        <f>'Adjustments - restating'!T48+'Adjustments - Pro Forma'!T48</f>
        <v>0</v>
      </c>
      <c r="U48" s="1080">
        <f>'Adjustments - restating'!U48+'Adjustments - Pro Forma'!U48</f>
        <v>0</v>
      </c>
      <c r="V48" s="1080">
        <f>'Adjustments - restating'!V48+'Adjustments - Pro Forma'!V48</f>
        <v>0</v>
      </c>
      <c r="W48" s="1080">
        <f>'Adjustments - restating'!W48+'Adjustments - Pro Forma'!W48</f>
        <v>0</v>
      </c>
      <c r="X48" s="1080">
        <f>'Adjustments - restating'!X48+'Adjustments - Pro Forma'!X48</f>
        <v>0</v>
      </c>
      <c r="Y48" s="1080">
        <f>'Adjustments - restating'!Y48+'Adjustments - Pro Forma'!Y48</f>
        <v>0</v>
      </c>
      <c r="Z48" s="1080">
        <f>'Adjustments - restating'!Z48+'Adjustments - Pro Forma'!Z48</f>
        <v>0</v>
      </c>
      <c r="AA48" s="1080">
        <f>'Adjustments - restating'!AA48+'Adjustments - Pro Forma'!AA48</f>
        <v>0</v>
      </c>
      <c r="AB48" s="1080">
        <f>'Adjustments - restating'!AB48+'Adjustments - Pro Forma'!AB48</f>
        <v>0</v>
      </c>
      <c r="AC48" s="1080">
        <f>'Adjustments - restating'!AC48+'Adjustments - Pro Forma'!AC48</f>
        <v>0</v>
      </c>
      <c r="AD48" s="1080">
        <f>'Adjustments - restating'!AD48+'Adjustments - Pro Forma'!AD48</f>
        <v>0</v>
      </c>
      <c r="AE48" s="1080">
        <f>'Adjustments - restating'!AE48+'Adjustments - Pro Forma'!AE48</f>
        <v>0</v>
      </c>
      <c r="AF48" s="1080">
        <f>'Adjustments - restating'!AF48+'Adjustments - Pro Forma'!AF48</f>
        <v>0</v>
      </c>
      <c r="AG48" s="1080">
        <f>'Adjustments - restating'!AG48+'Adjustments - Pro Forma'!AG48</f>
        <v>0</v>
      </c>
      <c r="AH48" s="1080">
        <f>'Adjustments - restating'!AH48+'Adjustments - Pro Forma'!AH48</f>
        <v>0</v>
      </c>
      <c r="AI48" s="1080">
        <f>'Adjustments - restating'!AI48+'Adjustments - Pro Forma'!AI48</f>
        <v>0</v>
      </c>
      <c r="AJ48" s="1080">
        <f>'Adjustments - restating'!AJ48+'Adjustments - Pro Forma'!AJ48</f>
        <v>0</v>
      </c>
      <c r="AK48" s="1080">
        <f>'Adjustments - restating'!AK48+'Adjustments - Pro Forma'!AK48</f>
        <v>0</v>
      </c>
      <c r="AL48" s="1080">
        <f>'Adjustments - restating'!AL48+'Adjustments - Pro Forma'!AL48</f>
        <v>0</v>
      </c>
      <c r="AM48" s="1080">
        <f>'Adjustments - restating'!AM48+'Adjustments - Pro Forma'!AM48</f>
        <v>0</v>
      </c>
      <c r="AN48" s="1080">
        <f>'Adjustments - restating'!AN48+'Adjustments - Pro Forma'!AN48</f>
        <v>0</v>
      </c>
      <c r="AO48" s="1080">
        <f>'Adjustments - restating'!AO48+'Adjustments - Pro Forma'!AO48</f>
        <v>0</v>
      </c>
      <c r="AP48" s="1080">
        <f>'Adjustments - restating'!AP48+'Adjustments - Pro Forma'!AP48</f>
        <v>0</v>
      </c>
      <c r="AQ48" s="1080">
        <f>'Adjustments - restating'!AQ48+'Adjustments - Pro Forma'!AQ48</f>
        <v>0</v>
      </c>
      <c r="AR48" s="1080">
        <f>'Adjustments - restating'!AR48+'Adjustments - Pro Forma'!AR48</f>
        <v>0</v>
      </c>
      <c r="AS48" s="1080">
        <f>'Adjustments - restating'!AS48+'Adjustments - Pro Forma'!AS48</f>
        <v>0</v>
      </c>
      <c r="AT48" s="1080">
        <f>'Adjustments - restating'!AT48+'Adjustments - Pro Forma'!AT48</f>
        <v>0</v>
      </c>
      <c r="AU48" s="1080">
        <f>'Adjustments - restating'!AU48+'Adjustments - Pro Forma'!AU48</f>
        <v>0</v>
      </c>
      <c r="AV48" s="1080">
        <f>'Adjustments - restating'!AV48+'Adjustments - Pro Forma'!AV48</f>
        <v>0</v>
      </c>
      <c r="AW48" s="1080">
        <f>'Adjustments - restating'!AW48+'Adjustments - Pro Forma'!AW48</f>
        <v>0</v>
      </c>
      <c r="AX48" s="1080">
        <f>'Adjustments - restating'!AX48+'Adjustments - Pro Forma'!AX48</f>
        <v>0</v>
      </c>
      <c r="AY48" s="1080">
        <f>'Adjustments - restating'!AY48+'Adjustments - Pro Forma'!AY48</f>
        <v>0</v>
      </c>
      <c r="AZ48" s="1080">
        <f>'Adjustments - restating'!AZ48+'Adjustments - Pro Forma'!AZ48</f>
        <v>0</v>
      </c>
      <c r="BA48" s="1080">
        <f>'Adjustments - restating'!BA48+'Adjustments - Pro Forma'!BA48</f>
        <v>0</v>
      </c>
      <c r="BB48" s="1080">
        <f>'Adjustments - restating'!BB48+'Adjustments - Pro Forma'!BB48</f>
        <v>0</v>
      </c>
      <c r="BC48" s="1080">
        <f>'Adjustments - restating'!BC48+'Adjustments - Pro Forma'!BC48</f>
        <v>0</v>
      </c>
      <c r="BD48" s="1053"/>
      <c r="CZ48" s="10"/>
    </row>
    <row r="49" spans="1:104">
      <c r="A49" s="4">
        <v>42</v>
      </c>
      <c r="B49" s="8" t="s">
        <v>46</v>
      </c>
      <c r="C49" s="1083">
        <f t="shared" si="8"/>
        <v>0</v>
      </c>
      <c r="D49" s="1080">
        <f>'Adjustments - restating'!D49+'Adjustments - Pro Forma'!D49</f>
        <v>0</v>
      </c>
      <c r="E49" s="1080">
        <f>'Adjustments - restating'!E49+'Adjustments - Pro Forma'!E49</f>
        <v>0</v>
      </c>
      <c r="F49" s="1080">
        <f>'Adjustments - restating'!F49+'Adjustments - Pro Forma'!F49</f>
        <v>0</v>
      </c>
      <c r="G49" s="1080">
        <f>'Adjustments - restating'!G49+'Adjustments - Pro Forma'!G49</f>
        <v>0</v>
      </c>
      <c r="H49" s="1080">
        <f>'Adjustments - restating'!H49+'Adjustments - Pro Forma'!H49</f>
        <v>0</v>
      </c>
      <c r="I49" s="1080">
        <f>'Adjustments - restating'!I49+'Adjustments - Pro Forma'!I49</f>
        <v>0</v>
      </c>
      <c r="J49" s="1080">
        <f>'Adjustments - restating'!J49+'Adjustments - Pro Forma'!J49</f>
        <v>0</v>
      </c>
      <c r="K49" s="1080">
        <f>'Adjustments - restating'!K49+'Adjustments - Pro Forma'!K49</f>
        <v>0</v>
      </c>
      <c r="L49" s="1080">
        <f>'Adjustments - restating'!L49+'Adjustments - Pro Forma'!L49</f>
        <v>0</v>
      </c>
      <c r="M49" s="1080">
        <f>'Adjustments - restating'!M49+'Adjustments - Pro Forma'!M49</f>
        <v>0</v>
      </c>
      <c r="N49" s="1080">
        <f>'Adjustments - restating'!N49+'Adjustments - Pro Forma'!N49</f>
        <v>0</v>
      </c>
      <c r="O49" s="1080">
        <f>'Adjustments - restating'!O49+'Adjustments - Pro Forma'!O49</f>
        <v>0</v>
      </c>
      <c r="P49" s="1080">
        <f>'Adjustments - restating'!P49+'Adjustments - Pro Forma'!P49</f>
        <v>0</v>
      </c>
      <c r="Q49" s="1080">
        <f>'Adjustments - restating'!Q49+'Adjustments - Pro Forma'!Q49</f>
        <v>0</v>
      </c>
      <c r="R49" s="1080">
        <f>'Adjustments - restating'!R49+'Adjustments - Pro Forma'!R49</f>
        <v>0</v>
      </c>
      <c r="S49" s="1080">
        <f>'Adjustments - restating'!S49+'Adjustments - Pro Forma'!S49</f>
        <v>0</v>
      </c>
      <c r="T49" s="1080">
        <f>'Adjustments - restating'!T49+'Adjustments - Pro Forma'!T49</f>
        <v>0</v>
      </c>
      <c r="U49" s="1080">
        <f>'Adjustments - restating'!U49+'Adjustments - Pro Forma'!U49</f>
        <v>0</v>
      </c>
      <c r="V49" s="1080">
        <f>'Adjustments - restating'!V49+'Adjustments - Pro Forma'!V49</f>
        <v>0</v>
      </c>
      <c r="W49" s="1080">
        <f>'Adjustments - restating'!W49+'Adjustments - Pro Forma'!W49</f>
        <v>0</v>
      </c>
      <c r="X49" s="1080">
        <f>'Adjustments - restating'!X49+'Adjustments - Pro Forma'!X49</f>
        <v>0</v>
      </c>
      <c r="Y49" s="1080">
        <f>'Adjustments - restating'!Y49+'Adjustments - Pro Forma'!Y49</f>
        <v>0</v>
      </c>
      <c r="Z49" s="1080">
        <f>'Adjustments - restating'!Z49+'Adjustments - Pro Forma'!Z49</f>
        <v>0</v>
      </c>
      <c r="AA49" s="1080">
        <f>'Adjustments - restating'!AA49+'Adjustments - Pro Forma'!AA49</f>
        <v>0</v>
      </c>
      <c r="AB49" s="1080">
        <f>'Adjustments - restating'!AB49+'Adjustments - Pro Forma'!AB49</f>
        <v>0</v>
      </c>
      <c r="AC49" s="1080">
        <f>'Adjustments - restating'!AC49+'Adjustments - Pro Forma'!AC49</f>
        <v>0</v>
      </c>
      <c r="AD49" s="1080">
        <f>'Adjustments - restating'!AD49+'Adjustments - Pro Forma'!AD49</f>
        <v>0</v>
      </c>
      <c r="AE49" s="1080">
        <f>'Adjustments - restating'!AE49+'Adjustments - Pro Forma'!AE49</f>
        <v>0</v>
      </c>
      <c r="AF49" s="1080">
        <f>'Adjustments - restating'!AF49+'Adjustments - Pro Forma'!AF49</f>
        <v>0</v>
      </c>
      <c r="AG49" s="1080">
        <f>'Adjustments - restating'!AG49+'Adjustments - Pro Forma'!AG49</f>
        <v>0</v>
      </c>
      <c r="AH49" s="1080">
        <f>'Adjustments - restating'!AH49+'Adjustments - Pro Forma'!AH49</f>
        <v>0</v>
      </c>
      <c r="AI49" s="1080">
        <f>'Adjustments - restating'!AI49+'Adjustments - Pro Forma'!AI49</f>
        <v>0</v>
      </c>
      <c r="AJ49" s="1080">
        <f>'Adjustments - restating'!AJ49+'Adjustments - Pro Forma'!AJ49</f>
        <v>0</v>
      </c>
      <c r="AK49" s="1080">
        <f>'Adjustments - restating'!AK49+'Adjustments - Pro Forma'!AK49</f>
        <v>0</v>
      </c>
      <c r="AL49" s="1080">
        <f>'Adjustments - restating'!AL49+'Adjustments - Pro Forma'!AL49</f>
        <v>0</v>
      </c>
      <c r="AM49" s="1080">
        <f>'Adjustments - restating'!AM49+'Adjustments - Pro Forma'!AM49</f>
        <v>0</v>
      </c>
      <c r="AN49" s="1080">
        <f>'Adjustments - restating'!AN49+'Adjustments - Pro Forma'!AN49</f>
        <v>0</v>
      </c>
      <c r="AO49" s="1080">
        <f>'Adjustments - restating'!AO49+'Adjustments - Pro Forma'!AO49</f>
        <v>0</v>
      </c>
      <c r="AP49" s="1080">
        <f>'Adjustments - restating'!AP49+'Adjustments - Pro Forma'!AP49</f>
        <v>0</v>
      </c>
      <c r="AQ49" s="1080">
        <f>'Adjustments - restating'!AQ49+'Adjustments - Pro Forma'!AQ49</f>
        <v>0</v>
      </c>
      <c r="AR49" s="1080">
        <f>'Adjustments - restating'!AR49+'Adjustments - Pro Forma'!AR49</f>
        <v>0</v>
      </c>
      <c r="AS49" s="1080">
        <f>'Adjustments - restating'!AS49+'Adjustments - Pro Forma'!AS49</f>
        <v>0</v>
      </c>
      <c r="AT49" s="1080">
        <f>'Adjustments - restating'!AT49+'Adjustments - Pro Forma'!AT49</f>
        <v>0</v>
      </c>
      <c r="AU49" s="1080">
        <f>'Adjustments - restating'!AU49+'Adjustments - Pro Forma'!AU49</f>
        <v>0</v>
      </c>
      <c r="AV49" s="1080">
        <f>'Adjustments - restating'!AV49+'Adjustments - Pro Forma'!AV49</f>
        <v>0</v>
      </c>
      <c r="AW49" s="1080">
        <f>'Adjustments - restating'!AW49+'Adjustments - Pro Forma'!AW49</f>
        <v>0</v>
      </c>
      <c r="AX49" s="1080">
        <f>'Adjustments - restating'!AX49+'Adjustments - Pro Forma'!AX49</f>
        <v>0</v>
      </c>
      <c r="AY49" s="1080">
        <f>'Adjustments - restating'!AY49+'Adjustments - Pro Forma'!AY49</f>
        <v>0</v>
      </c>
      <c r="AZ49" s="1080">
        <f>'Adjustments - restating'!AZ49+'Adjustments - Pro Forma'!AZ49</f>
        <v>0</v>
      </c>
      <c r="BA49" s="1080">
        <f>'Adjustments - restating'!BA49+'Adjustments - Pro Forma'!BA49</f>
        <v>0</v>
      </c>
      <c r="BB49" s="1080">
        <f>'Adjustments - restating'!BB49+'Adjustments - Pro Forma'!BB49</f>
        <v>0</v>
      </c>
      <c r="BC49" s="1080">
        <f>'Adjustments - restating'!BC49+'Adjustments - Pro Forma'!BC49</f>
        <v>0</v>
      </c>
      <c r="BD49" s="1053"/>
      <c r="CZ49" s="10"/>
    </row>
    <row r="50" spans="1:104">
      <c r="A50" s="4">
        <v>43</v>
      </c>
      <c r="B50" s="1285" t="s">
        <v>47</v>
      </c>
      <c r="C50" s="1088">
        <f>SUM(C39:C49)</f>
        <v>111267103.97383817</v>
      </c>
      <c r="D50" s="1082">
        <f>SUM(D39:D49)</f>
        <v>0</v>
      </c>
      <c r="E50" s="1082">
        <f t="shared" ref="E50:BC50" si="9">SUM(E39:E49)</f>
        <v>0</v>
      </c>
      <c r="F50" s="1082">
        <f t="shared" si="9"/>
        <v>0</v>
      </c>
      <c r="G50" s="1082">
        <f t="shared" si="9"/>
        <v>0</v>
      </c>
      <c r="H50" s="1082">
        <f t="shared" si="9"/>
        <v>0</v>
      </c>
      <c r="I50" s="1082">
        <f t="shared" si="9"/>
        <v>0</v>
      </c>
      <c r="J50" s="1082">
        <f t="shared" si="9"/>
        <v>0</v>
      </c>
      <c r="K50" s="1082">
        <f t="shared" si="9"/>
        <v>0</v>
      </c>
      <c r="L50" s="1082">
        <f t="shared" si="9"/>
        <v>0</v>
      </c>
      <c r="M50" s="1082">
        <f t="shared" si="9"/>
        <v>0</v>
      </c>
      <c r="N50" s="1082">
        <f t="shared" si="9"/>
        <v>0</v>
      </c>
      <c r="O50" s="1082">
        <f t="shared" si="9"/>
        <v>0</v>
      </c>
      <c r="P50" s="1082">
        <f t="shared" si="9"/>
        <v>0</v>
      </c>
      <c r="Q50" s="1082">
        <f t="shared" si="9"/>
        <v>0</v>
      </c>
      <c r="R50" s="1082">
        <f t="shared" si="9"/>
        <v>0</v>
      </c>
      <c r="S50" s="1082">
        <f t="shared" si="9"/>
        <v>0</v>
      </c>
      <c r="T50" s="1082">
        <f t="shared" si="9"/>
        <v>0</v>
      </c>
      <c r="U50" s="1082">
        <f t="shared" si="9"/>
        <v>0</v>
      </c>
      <c r="V50" s="1082">
        <f t="shared" si="9"/>
        <v>0</v>
      </c>
      <c r="W50" s="1082">
        <f t="shared" si="9"/>
        <v>0</v>
      </c>
      <c r="X50" s="1082">
        <f t="shared" si="9"/>
        <v>0</v>
      </c>
      <c r="Y50" s="1082">
        <f t="shared" si="9"/>
        <v>0</v>
      </c>
      <c r="Z50" s="1082">
        <f t="shared" si="9"/>
        <v>0</v>
      </c>
      <c r="AA50" s="1082">
        <f t="shared" si="9"/>
        <v>0</v>
      </c>
      <c r="AB50" s="1082">
        <f t="shared" si="9"/>
        <v>0</v>
      </c>
      <c r="AC50" s="1082">
        <f t="shared" si="9"/>
        <v>-28327255.80891481</v>
      </c>
      <c r="AD50" s="1082">
        <f t="shared" si="9"/>
        <v>0</v>
      </c>
      <c r="AE50" s="1082">
        <f t="shared" si="9"/>
        <v>0</v>
      </c>
      <c r="AF50" s="1082">
        <f t="shared" si="9"/>
        <v>0</v>
      </c>
      <c r="AG50" s="1082">
        <f t="shared" si="9"/>
        <v>0</v>
      </c>
      <c r="AH50" s="1082">
        <f t="shared" si="9"/>
        <v>0</v>
      </c>
      <c r="AI50" s="1082">
        <f t="shared" si="9"/>
        <v>0</v>
      </c>
      <c r="AJ50" s="1082">
        <f t="shared" si="9"/>
        <v>0</v>
      </c>
      <c r="AK50" s="1082">
        <f t="shared" si="9"/>
        <v>0</v>
      </c>
      <c r="AL50" s="1082">
        <f t="shared" si="9"/>
        <v>0</v>
      </c>
      <c r="AM50" s="1082">
        <f t="shared" si="9"/>
        <v>0</v>
      </c>
      <c r="AN50" s="1082">
        <f t="shared" si="9"/>
        <v>0</v>
      </c>
      <c r="AO50" s="1082">
        <f t="shared" si="9"/>
        <v>0</v>
      </c>
      <c r="AP50" s="1082">
        <f t="shared" si="9"/>
        <v>69599528.936455712</v>
      </c>
      <c r="AQ50" s="1082">
        <f t="shared" si="9"/>
        <v>130636.84776425855</v>
      </c>
      <c r="AR50" s="1082">
        <f t="shared" si="9"/>
        <v>0</v>
      </c>
      <c r="AS50" s="1082">
        <f t="shared" si="9"/>
        <v>40424582.27398219</v>
      </c>
      <c r="AT50" s="1082">
        <f t="shared" si="9"/>
        <v>-23721363.983606651</v>
      </c>
      <c r="AU50" s="1082">
        <f t="shared" si="9"/>
        <v>-202651.71009212057</v>
      </c>
      <c r="AV50" s="1082">
        <f t="shared" si="9"/>
        <v>-360048.63899999904</v>
      </c>
      <c r="AW50" s="1082">
        <f t="shared" si="9"/>
        <v>0</v>
      </c>
      <c r="AX50" s="1082">
        <f t="shared" si="9"/>
        <v>0</v>
      </c>
      <c r="AY50" s="1082">
        <f t="shared" si="9"/>
        <v>0</v>
      </c>
      <c r="AZ50" s="1082">
        <f t="shared" si="9"/>
        <v>0</v>
      </c>
      <c r="BA50" s="1082">
        <f t="shared" si="9"/>
        <v>22392710.951431125</v>
      </c>
      <c r="BB50" s="1082">
        <f t="shared" si="9"/>
        <v>31018483.084840588</v>
      </c>
      <c r="BC50" s="1082">
        <f t="shared" si="9"/>
        <v>312482.0209778815</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10">SUM(D53:BC53)</f>
        <v>-30093254.010547683</v>
      </c>
      <c r="D53" s="1080">
        <f>'Adjustments - restating'!D53+'Adjustments - Pro Forma'!D53</f>
        <v>0</v>
      </c>
      <c r="E53" s="1080">
        <f>'Adjustments - restating'!E53+'Adjustments - Pro Forma'!E53</f>
        <v>0</v>
      </c>
      <c r="F53" s="1080">
        <f>'Adjustments - restating'!F53+'Adjustments - Pro Forma'!F53</f>
        <v>0</v>
      </c>
      <c r="G53" s="1080">
        <f>'Adjustments - restating'!G53+'Adjustments - Pro Forma'!G53</f>
        <v>0</v>
      </c>
      <c r="H53" s="1080">
        <f>'Adjustments - restating'!H53+'Adjustments - Pro Forma'!H53</f>
        <v>0</v>
      </c>
      <c r="I53" s="1080">
        <f>'Adjustments - restating'!I53+'Adjustments - Pro Forma'!I53</f>
        <v>0</v>
      </c>
      <c r="J53" s="1080">
        <f>'Adjustments - restating'!J53+'Adjustments - Pro Forma'!J53</f>
        <v>0</v>
      </c>
      <c r="K53" s="1080">
        <f>'Adjustments - restating'!K53+'Adjustments - Pro Forma'!K53</f>
        <v>0</v>
      </c>
      <c r="L53" s="1080">
        <f>'Adjustments - restating'!L53+'Adjustments - Pro Forma'!L53</f>
        <v>0</v>
      </c>
      <c r="M53" s="1080">
        <f>'Adjustments - restating'!M53+'Adjustments - Pro Forma'!M53</f>
        <v>0</v>
      </c>
      <c r="N53" s="1080">
        <f>'Adjustments - restating'!N53+'Adjustments - Pro Forma'!N53</f>
        <v>0</v>
      </c>
      <c r="O53" s="1080">
        <f>'Adjustments - restating'!O53+'Adjustments - Pro Forma'!O53</f>
        <v>0</v>
      </c>
      <c r="P53" s="1080">
        <f>'Adjustments - restating'!P53+'Adjustments - Pro Forma'!P53</f>
        <v>0</v>
      </c>
      <c r="Q53" s="1080">
        <f>'Adjustments - restating'!Q53+'Adjustments - Pro Forma'!Q53</f>
        <v>0</v>
      </c>
      <c r="R53" s="1080">
        <f>'Adjustments - restating'!R53+'Adjustments - Pro Forma'!R53</f>
        <v>0</v>
      </c>
      <c r="S53" s="1080">
        <f>'Adjustments - restating'!S53+'Adjustments - Pro Forma'!S53</f>
        <v>0</v>
      </c>
      <c r="T53" s="1080">
        <f>'Adjustments - restating'!T53+'Adjustments - Pro Forma'!T53</f>
        <v>0</v>
      </c>
      <c r="U53" s="1080">
        <f>'Adjustments - restating'!U53+'Adjustments - Pro Forma'!U53</f>
        <v>0</v>
      </c>
      <c r="V53" s="1080">
        <f>'Adjustments - restating'!V53+'Adjustments - Pro Forma'!V53</f>
        <v>0</v>
      </c>
      <c r="W53" s="1080">
        <f>'Adjustments - restating'!W53+'Adjustments - Pro Forma'!W53</f>
        <v>0</v>
      </c>
      <c r="X53" s="1080">
        <f>'Adjustments - restating'!X53+'Adjustments - Pro Forma'!X53</f>
        <v>0</v>
      </c>
      <c r="Y53" s="1080">
        <f>'Adjustments - restating'!Y53+'Adjustments - Pro Forma'!Y53</f>
        <v>0</v>
      </c>
      <c r="Z53" s="1080">
        <f>'Adjustments - restating'!Z53+'Adjustments - Pro Forma'!Z53</f>
        <v>0</v>
      </c>
      <c r="AA53" s="1080">
        <f>'Adjustments - restating'!AA53+'Adjustments - Pro Forma'!AA53</f>
        <v>0</v>
      </c>
      <c r="AB53" s="1080">
        <f>'Adjustments - restating'!AB53+'Adjustments - Pro Forma'!AB53</f>
        <v>0</v>
      </c>
      <c r="AC53" s="1080">
        <f>'Adjustments - restating'!AC53+'Adjustments - Pro Forma'!AC53</f>
        <v>18631294.304746002</v>
      </c>
      <c r="AD53" s="1080">
        <f>'Adjustments - restating'!AD53+'Adjustments - Pro Forma'!AD53</f>
        <v>-196210.48572820838</v>
      </c>
      <c r="AE53" s="1080">
        <f>'Adjustments - restating'!AE53+'Adjustments - Pro Forma'!AE53</f>
        <v>-6488165.3237502482</v>
      </c>
      <c r="AF53" s="1080">
        <f>'Adjustments - restating'!AF53+'Adjustments - Pro Forma'!AF53</f>
        <v>-2013215.9657142847</v>
      </c>
      <c r="AG53" s="1080">
        <f>'Adjustments - restating'!AG53+'Adjustments - Pro Forma'!AG53</f>
        <v>0</v>
      </c>
      <c r="AH53" s="1080">
        <f>'Adjustments - restating'!AH53+'Adjustments - Pro Forma'!AH53</f>
        <v>0</v>
      </c>
      <c r="AI53" s="1080">
        <f>'Adjustments - restating'!AI53+'Adjustments - Pro Forma'!AI53</f>
        <v>0</v>
      </c>
      <c r="AJ53" s="1080">
        <f>'Adjustments - restating'!AJ53+'Adjustments - Pro Forma'!AJ53</f>
        <v>0</v>
      </c>
      <c r="AK53" s="1080">
        <f>'Adjustments - restating'!AK53+'Adjustments - Pro Forma'!AK53</f>
        <v>0</v>
      </c>
      <c r="AL53" s="1080">
        <f>'Adjustments - restating'!AL53+'Adjustments - Pro Forma'!AL53</f>
        <v>0</v>
      </c>
      <c r="AM53" s="1080">
        <f>'Adjustments - restating'!AM53+'Adjustments - Pro Forma'!AM53</f>
        <v>0</v>
      </c>
      <c r="AN53" s="1080">
        <f>'Adjustments - restating'!AN53+'Adjustments - Pro Forma'!AN53</f>
        <v>0</v>
      </c>
      <c r="AO53" s="1080">
        <f>'Adjustments - restating'!AO53+'Adjustments - Pro Forma'!AO53</f>
        <v>0</v>
      </c>
      <c r="AP53" s="1080">
        <f>'Adjustments - restating'!AP53+'Adjustments - Pro Forma'!AP53</f>
        <v>-39255598.589629233</v>
      </c>
      <c r="AQ53" s="1080">
        <f>'Adjustments - restating'!AQ53+'Adjustments - Pro Forma'!AQ53</f>
        <v>0</v>
      </c>
      <c r="AR53" s="1080">
        <f>'Adjustments - restating'!AR53+'Adjustments - Pro Forma'!AR53</f>
        <v>0</v>
      </c>
      <c r="AS53" s="1080">
        <f>'Adjustments - restating'!AS53+'Adjustments - Pro Forma'!AS53</f>
        <v>-765441.09083951905</v>
      </c>
      <c r="AT53" s="1080">
        <f>'Adjustments - restating'!AT53+'Adjustments - Pro Forma'!AT53</f>
        <v>0</v>
      </c>
      <c r="AU53" s="1080">
        <f>'Adjustments - restating'!AU53+'Adjustments - Pro Forma'!AU53</f>
        <v>0</v>
      </c>
      <c r="AV53" s="1080">
        <f>'Adjustments - restating'!AV53+'Adjustments - Pro Forma'!AV53</f>
        <v>0</v>
      </c>
      <c r="AW53" s="1080">
        <f>'Adjustments - restating'!AW53+'Adjustments - Pro Forma'!AW53</f>
        <v>0</v>
      </c>
      <c r="AX53" s="1080">
        <f>'Adjustments - restating'!AX53+'Adjustments - Pro Forma'!AX53</f>
        <v>0</v>
      </c>
      <c r="AY53" s="1080">
        <f>'Adjustments - restating'!AY53+'Adjustments - Pro Forma'!AY53</f>
        <v>0</v>
      </c>
      <c r="AZ53" s="1080">
        <f>'Adjustments - restating'!AZ53+'Adjustments - Pro Forma'!AZ53</f>
        <v>0</v>
      </c>
      <c r="BA53" s="1080">
        <f>'Adjustments - restating'!BA53+'Adjustments - Pro Forma'!BA53</f>
        <v>0</v>
      </c>
      <c r="BB53" s="1080">
        <f>'Adjustments - restating'!BB53+'Adjustments - Pro Forma'!BB53</f>
        <v>0</v>
      </c>
      <c r="BC53" s="1080">
        <f>'Adjustments - restating'!BC53+'Adjustments - Pro Forma'!BC53</f>
        <v>-5916.859632189482</v>
      </c>
      <c r="BD53" s="1053"/>
      <c r="CZ53" s="10"/>
    </row>
    <row r="54" spans="1:104">
      <c r="A54" s="4">
        <v>47</v>
      </c>
      <c r="B54" s="8" t="s">
        <v>50</v>
      </c>
      <c r="C54" s="1083">
        <f t="shared" si="10"/>
        <v>-38827.45374999987</v>
      </c>
      <c r="D54" s="1080">
        <f>'Adjustments - restating'!D54+'Adjustments - Pro Forma'!D54</f>
        <v>0</v>
      </c>
      <c r="E54" s="1080">
        <f>'Adjustments - restating'!E54+'Adjustments - Pro Forma'!E54</f>
        <v>0</v>
      </c>
      <c r="F54" s="1080">
        <f>'Adjustments - restating'!F54+'Adjustments - Pro Forma'!F54</f>
        <v>0</v>
      </c>
      <c r="G54" s="1080">
        <f>'Adjustments - restating'!G54+'Adjustments - Pro Forma'!G54</f>
        <v>0</v>
      </c>
      <c r="H54" s="1080">
        <f>'Adjustments - restating'!H54+'Adjustments - Pro Forma'!H54</f>
        <v>0</v>
      </c>
      <c r="I54" s="1080">
        <f>'Adjustments - restating'!I54+'Adjustments - Pro Forma'!I54</f>
        <v>0</v>
      </c>
      <c r="J54" s="1080">
        <f>'Adjustments - restating'!J54+'Adjustments - Pro Forma'!J54</f>
        <v>0</v>
      </c>
      <c r="K54" s="1080">
        <f>'Adjustments - restating'!K54+'Adjustments - Pro Forma'!K54</f>
        <v>0</v>
      </c>
      <c r="L54" s="1080">
        <f>'Adjustments - restating'!L54+'Adjustments - Pro Forma'!L54</f>
        <v>0</v>
      </c>
      <c r="M54" s="1080">
        <f>'Adjustments - restating'!M54+'Adjustments - Pro Forma'!M54</f>
        <v>0</v>
      </c>
      <c r="N54" s="1080">
        <f>'Adjustments - restating'!N54+'Adjustments - Pro Forma'!N54</f>
        <v>0</v>
      </c>
      <c r="O54" s="1080">
        <f>'Adjustments - restating'!O54+'Adjustments - Pro Forma'!O54</f>
        <v>0</v>
      </c>
      <c r="P54" s="1080">
        <f>'Adjustments - restating'!P54+'Adjustments - Pro Forma'!P54</f>
        <v>0</v>
      </c>
      <c r="Q54" s="1080">
        <f>'Adjustments - restating'!Q54+'Adjustments - Pro Forma'!Q54</f>
        <v>0</v>
      </c>
      <c r="R54" s="1080">
        <f>'Adjustments - restating'!R54+'Adjustments - Pro Forma'!R54</f>
        <v>0</v>
      </c>
      <c r="S54" s="1080">
        <f>'Adjustments - restating'!S54+'Adjustments - Pro Forma'!S54</f>
        <v>0</v>
      </c>
      <c r="T54" s="1080">
        <f>'Adjustments - restating'!T54+'Adjustments - Pro Forma'!T54</f>
        <v>0</v>
      </c>
      <c r="U54" s="1080">
        <f>'Adjustments - restating'!U54+'Adjustments - Pro Forma'!U54</f>
        <v>0</v>
      </c>
      <c r="V54" s="1080">
        <f>'Adjustments - restating'!V54+'Adjustments - Pro Forma'!V54</f>
        <v>0</v>
      </c>
      <c r="W54" s="1080">
        <f>'Adjustments - restating'!W54+'Adjustments - Pro Forma'!W54</f>
        <v>0</v>
      </c>
      <c r="X54" s="1080">
        <f>'Adjustments - restating'!X54+'Adjustments - Pro Forma'!X54</f>
        <v>0</v>
      </c>
      <c r="Y54" s="1080">
        <f>'Adjustments - restating'!Y54+'Adjustments - Pro Forma'!Y54</f>
        <v>0</v>
      </c>
      <c r="Z54" s="1080">
        <f>'Adjustments - restating'!Z54+'Adjustments - Pro Forma'!Z54</f>
        <v>0</v>
      </c>
      <c r="AA54" s="1080">
        <f>'Adjustments - restating'!AA54+'Adjustments - Pro Forma'!AA54</f>
        <v>0</v>
      </c>
      <c r="AB54" s="1080">
        <f>'Adjustments - restating'!AB54+'Adjustments - Pro Forma'!AB54</f>
        <v>0</v>
      </c>
      <c r="AC54" s="1080">
        <f>'Adjustments - restating'!AC54+'Adjustments - Pro Forma'!AC54</f>
        <v>0</v>
      </c>
      <c r="AD54" s="1080">
        <f>'Adjustments - restating'!AD54+'Adjustments - Pro Forma'!AD54</f>
        <v>0</v>
      </c>
      <c r="AE54" s="1080">
        <f>'Adjustments - restating'!AE54+'Adjustments - Pro Forma'!AE54</f>
        <v>-38827.45374999987</v>
      </c>
      <c r="AF54" s="1080">
        <f>'Adjustments - restating'!AF54+'Adjustments - Pro Forma'!AF54</f>
        <v>0</v>
      </c>
      <c r="AG54" s="1080">
        <f>'Adjustments - restating'!AG54+'Adjustments - Pro Forma'!AG54</f>
        <v>0</v>
      </c>
      <c r="AH54" s="1080">
        <f>'Adjustments - restating'!AH54+'Adjustments - Pro Forma'!AH54</f>
        <v>0</v>
      </c>
      <c r="AI54" s="1080">
        <f>'Adjustments - restating'!AI54+'Adjustments - Pro Forma'!AI54</f>
        <v>0</v>
      </c>
      <c r="AJ54" s="1080">
        <f>'Adjustments - restating'!AJ54+'Adjustments - Pro Forma'!AJ54</f>
        <v>0</v>
      </c>
      <c r="AK54" s="1080">
        <f>'Adjustments - restating'!AK54+'Adjustments - Pro Forma'!AK54</f>
        <v>0</v>
      </c>
      <c r="AL54" s="1080">
        <f>'Adjustments - restating'!AL54+'Adjustments - Pro Forma'!AL54</f>
        <v>0</v>
      </c>
      <c r="AM54" s="1080">
        <f>'Adjustments - restating'!AM54+'Adjustments - Pro Forma'!AM54</f>
        <v>0</v>
      </c>
      <c r="AN54" s="1080">
        <f>'Adjustments - restating'!AN54+'Adjustments - Pro Forma'!AN54</f>
        <v>0</v>
      </c>
      <c r="AO54" s="1080">
        <f>'Adjustments - restating'!AO54+'Adjustments - Pro Forma'!AO54</f>
        <v>0</v>
      </c>
      <c r="AP54" s="1080">
        <f>'Adjustments - restating'!AP54+'Adjustments - Pro Forma'!AP54</f>
        <v>0</v>
      </c>
      <c r="AQ54" s="1080">
        <f>'Adjustments - restating'!AQ54+'Adjustments - Pro Forma'!AQ54</f>
        <v>0</v>
      </c>
      <c r="AR54" s="1080">
        <f>'Adjustments - restating'!AR54+'Adjustments - Pro Forma'!AR54</f>
        <v>0</v>
      </c>
      <c r="AS54" s="1080">
        <f>'Adjustments - restating'!AS54+'Adjustments - Pro Forma'!AS54</f>
        <v>0</v>
      </c>
      <c r="AT54" s="1080">
        <f>'Adjustments - restating'!AT54+'Adjustments - Pro Forma'!AT54</f>
        <v>0</v>
      </c>
      <c r="AU54" s="1080">
        <f>'Adjustments - restating'!AU54+'Adjustments - Pro Forma'!AU54</f>
        <v>0</v>
      </c>
      <c r="AV54" s="1080">
        <f>'Adjustments - restating'!AV54+'Adjustments - Pro Forma'!AV54</f>
        <v>0</v>
      </c>
      <c r="AW54" s="1080">
        <f>'Adjustments - restating'!AW54+'Adjustments - Pro Forma'!AW54</f>
        <v>0</v>
      </c>
      <c r="AX54" s="1080">
        <f>'Adjustments - restating'!AX54+'Adjustments - Pro Forma'!AX54</f>
        <v>0</v>
      </c>
      <c r="AY54" s="1080">
        <f>'Adjustments - restating'!AY54+'Adjustments - Pro Forma'!AY54</f>
        <v>0</v>
      </c>
      <c r="AZ54" s="1080">
        <f>'Adjustments - restating'!AZ54+'Adjustments - Pro Forma'!AZ54</f>
        <v>0</v>
      </c>
      <c r="BA54" s="1080">
        <f>'Adjustments - restating'!BA54+'Adjustments - Pro Forma'!BA54</f>
        <v>0</v>
      </c>
      <c r="BB54" s="1080">
        <f>'Adjustments - restating'!BB54+'Adjustments - Pro Forma'!BB54</f>
        <v>0</v>
      </c>
      <c r="BC54" s="1080">
        <f>'Adjustments - restating'!BC54+'Adjustments - Pro Forma'!BC54</f>
        <v>0</v>
      </c>
      <c r="BD54" s="1053"/>
      <c r="CZ54" s="10"/>
    </row>
    <row r="55" spans="1:104">
      <c r="A55" s="4">
        <v>48</v>
      </c>
      <c r="B55" s="8" t="s">
        <v>392</v>
      </c>
      <c r="C55" s="1083">
        <f t="shared" si="10"/>
        <v>-15438661.092884848</v>
      </c>
      <c r="D55" s="1080">
        <f>'Adjustments - restating'!D55+'Adjustments - Pro Forma'!D55</f>
        <v>0</v>
      </c>
      <c r="E55" s="1080">
        <f>'Adjustments - restating'!E55+'Adjustments - Pro Forma'!E55</f>
        <v>0</v>
      </c>
      <c r="F55" s="1080">
        <f>'Adjustments - restating'!F55+'Adjustments - Pro Forma'!F55</f>
        <v>0</v>
      </c>
      <c r="G55" s="1080">
        <f>'Adjustments - restating'!G55+'Adjustments - Pro Forma'!G55</f>
        <v>152820.8753697275</v>
      </c>
      <c r="H55" s="1080">
        <f>'Adjustments - restating'!H55+'Adjustments - Pro Forma'!H55</f>
        <v>0</v>
      </c>
      <c r="I55" s="1080">
        <f>'Adjustments - restating'!I55+'Adjustments - Pro Forma'!I55</f>
        <v>0</v>
      </c>
      <c r="J55" s="1080">
        <f>'Adjustments - restating'!J55+'Adjustments - Pro Forma'!J55</f>
        <v>0</v>
      </c>
      <c r="K55" s="1080">
        <f>'Adjustments - restating'!K55+'Adjustments - Pro Forma'!K55</f>
        <v>0</v>
      </c>
      <c r="L55" s="1080">
        <f>'Adjustments - restating'!L55+'Adjustments - Pro Forma'!L55</f>
        <v>0</v>
      </c>
      <c r="M55" s="1080">
        <f>'Adjustments - restating'!M55+'Adjustments - Pro Forma'!M55</f>
        <v>0</v>
      </c>
      <c r="N55" s="1080">
        <f>'Adjustments - restating'!N55+'Adjustments - Pro Forma'!N55</f>
        <v>0</v>
      </c>
      <c r="O55" s="1080">
        <f>'Adjustments - restating'!O55+'Adjustments - Pro Forma'!O55</f>
        <v>0</v>
      </c>
      <c r="P55" s="1080">
        <f>'Adjustments - restating'!P55+'Adjustments - Pro Forma'!P55</f>
        <v>0</v>
      </c>
      <c r="Q55" s="1080">
        <f>'Adjustments - restating'!Q55+'Adjustments - Pro Forma'!Q55</f>
        <v>0</v>
      </c>
      <c r="R55" s="1080">
        <f>'Adjustments - restating'!R55+'Adjustments - Pro Forma'!R55</f>
        <v>0</v>
      </c>
      <c r="S55" s="1080">
        <f>'Adjustments - restating'!S55+'Adjustments - Pro Forma'!S55</f>
        <v>0</v>
      </c>
      <c r="T55" s="1080">
        <f>'Adjustments - restating'!T55+'Adjustments - Pro Forma'!T55</f>
        <v>0</v>
      </c>
      <c r="U55" s="1080">
        <f>'Adjustments - restating'!U55+'Adjustments - Pro Forma'!U55</f>
        <v>0</v>
      </c>
      <c r="V55" s="1080">
        <f>'Adjustments - restating'!V55+'Adjustments - Pro Forma'!V55</f>
        <v>0</v>
      </c>
      <c r="W55" s="1080">
        <f>'Adjustments - restating'!W55+'Adjustments - Pro Forma'!W55</f>
        <v>0</v>
      </c>
      <c r="X55" s="1080">
        <f>'Adjustments - restating'!X55+'Adjustments - Pro Forma'!X55</f>
        <v>0</v>
      </c>
      <c r="Y55" s="1080">
        <f>'Adjustments - restating'!Y55+'Adjustments - Pro Forma'!Y55</f>
        <v>0</v>
      </c>
      <c r="Z55" s="1080">
        <f>'Adjustments - restating'!Z55+'Adjustments - Pro Forma'!Z55</f>
        <v>0</v>
      </c>
      <c r="AA55" s="1080">
        <f>'Adjustments - restating'!AA55+'Adjustments - Pro Forma'!AA55</f>
        <v>0</v>
      </c>
      <c r="AB55" s="1080">
        <f>'Adjustments - restating'!AB55+'Adjustments - Pro Forma'!AB55</f>
        <v>0</v>
      </c>
      <c r="AC55" s="1080">
        <f>'Adjustments - restating'!AC55+'Adjustments - Pro Forma'!AC55</f>
        <v>1126970.5347474767</v>
      </c>
      <c r="AD55" s="1080">
        <f>'Adjustments - restating'!AD55+'Adjustments - Pro Forma'!AD55</f>
        <v>-16554.633195093058</v>
      </c>
      <c r="AE55" s="1080">
        <f>'Adjustments - restating'!AE55+'Adjustments - Pro Forma'!AE55</f>
        <v>0</v>
      </c>
      <c r="AF55" s="1080">
        <f>'Adjustments - restating'!AF55+'Adjustments - Pro Forma'!AF55</f>
        <v>764035.59114822827</v>
      </c>
      <c r="AG55" s="1080">
        <f>'Adjustments - restating'!AG55+'Adjustments - Pro Forma'!AG55</f>
        <v>-143763.74042216278</v>
      </c>
      <c r="AH55" s="1080">
        <f>'Adjustments - restating'!AH55+'Adjustments - Pro Forma'!AH55</f>
        <v>0</v>
      </c>
      <c r="AI55" s="1080">
        <f>'Adjustments - restating'!AI55+'Adjustments - Pro Forma'!AI55</f>
        <v>0</v>
      </c>
      <c r="AJ55" s="1080">
        <f>'Adjustments - restating'!AJ55+'Adjustments - Pro Forma'!AJ55</f>
        <v>0</v>
      </c>
      <c r="AK55" s="1080">
        <f>'Adjustments - restating'!AK55+'Adjustments - Pro Forma'!AK55</f>
        <v>-1637024.1070903214</v>
      </c>
      <c r="AL55" s="1080">
        <f>'Adjustments - restating'!AL55+'Adjustments - Pro Forma'!AL55</f>
        <v>0</v>
      </c>
      <c r="AM55" s="1080">
        <f>'Adjustments - restating'!AM55+'Adjustments - Pro Forma'!AM55</f>
        <v>-9662968.9592523444</v>
      </c>
      <c r="AN55" s="1080">
        <f>'Adjustments - restating'!AN55+'Adjustments - Pro Forma'!AN55</f>
        <v>246864</v>
      </c>
      <c r="AO55" s="1080">
        <f>'Adjustments - restating'!AO55+'Adjustments - Pro Forma'!AO55</f>
        <v>0</v>
      </c>
      <c r="AP55" s="1080">
        <f>'Adjustments - restating'!AP55+'Adjustments - Pro Forma'!AP55</f>
        <v>-3609058.0436743628</v>
      </c>
      <c r="AQ55" s="1080">
        <f>'Adjustments - restating'!AQ55+'Adjustments - Pro Forma'!AQ55</f>
        <v>-380671.18351681437</v>
      </c>
      <c r="AR55" s="1080">
        <f>'Adjustments - restating'!AR55+'Adjustments - Pro Forma'!AR55</f>
        <v>0</v>
      </c>
      <c r="AS55" s="1080">
        <f>'Adjustments - restating'!AS55+'Adjustments - Pro Forma'!AS55</f>
        <v>-2559875.5288223396</v>
      </c>
      <c r="AT55" s="1080">
        <f>'Adjustments - restating'!AT55+'Adjustments - Pro Forma'!AT55</f>
        <v>0</v>
      </c>
      <c r="AU55" s="1080">
        <f>'Adjustments - restating'!AU55+'Adjustments - Pro Forma'!AU55</f>
        <v>300351.93966095272</v>
      </c>
      <c r="AV55" s="1080">
        <f>'Adjustments - restating'!AV55+'Adjustments - Pro Forma'!AV55</f>
        <v>0</v>
      </c>
      <c r="AW55" s="1080">
        <f>'Adjustments - restating'!AW55+'Adjustments - Pro Forma'!AW55</f>
        <v>0</v>
      </c>
      <c r="AX55" s="1080">
        <f>'Adjustments - restating'!AX55+'Adjustments - Pro Forma'!AX55</f>
        <v>0</v>
      </c>
      <c r="AY55" s="1080">
        <f>'Adjustments - restating'!AY55+'Adjustments - Pro Forma'!AY55</f>
        <v>0</v>
      </c>
      <c r="AZ55" s="1080">
        <f>'Adjustments - restating'!AZ55+'Adjustments - Pro Forma'!AZ55</f>
        <v>0</v>
      </c>
      <c r="BA55" s="1080">
        <f>'Adjustments - restating'!BA55+'Adjustments - Pro Forma'!BA55</f>
        <v>0</v>
      </c>
      <c r="BB55" s="1080">
        <f>'Adjustments - restating'!BB55+'Adjustments - Pro Forma'!BB55</f>
        <v>0</v>
      </c>
      <c r="BC55" s="1080">
        <f>'Adjustments - restating'!BC55+'Adjustments - Pro Forma'!BC55</f>
        <v>-19787.837837796913</v>
      </c>
      <c r="BD55" s="1053"/>
      <c r="CZ55" s="10"/>
    </row>
    <row r="56" spans="1:104">
      <c r="A56" s="4">
        <v>49</v>
      </c>
      <c r="B56" s="8" t="s">
        <v>52</v>
      </c>
      <c r="C56" s="1083">
        <f t="shared" si="10"/>
        <v>1645.6848</v>
      </c>
      <c r="D56" s="1080">
        <f>'Adjustments - restating'!D56+'Adjustments - Pro Forma'!D56</f>
        <v>0</v>
      </c>
      <c r="E56" s="1080">
        <f>'Adjustments - restating'!E56+'Adjustments - Pro Forma'!E56</f>
        <v>0</v>
      </c>
      <c r="F56" s="1080">
        <f>'Adjustments - restating'!F56+'Adjustments - Pro Forma'!F56</f>
        <v>0</v>
      </c>
      <c r="G56" s="1080">
        <f>'Adjustments - restating'!G56+'Adjustments - Pro Forma'!G56</f>
        <v>0</v>
      </c>
      <c r="H56" s="1080">
        <f>'Adjustments - restating'!H56+'Adjustments - Pro Forma'!H56</f>
        <v>0</v>
      </c>
      <c r="I56" s="1080">
        <f>'Adjustments - restating'!I56+'Adjustments - Pro Forma'!I56</f>
        <v>0</v>
      </c>
      <c r="J56" s="1080">
        <f>'Adjustments - restating'!J56+'Adjustments - Pro Forma'!J56</f>
        <v>0</v>
      </c>
      <c r="K56" s="1080">
        <f>'Adjustments - restating'!K56+'Adjustments - Pro Forma'!K56</f>
        <v>0</v>
      </c>
      <c r="L56" s="1080">
        <f>'Adjustments - restating'!L56+'Adjustments - Pro Forma'!L56</f>
        <v>0</v>
      </c>
      <c r="M56" s="1080">
        <f>'Adjustments - restating'!M56+'Adjustments - Pro Forma'!M56</f>
        <v>0</v>
      </c>
      <c r="N56" s="1080">
        <f>'Adjustments - restating'!N56+'Adjustments - Pro Forma'!N56</f>
        <v>0</v>
      </c>
      <c r="O56" s="1080">
        <f>'Adjustments - restating'!O56+'Adjustments - Pro Forma'!O56</f>
        <v>0</v>
      </c>
      <c r="P56" s="1080">
        <f>'Adjustments - restating'!P56+'Adjustments - Pro Forma'!P56</f>
        <v>0</v>
      </c>
      <c r="Q56" s="1080">
        <f>'Adjustments - restating'!Q56+'Adjustments - Pro Forma'!Q56</f>
        <v>0</v>
      </c>
      <c r="R56" s="1080">
        <f>'Adjustments - restating'!R56+'Adjustments - Pro Forma'!R56</f>
        <v>0</v>
      </c>
      <c r="S56" s="1080">
        <f>'Adjustments - restating'!S56+'Adjustments - Pro Forma'!S56</f>
        <v>0</v>
      </c>
      <c r="T56" s="1080">
        <f>'Adjustments - restating'!T56+'Adjustments - Pro Forma'!T56</f>
        <v>0</v>
      </c>
      <c r="U56" s="1080">
        <f>'Adjustments - restating'!U56+'Adjustments - Pro Forma'!U56</f>
        <v>0</v>
      </c>
      <c r="V56" s="1080">
        <f>'Adjustments - restating'!V56+'Adjustments - Pro Forma'!V56</f>
        <v>0</v>
      </c>
      <c r="W56" s="1080">
        <f>'Adjustments - restating'!W56+'Adjustments - Pro Forma'!W56</f>
        <v>0</v>
      </c>
      <c r="X56" s="1080">
        <f>'Adjustments - restating'!X56+'Adjustments - Pro Forma'!X56</f>
        <v>0</v>
      </c>
      <c r="Y56" s="1080">
        <f>'Adjustments - restating'!Y56+'Adjustments - Pro Forma'!Y56</f>
        <v>0</v>
      </c>
      <c r="Z56" s="1080">
        <f>'Adjustments - restating'!Z56+'Adjustments - Pro Forma'!Z56</f>
        <v>0</v>
      </c>
      <c r="AA56" s="1080">
        <f>'Adjustments - restating'!AA56+'Adjustments - Pro Forma'!AA56</f>
        <v>0</v>
      </c>
      <c r="AB56" s="1080">
        <f>'Adjustments - restating'!AB56+'Adjustments - Pro Forma'!AB56</f>
        <v>0</v>
      </c>
      <c r="AC56" s="1080">
        <f>'Adjustments - restating'!AC56+'Adjustments - Pro Forma'!AC56</f>
        <v>1645.6848</v>
      </c>
      <c r="AD56" s="1080">
        <f>'Adjustments - restating'!AD56+'Adjustments - Pro Forma'!AD56</f>
        <v>0</v>
      </c>
      <c r="AE56" s="1080">
        <f>'Adjustments - restating'!AE56+'Adjustments - Pro Forma'!AE56</f>
        <v>0</v>
      </c>
      <c r="AF56" s="1080">
        <f>'Adjustments - restating'!AF56+'Adjustments - Pro Forma'!AF56</f>
        <v>0</v>
      </c>
      <c r="AG56" s="1080">
        <f>'Adjustments - restating'!AG56+'Adjustments - Pro Forma'!AG56</f>
        <v>0</v>
      </c>
      <c r="AH56" s="1080">
        <f>'Adjustments - restating'!AH56+'Adjustments - Pro Forma'!AH56</f>
        <v>0</v>
      </c>
      <c r="AI56" s="1080">
        <f>'Adjustments - restating'!AI56+'Adjustments - Pro Forma'!AI56</f>
        <v>0</v>
      </c>
      <c r="AJ56" s="1080">
        <f>'Adjustments - restating'!AJ56+'Adjustments - Pro Forma'!AJ56</f>
        <v>0</v>
      </c>
      <c r="AK56" s="1080">
        <f>'Adjustments - restating'!AK56+'Adjustments - Pro Forma'!AK56</f>
        <v>0</v>
      </c>
      <c r="AL56" s="1080">
        <f>'Adjustments - restating'!AL56+'Adjustments - Pro Forma'!AL56</f>
        <v>0</v>
      </c>
      <c r="AM56" s="1080">
        <f>'Adjustments - restating'!AM56+'Adjustments - Pro Forma'!AM56</f>
        <v>0</v>
      </c>
      <c r="AN56" s="1080">
        <f>'Adjustments - restating'!AN56+'Adjustments - Pro Forma'!AN56</f>
        <v>0</v>
      </c>
      <c r="AO56" s="1080">
        <f>'Adjustments - restating'!AO56+'Adjustments - Pro Forma'!AO56</f>
        <v>0</v>
      </c>
      <c r="AP56" s="1080">
        <f>'Adjustments - restating'!AP56+'Adjustments - Pro Forma'!AP56</f>
        <v>0</v>
      </c>
      <c r="AQ56" s="1080">
        <f>'Adjustments - restating'!AQ56+'Adjustments - Pro Forma'!AQ56</f>
        <v>0</v>
      </c>
      <c r="AR56" s="1080">
        <f>'Adjustments - restating'!AR56+'Adjustments - Pro Forma'!AR56</f>
        <v>0</v>
      </c>
      <c r="AS56" s="1080">
        <f>'Adjustments - restating'!AS56+'Adjustments - Pro Forma'!AS56</f>
        <v>0</v>
      </c>
      <c r="AT56" s="1080">
        <f>'Adjustments - restating'!AT56+'Adjustments - Pro Forma'!AT56</f>
        <v>0</v>
      </c>
      <c r="AU56" s="1080">
        <f>'Adjustments - restating'!AU56+'Adjustments - Pro Forma'!AU56</f>
        <v>0</v>
      </c>
      <c r="AV56" s="1080">
        <f>'Adjustments - restating'!AV56+'Adjustments - Pro Forma'!AV56</f>
        <v>0</v>
      </c>
      <c r="AW56" s="1080">
        <f>'Adjustments - restating'!AW56+'Adjustments - Pro Forma'!AW56</f>
        <v>0</v>
      </c>
      <c r="AX56" s="1080">
        <f>'Adjustments - restating'!AX56+'Adjustments - Pro Forma'!AX56</f>
        <v>0</v>
      </c>
      <c r="AY56" s="1080">
        <f>'Adjustments - restating'!AY56+'Adjustments - Pro Forma'!AY56</f>
        <v>0</v>
      </c>
      <c r="AZ56" s="1080">
        <f>'Adjustments - restating'!AZ56+'Adjustments - Pro Forma'!AZ56</f>
        <v>0</v>
      </c>
      <c r="BA56" s="1080">
        <f>'Adjustments - restating'!BA56+'Adjustments - Pro Forma'!BA56</f>
        <v>0</v>
      </c>
      <c r="BB56" s="1080">
        <f>'Adjustments - restating'!BB56+'Adjustments - Pro Forma'!BB56</f>
        <v>0</v>
      </c>
      <c r="BC56" s="1080">
        <f>'Adjustments - restating'!BC56+'Adjustments - Pro Forma'!BC56</f>
        <v>0</v>
      </c>
      <c r="BD56" s="1053"/>
      <c r="CZ56" s="10"/>
    </row>
    <row r="57" spans="1:104">
      <c r="A57" s="4">
        <v>50</v>
      </c>
      <c r="B57" s="8" t="s">
        <v>53</v>
      </c>
      <c r="C57" s="1083">
        <f t="shared" si="10"/>
        <v>-481414.22831967159</v>
      </c>
      <c r="D57" s="1080">
        <f>'Adjustments - restating'!D57+'Adjustments - Pro Forma'!D57</f>
        <v>0</v>
      </c>
      <c r="E57" s="1080">
        <f>'Adjustments - restating'!E57+'Adjustments - Pro Forma'!E57</f>
        <v>0</v>
      </c>
      <c r="F57" s="1080">
        <f>'Adjustments - restating'!F57+'Adjustments - Pro Forma'!F57</f>
        <v>0</v>
      </c>
      <c r="G57" s="1080">
        <f>'Adjustments - restating'!G57+'Adjustments - Pro Forma'!G57</f>
        <v>0</v>
      </c>
      <c r="H57" s="1080">
        <f>'Adjustments - restating'!H57+'Adjustments - Pro Forma'!H57</f>
        <v>0</v>
      </c>
      <c r="I57" s="1080">
        <f>'Adjustments - restating'!I57+'Adjustments - Pro Forma'!I57</f>
        <v>0</v>
      </c>
      <c r="J57" s="1080">
        <f>'Adjustments - restating'!J57+'Adjustments - Pro Forma'!J57</f>
        <v>0</v>
      </c>
      <c r="K57" s="1080">
        <f>'Adjustments - restating'!K57+'Adjustments - Pro Forma'!K57</f>
        <v>0</v>
      </c>
      <c r="L57" s="1080">
        <f>'Adjustments - restating'!L57+'Adjustments - Pro Forma'!L57</f>
        <v>0</v>
      </c>
      <c r="M57" s="1080">
        <f>'Adjustments - restating'!M57+'Adjustments - Pro Forma'!M57</f>
        <v>0</v>
      </c>
      <c r="N57" s="1080">
        <f>'Adjustments - restating'!N57+'Adjustments - Pro Forma'!N57</f>
        <v>0</v>
      </c>
      <c r="O57" s="1080">
        <f>'Adjustments - restating'!O57+'Adjustments - Pro Forma'!O57</f>
        <v>0</v>
      </c>
      <c r="P57" s="1080">
        <f>'Adjustments - restating'!P57+'Adjustments - Pro Forma'!P57</f>
        <v>0</v>
      </c>
      <c r="Q57" s="1080">
        <f>'Adjustments - restating'!Q57+'Adjustments - Pro Forma'!Q57</f>
        <v>0</v>
      </c>
      <c r="R57" s="1080">
        <f>'Adjustments - restating'!R57+'Adjustments - Pro Forma'!R57</f>
        <v>0</v>
      </c>
      <c r="S57" s="1080">
        <f>'Adjustments - restating'!S57+'Adjustments - Pro Forma'!S57</f>
        <v>0</v>
      </c>
      <c r="T57" s="1080">
        <f>'Adjustments - restating'!T57+'Adjustments - Pro Forma'!T57</f>
        <v>0</v>
      </c>
      <c r="U57" s="1080">
        <f>'Adjustments - restating'!U57+'Adjustments - Pro Forma'!U57</f>
        <v>0</v>
      </c>
      <c r="V57" s="1080">
        <f>'Adjustments - restating'!V57+'Adjustments - Pro Forma'!V57</f>
        <v>0</v>
      </c>
      <c r="W57" s="1080">
        <f>'Adjustments - restating'!W57+'Adjustments - Pro Forma'!W57</f>
        <v>0</v>
      </c>
      <c r="X57" s="1080">
        <f>'Adjustments - restating'!X57+'Adjustments - Pro Forma'!X57</f>
        <v>0</v>
      </c>
      <c r="Y57" s="1080">
        <f>'Adjustments - restating'!Y57+'Adjustments - Pro Forma'!Y57</f>
        <v>0</v>
      </c>
      <c r="Z57" s="1080">
        <f>'Adjustments - restating'!Z57+'Adjustments - Pro Forma'!Z57</f>
        <v>0</v>
      </c>
      <c r="AA57" s="1080">
        <f>'Adjustments - restating'!AA57+'Adjustments - Pro Forma'!AA57</f>
        <v>0</v>
      </c>
      <c r="AB57" s="1080">
        <f>'Adjustments - restating'!AB57+'Adjustments - Pro Forma'!AB57</f>
        <v>0</v>
      </c>
      <c r="AC57" s="1080">
        <f>'Adjustments - restating'!AC57+'Adjustments - Pro Forma'!AC57</f>
        <v>0</v>
      </c>
      <c r="AD57" s="1080">
        <f>'Adjustments - restating'!AD57+'Adjustments - Pro Forma'!AD57</f>
        <v>0</v>
      </c>
      <c r="AE57" s="1080">
        <f>'Adjustments - restating'!AE57+'Adjustments - Pro Forma'!AE57</f>
        <v>0</v>
      </c>
      <c r="AF57" s="1080">
        <f>'Adjustments - restating'!AF57+'Adjustments - Pro Forma'!AF57</f>
        <v>0</v>
      </c>
      <c r="AG57" s="1080">
        <f>'Adjustments - restating'!AG57+'Adjustments - Pro Forma'!AG57</f>
        <v>0</v>
      </c>
      <c r="AH57" s="1080">
        <f>'Adjustments - restating'!AH57+'Adjustments - Pro Forma'!AH57</f>
        <v>0</v>
      </c>
      <c r="AI57" s="1080">
        <f>'Adjustments - restating'!AI57+'Adjustments - Pro Forma'!AI57</f>
        <v>0</v>
      </c>
      <c r="AJ57" s="1080">
        <f>'Adjustments - restating'!AJ57+'Adjustments - Pro Forma'!AJ57</f>
        <v>0</v>
      </c>
      <c r="AK57" s="1080">
        <f>'Adjustments - restating'!AK57+'Adjustments - Pro Forma'!AK57</f>
        <v>0</v>
      </c>
      <c r="AL57" s="1080">
        <f>'Adjustments - restating'!AL57+'Adjustments - Pro Forma'!AL57</f>
        <v>0</v>
      </c>
      <c r="AM57" s="1080">
        <f>'Adjustments - restating'!AM57+'Adjustments - Pro Forma'!AM57</f>
        <v>0</v>
      </c>
      <c r="AN57" s="1080">
        <f>'Adjustments - restating'!AN57+'Adjustments - Pro Forma'!AN57</f>
        <v>0</v>
      </c>
      <c r="AO57" s="1080">
        <f>'Adjustments - restating'!AO57+'Adjustments - Pro Forma'!AO57</f>
        <v>0</v>
      </c>
      <c r="AP57" s="1080">
        <f>'Adjustments - restating'!AP57+'Adjustments - Pro Forma'!AP57</f>
        <v>0</v>
      </c>
      <c r="AQ57" s="1080">
        <f>'Adjustments - restating'!AQ57+'Adjustments - Pro Forma'!AQ57</f>
        <v>0</v>
      </c>
      <c r="AR57" s="1080">
        <f>'Adjustments - restating'!AR57+'Adjustments - Pro Forma'!AR57</f>
        <v>-481414.22831967159</v>
      </c>
      <c r="AS57" s="1080">
        <f>'Adjustments - restating'!AS57+'Adjustments - Pro Forma'!AS57</f>
        <v>0</v>
      </c>
      <c r="AT57" s="1080">
        <f>'Adjustments - restating'!AT57+'Adjustments - Pro Forma'!AT57</f>
        <v>0</v>
      </c>
      <c r="AU57" s="1080">
        <f>'Adjustments - restating'!AU57+'Adjustments - Pro Forma'!AU57</f>
        <v>0</v>
      </c>
      <c r="AV57" s="1080">
        <f>'Adjustments - restating'!AV57+'Adjustments - Pro Forma'!AV57</f>
        <v>0</v>
      </c>
      <c r="AW57" s="1080">
        <f>'Adjustments - restating'!AW57+'Adjustments - Pro Forma'!AW57</f>
        <v>0</v>
      </c>
      <c r="AX57" s="1080">
        <f>'Adjustments - restating'!AX57+'Adjustments - Pro Forma'!AX57</f>
        <v>0</v>
      </c>
      <c r="AY57" s="1080">
        <f>'Adjustments - restating'!AY57+'Adjustments - Pro Forma'!AY57</f>
        <v>0</v>
      </c>
      <c r="AZ57" s="1080">
        <f>'Adjustments - restating'!AZ57+'Adjustments - Pro Forma'!AZ57</f>
        <v>0</v>
      </c>
      <c r="BA57" s="1080">
        <f>'Adjustments - restating'!BA57+'Adjustments - Pro Forma'!BA57</f>
        <v>0</v>
      </c>
      <c r="BB57" s="1080">
        <f>'Adjustments - restating'!BB57+'Adjustments - Pro Forma'!BB57</f>
        <v>0</v>
      </c>
      <c r="BC57" s="1080">
        <f>'Adjustments - restating'!BC57+'Adjustments - Pro Forma'!BC57</f>
        <v>0</v>
      </c>
      <c r="BD57" s="1053"/>
      <c r="CZ57" s="10"/>
    </row>
    <row r="58" spans="1:104">
      <c r="A58" s="4">
        <v>51</v>
      </c>
      <c r="B58" s="8" t="s">
        <v>54</v>
      </c>
      <c r="C58" s="1083">
        <f t="shared" si="10"/>
        <v>-3361133.729166666</v>
      </c>
      <c r="D58" s="1080">
        <f>'Adjustments - restating'!D58+'Adjustments - Pro Forma'!D58</f>
        <v>0</v>
      </c>
      <c r="E58" s="1080">
        <f>'Adjustments - restating'!E58+'Adjustments - Pro Forma'!E58</f>
        <v>0</v>
      </c>
      <c r="F58" s="1080">
        <f>'Adjustments - restating'!F58+'Adjustments - Pro Forma'!F58</f>
        <v>0</v>
      </c>
      <c r="G58" s="1080">
        <f>'Adjustments - restating'!G58+'Adjustments - Pro Forma'!G58</f>
        <v>0</v>
      </c>
      <c r="H58" s="1080">
        <f>'Adjustments - restating'!H58+'Adjustments - Pro Forma'!H58</f>
        <v>0</v>
      </c>
      <c r="I58" s="1080">
        <f>'Adjustments - restating'!I58+'Adjustments - Pro Forma'!I58</f>
        <v>0</v>
      </c>
      <c r="J58" s="1080">
        <f>'Adjustments - restating'!J58+'Adjustments - Pro Forma'!J58</f>
        <v>0</v>
      </c>
      <c r="K58" s="1080">
        <f>'Adjustments - restating'!K58+'Adjustments - Pro Forma'!K58</f>
        <v>0</v>
      </c>
      <c r="L58" s="1080">
        <f>'Adjustments - restating'!L58+'Adjustments - Pro Forma'!L58</f>
        <v>0</v>
      </c>
      <c r="M58" s="1080">
        <f>'Adjustments - restating'!M58+'Adjustments - Pro Forma'!M58</f>
        <v>0</v>
      </c>
      <c r="N58" s="1080">
        <f>'Adjustments - restating'!N58+'Adjustments - Pro Forma'!N58</f>
        <v>0</v>
      </c>
      <c r="O58" s="1080">
        <f>'Adjustments - restating'!O58+'Adjustments - Pro Forma'!O58</f>
        <v>0</v>
      </c>
      <c r="P58" s="1080">
        <f>'Adjustments - restating'!P58+'Adjustments - Pro Forma'!P58</f>
        <v>0</v>
      </c>
      <c r="Q58" s="1080">
        <f>'Adjustments - restating'!Q58+'Adjustments - Pro Forma'!Q58</f>
        <v>0</v>
      </c>
      <c r="R58" s="1080">
        <f>'Adjustments - restating'!R58+'Adjustments - Pro Forma'!R58</f>
        <v>0</v>
      </c>
      <c r="S58" s="1080">
        <f>'Adjustments - restating'!S58+'Adjustments - Pro Forma'!S58</f>
        <v>0</v>
      </c>
      <c r="T58" s="1080">
        <f>'Adjustments - restating'!T58+'Adjustments - Pro Forma'!T58</f>
        <v>0</v>
      </c>
      <c r="U58" s="1080">
        <f>'Adjustments - restating'!U58+'Adjustments - Pro Forma'!U58</f>
        <v>0</v>
      </c>
      <c r="V58" s="1080">
        <f>'Adjustments - restating'!V58+'Adjustments - Pro Forma'!V58</f>
        <v>0</v>
      </c>
      <c r="W58" s="1080">
        <f>'Adjustments - restating'!W58+'Adjustments - Pro Forma'!W58</f>
        <v>0</v>
      </c>
      <c r="X58" s="1080">
        <f>'Adjustments - restating'!X58+'Adjustments - Pro Forma'!X58</f>
        <v>0</v>
      </c>
      <c r="Y58" s="1080">
        <f>'Adjustments - restating'!Y58+'Adjustments - Pro Forma'!Y58</f>
        <v>0</v>
      </c>
      <c r="Z58" s="1080">
        <f>'Adjustments - restating'!Z58+'Adjustments - Pro Forma'!Z58</f>
        <v>0</v>
      </c>
      <c r="AA58" s="1080">
        <f>'Adjustments - restating'!AA58+'Adjustments - Pro Forma'!AA58</f>
        <v>0</v>
      </c>
      <c r="AB58" s="1080">
        <f>'Adjustments - restating'!AB58+'Adjustments - Pro Forma'!AB58</f>
        <v>0</v>
      </c>
      <c r="AC58" s="1080">
        <f>'Adjustments - restating'!AC58+'Adjustments - Pro Forma'!AC58</f>
        <v>0</v>
      </c>
      <c r="AD58" s="1080">
        <f>'Adjustments - restating'!AD58+'Adjustments - Pro Forma'!AD58</f>
        <v>0</v>
      </c>
      <c r="AE58" s="1080">
        <f>'Adjustments - restating'!AE58+'Adjustments - Pro Forma'!AE58</f>
        <v>0</v>
      </c>
      <c r="AF58" s="1080">
        <f>'Adjustments - restating'!AF58+'Adjustments - Pro Forma'!AF58</f>
        <v>0</v>
      </c>
      <c r="AG58" s="1080">
        <f>'Adjustments - restating'!AG58+'Adjustments - Pro Forma'!AG58</f>
        <v>0</v>
      </c>
      <c r="AH58" s="1080">
        <f>'Adjustments - restating'!AH58+'Adjustments - Pro Forma'!AH58</f>
        <v>0</v>
      </c>
      <c r="AI58" s="1080">
        <f>'Adjustments - restating'!AI58+'Adjustments - Pro Forma'!AI58</f>
        <v>0</v>
      </c>
      <c r="AJ58" s="1080">
        <f>'Adjustments - restating'!AJ58+'Adjustments - Pro Forma'!AJ58</f>
        <v>0</v>
      </c>
      <c r="AK58" s="1080">
        <f>'Adjustments - restating'!AK58+'Adjustments - Pro Forma'!AK58</f>
        <v>0</v>
      </c>
      <c r="AL58" s="1080">
        <f>'Adjustments - restating'!AL58+'Adjustments - Pro Forma'!AL58</f>
        <v>0</v>
      </c>
      <c r="AM58" s="1080">
        <f>'Adjustments - restating'!AM58+'Adjustments - Pro Forma'!AM58</f>
        <v>0</v>
      </c>
      <c r="AN58" s="1080">
        <f>'Adjustments - restating'!AN58+'Adjustments - Pro Forma'!AN58</f>
        <v>0</v>
      </c>
      <c r="AO58" s="1080">
        <f>'Adjustments - restating'!AO58+'Adjustments - Pro Forma'!AO58</f>
        <v>0</v>
      </c>
      <c r="AP58" s="1080">
        <f>'Adjustments - restating'!AP58+'Adjustments - Pro Forma'!AP58</f>
        <v>0</v>
      </c>
      <c r="AQ58" s="1080">
        <f>'Adjustments - restating'!AQ58+'Adjustments - Pro Forma'!AQ58</f>
        <v>0</v>
      </c>
      <c r="AR58" s="1080">
        <f>'Adjustments - restating'!AR58+'Adjustments - Pro Forma'!AR58</f>
        <v>0</v>
      </c>
      <c r="AS58" s="1080">
        <f>'Adjustments - restating'!AS58+'Adjustments - Pro Forma'!AS58</f>
        <v>0</v>
      </c>
      <c r="AT58" s="1080">
        <f>'Adjustments - restating'!AT58+'Adjustments - Pro Forma'!AT58</f>
        <v>0</v>
      </c>
      <c r="AU58" s="1080">
        <f>'Adjustments - restating'!AU58+'Adjustments - Pro Forma'!AU58</f>
        <v>0</v>
      </c>
      <c r="AV58" s="1080">
        <f>'Adjustments - restating'!AV58+'Adjustments - Pro Forma'!AV58</f>
        <v>0</v>
      </c>
      <c r="AW58" s="1080">
        <f>'Adjustments - restating'!AW58+'Adjustments - Pro Forma'!AW58</f>
        <v>0</v>
      </c>
      <c r="AX58" s="1080">
        <f>'Adjustments - restating'!AX58+'Adjustments - Pro Forma'!AX58</f>
        <v>-3361133.729166666</v>
      </c>
      <c r="AY58" s="1080">
        <f>'Adjustments - restating'!AY58+'Adjustments - Pro Forma'!AY58</f>
        <v>0</v>
      </c>
      <c r="AZ58" s="1080">
        <f>'Adjustments - restating'!AZ58+'Adjustments - Pro Forma'!AZ58</f>
        <v>0</v>
      </c>
      <c r="BA58" s="1080">
        <f>'Adjustments - restating'!BA58+'Adjustments - Pro Forma'!BA58</f>
        <v>0</v>
      </c>
      <c r="BB58" s="1080">
        <f>'Adjustments - restating'!BB58+'Adjustments - Pro Forma'!BB58</f>
        <v>0</v>
      </c>
      <c r="BC58" s="1080">
        <f>'Adjustments - restating'!BC58+'Adjustments - Pro Forma'!BC58</f>
        <v>0</v>
      </c>
      <c r="BD58" s="1053"/>
      <c r="CZ58" s="10"/>
    </row>
    <row r="59" spans="1:104">
      <c r="A59" s="4">
        <v>52</v>
      </c>
      <c r="B59" s="8" t="s">
        <v>55</v>
      </c>
      <c r="C59" s="1083">
        <f t="shared" si="10"/>
        <v>-486388.242659254</v>
      </c>
      <c r="D59" s="1080">
        <f>'Adjustments - restating'!D59+'Adjustments - Pro Forma'!D59</f>
        <v>0</v>
      </c>
      <c r="E59" s="1080">
        <f>'Adjustments - restating'!E59+'Adjustments - Pro Forma'!E59</f>
        <v>0</v>
      </c>
      <c r="F59" s="1080">
        <f>'Adjustments - restating'!F59+'Adjustments - Pro Forma'!F59</f>
        <v>0</v>
      </c>
      <c r="G59" s="1080">
        <f>'Adjustments - restating'!G59+'Adjustments - Pro Forma'!G59</f>
        <v>-402745.59474258736</v>
      </c>
      <c r="H59" s="1080">
        <f>'Adjustments - restating'!H59+'Adjustments - Pro Forma'!H59</f>
        <v>0</v>
      </c>
      <c r="I59" s="1080">
        <f>'Adjustments - restating'!I59+'Adjustments - Pro Forma'!I59</f>
        <v>0</v>
      </c>
      <c r="J59" s="1080">
        <f>'Adjustments - restating'!J59+'Adjustments - Pro Forma'!J59</f>
        <v>0</v>
      </c>
      <c r="K59" s="1080">
        <f>'Adjustments - restating'!K59+'Adjustments - Pro Forma'!K59</f>
        <v>0</v>
      </c>
      <c r="L59" s="1080">
        <f>'Adjustments - restating'!L59+'Adjustments - Pro Forma'!L59</f>
        <v>0</v>
      </c>
      <c r="M59" s="1080">
        <f>'Adjustments - restating'!M59+'Adjustments - Pro Forma'!M59</f>
        <v>0</v>
      </c>
      <c r="N59" s="1080">
        <f>'Adjustments - restating'!N59+'Adjustments - Pro Forma'!N59</f>
        <v>0</v>
      </c>
      <c r="O59" s="1080">
        <f>'Adjustments - restating'!O59+'Adjustments - Pro Forma'!O59</f>
        <v>0</v>
      </c>
      <c r="P59" s="1080">
        <f>'Adjustments - restating'!P59+'Adjustments - Pro Forma'!P59</f>
        <v>0</v>
      </c>
      <c r="Q59" s="1080">
        <f>'Adjustments - restating'!Q59+'Adjustments - Pro Forma'!Q59</f>
        <v>0</v>
      </c>
      <c r="R59" s="1080">
        <f>'Adjustments - restating'!R59+'Adjustments - Pro Forma'!R59</f>
        <v>0</v>
      </c>
      <c r="S59" s="1080">
        <f>'Adjustments - restating'!S59+'Adjustments - Pro Forma'!S59</f>
        <v>0</v>
      </c>
      <c r="T59" s="1080">
        <f>'Adjustments - restating'!T59+'Adjustments - Pro Forma'!T59</f>
        <v>0</v>
      </c>
      <c r="U59" s="1080">
        <f>'Adjustments - restating'!U59+'Adjustments - Pro Forma'!U59</f>
        <v>0</v>
      </c>
      <c r="V59" s="1080">
        <f>'Adjustments - restating'!V59+'Adjustments - Pro Forma'!V59</f>
        <v>0</v>
      </c>
      <c r="W59" s="1080">
        <f>'Adjustments - restating'!W59+'Adjustments - Pro Forma'!W59</f>
        <v>0</v>
      </c>
      <c r="X59" s="1080">
        <f>'Adjustments - restating'!X59+'Adjustments - Pro Forma'!X59</f>
        <v>0</v>
      </c>
      <c r="Y59" s="1080">
        <f>'Adjustments - restating'!Y59+'Adjustments - Pro Forma'!Y59</f>
        <v>0</v>
      </c>
      <c r="Z59" s="1080">
        <f>'Adjustments - restating'!Z59+'Adjustments - Pro Forma'!Z59</f>
        <v>0</v>
      </c>
      <c r="AA59" s="1080">
        <f>'Adjustments - restating'!AA59+'Adjustments - Pro Forma'!AA59</f>
        <v>0</v>
      </c>
      <c r="AB59" s="1080">
        <f>'Adjustments - restating'!AB59+'Adjustments - Pro Forma'!AB59</f>
        <v>0</v>
      </c>
      <c r="AC59" s="1080">
        <f>'Adjustments - restating'!AC59+'Adjustments - Pro Forma'!AC59</f>
        <v>0</v>
      </c>
      <c r="AD59" s="1080">
        <f>'Adjustments - restating'!AD59+'Adjustments - Pro Forma'!AD59</f>
        <v>0</v>
      </c>
      <c r="AE59" s="1080">
        <f>'Adjustments - restating'!AE59+'Adjustments - Pro Forma'!AE59</f>
        <v>0</v>
      </c>
      <c r="AF59" s="1080">
        <f>'Adjustments - restating'!AF59+'Adjustments - Pro Forma'!AF59</f>
        <v>0</v>
      </c>
      <c r="AG59" s="1080">
        <f>'Adjustments - restating'!AG59+'Adjustments - Pro Forma'!AG59</f>
        <v>0</v>
      </c>
      <c r="AH59" s="1080">
        <f>'Adjustments - restating'!AH59+'Adjustments - Pro Forma'!AH59</f>
        <v>0</v>
      </c>
      <c r="AI59" s="1080">
        <f>'Adjustments - restating'!AI59+'Adjustments - Pro Forma'!AI59</f>
        <v>0</v>
      </c>
      <c r="AJ59" s="1080">
        <f>'Adjustments - restating'!AJ59+'Adjustments - Pro Forma'!AJ59</f>
        <v>0</v>
      </c>
      <c r="AK59" s="1080">
        <f>'Adjustments - restating'!AK59+'Adjustments - Pro Forma'!AK59</f>
        <v>0</v>
      </c>
      <c r="AL59" s="1080">
        <f>'Adjustments - restating'!AL59+'Adjustments - Pro Forma'!AL59</f>
        <v>0</v>
      </c>
      <c r="AM59" s="1080">
        <f>'Adjustments - restating'!AM59+'Adjustments - Pro Forma'!AM59</f>
        <v>0</v>
      </c>
      <c r="AN59" s="1080">
        <f>'Adjustments - restating'!AN59+'Adjustments - Pro Forma'!AN59</f>
        <v>0</v>
      </c>
      <c r="AO59" s="1080">
        <f>'Adjustments - restating'!AO59+'Adjustments - Pro Forma'!AO59</f>
        <v>0</v>
      </c>
      <c r="AP59" s="1080">
        <f>'Adjustments - restating'!AP59+'Adjustments - Pro Forma'!AP59</f>
        <v>0</v>
      </c>
      <c r="AQ59" s="1080">
        <f>'Adjustments - restating'!AQ59+'Adjustments - Pro Forma'!AQ59</f>
        <v>0</v>
      </c>
      <c r="AR59" s="1080">
        <f>'Adjustments - restating'!AR59+'Adjustments - Pro Forma'!AR59</f>
        <v>0</v>
      </c>
      <c r="AS59" s="1080">
        <f>'Adjustments - restating'!AS59+'Adjustments - Pro Forma'!AS59</f>
        <v>0</v>
      </c>
      <c r="AT59" s="1080">
        <f>'Adjustments - restating'!AT59+'Adjustments - Pro Forma'!AT59</f>
        <v>0</v>
      </c>
      <c r="AU59" s="1080">
        <f>'Adjustments - restating'!AU59+'Adjustments - Pro Forma'!AU59</f>
        <v>0</v>
      </c>
      <c r="AV59" s="1080">
        <f>'Adjustments - restating'!AV59+'Adjustments - Pro Forma'!AV59</f>
        <v>0</v>
      </c>
      <c r="AW59" s="1080">
        <f>'Adjustments - restating'!AW59+'Adjustments - Pro Forma'!AW59</f>
        <v>-83642.64791666661</v>
      </c>
      <c r="AX59" s="1080">
        <f>'Adjustments - restating'!AX59+'Adjustments - Pro Forma'!AX59</f>
        <v>0</v>
      </c>
      <c r="AY59" s="1080">
        <f>'Adjustments - restating'!AY59+'Adjustments - Pro Forma'!AY59</f>
        <v>0</v>
      </c>
      <c r="AZ59" s="1080">
        <f>'Adjustments - restating'!AZ59+'Adjustments - Pro Forma'!AZ59</f>
        <v>0</v>
      </c>
      <c r="BA59" s="1080">
        <f>'Adjustments - restating'!BA59+'Adjustments - Pro Forma'!BA59</f>
        <v>0</v>
      </c>
      <c r="BB59" s="1080">
        <f>'Adjustments - restating'!BB59+'Adjustments - Pro Forma'!BB59</f>
        <v>0</v>
      </c>
      <c r="BC59" s="1080">
        <f>'Adjustments - restating'!BC59+'Adjustments - Pro Forma'!BC59</f>
        <v>0</v>
      </c>
      <c r="BD59" s="1053"/>
      <c r="CZ59" s="10"/>
    </row>
    <row r="60" spans="1:104">
      <c r="A60" s="4">
        <v>53</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5" t="s">
        <v>56</v>
      </c>
      <c r="C61" s="1088">
        <f>SUM(C53:C60)</f>
        <v>-49898033.072528124</v>
      </c>
      <c r="D61" s="1082">
        <f>SUM(D53:D60)</f>
        <v>0</v>
      </c>
      <c r="E61" s="1082">
        <f t="shared" ref="E61:BC61" si="11">SUM(E53:E60)</f>
        <v>0</v>
      </c>
      <c r="F61" s="1082">
        <f t="shared" si="11"/>
        <v>0</v>
      </c>
      <c r="G61" s="1082">
        <f t="shared" si="11"/>
        <v>-249924.71937285986</v>
      </c>
      <c r="H61" s="1082">
        <f t="shared" si="11"/>
        <v>0</v>
      </c>
      <c r="I61" s="1082">
        <f t="shared" si="11"/>
        <v>0</v>
      </c>
      <c r="J61" s="1082">
        <f t="shared" si="11"/>
        <v>0</v>
      </c>
      <c r="K61" s="1082">
        <f t="shared" si="11"/>
        <v>0</v>
      </c>
      <c r="L61" s="1082">
        <f t="shared" si="11"/>
        <v>0</v>
      </c>
      <c r="M61" s="1082">
        <f t="shared" si="11"/>
        <v>0</v>
      </c>
      <c r="N61" s="1082">
        <f t="shared" si="11"/>
        <v>0</v>
      </c>
      <c r="O61" s="1082">
        <f t="shared" si="11"/>
        <v>0</v>
      </c>
      <c r="P61" s="1082">
        <f t="shared" si="11"/>
        <v>0</v>
      </c>
      <c r="Q61" s="1082">
        <f t="shared" si="11"/>
        <v>0</v>
      </c>
      <c r="R61" s="1082">
        <f t="shared" si="11"/>
        <v>0</v>
      </c>
      <c r="S61" s="1082">
        <f t="shared" si="11"/>
        <v>0</v>
      </c>
      <c r="T61" s="1082">
        <f t="shared" si="11"/>
        <v>0</v>
      </c>
      <c r="U61" s="1082">
        <f t="shared" si="11"/>
        <v>0</v>
      </c>
      <c r="V61" s="1082">
        <f t="shared" si="11"/>
        <v>0</v>
      </c>
      <c r="W61" s="1082">
        <f t="shared" si="11"/>
        <v>0</v>
      </c>
      <c r="X61" s="1082">
        <f t="shared" si="11"/>
        <v>0</v>
      </c>
      <c r="Y61" s="1082">
        <f t="shared" si="11"/>
        <v>0</v>
      </c>
      <c r="Z61" s="1082">
        <f t="shared" si="11"/>
        <v>0</v>
      </c>
      <c r="AA61" s="1082">
        <f t="shared" si="11"/>
        <v>0</v>
      </c>
      <c r="AB61" s="1082">
        <f t="shared" si="11"/>
        <v>0</v>
      </c>
      <c r="AC61" s="1082">
        <f t="shared" si="11"/>
        <v>19759910.524293479</v>
      </c>
      <c r="AD61" s="1082">
        <f t="shared" si="11"/>
        <v>-212765.11892330143</v>
      </c>
      <c r="AE61" s="1082">
        <f t="shared" si="11"/>
        <v>-6526992.7775002476</v>
      </c>
      <c r="AF61" s="1082">
        <f t="shared" si="11"/>
        <v>-1249180.3745660563</v>
      </c>
      <c r="AG61" s="1082">
        <f t="shared" si="11"/>
        <v>-143763.74042216278</v>
      </c>
      <c r="AH61" s="1082">
        <f t="shared" si="11"/>
        <v>0</v>
      </c>
      <c r="AI61" s="1082">
        <f t="shared" si="11"/>
        <v>0</v>
      </c>
      <c r="AJ61" s="1082">
        <f t="shared" si="11"/>
        <v>0</v>
      </c>
      <c r="AK61" s="1082">
        <f t="shared" si="11"/>
        <v>-1637024.1070903214</v>
      </c>
      <c r="AL61" s="1082">
        <f t="shared" si="11"/>
        <v>0</v>
      </c>
      <c r="AM61" s="1082">
        <f t="shared" si="11"/>
        <v>-9662968.9592523444</v>
      </c>
      <c r="AN61" s="1082">
        <f t="shared" si="11"/>
        <v>246864</v>
      </c>
      <c r="AO61" s="1082">
        <f t="shared" si="11"/>
        <v>0</v>
      </c>
      <c r="AP61" s="1082">
        <f t="shared" si="11"/>
        <v>-42864656.633303598</v>
      </c>
      <c r="AQ61" s="1082">
        <f t="shared" si="11"/>
        <v>-380671.18351681437</v>
      </c>
      <c r="AR61" s="1082">
        <f t="shared" si="11"/>
        <v>-481414.22831967159</v>
      </c>
      <c r="AS61" s="1082">
        <f t="shared" si="11"/>
        <v>-3325316.6196618588</v>
      </c>
      <c r="AT61" s="1082">
        <f t="shared" si="11"/>
        <v>0</v>
      </c>
      <c r="AU61" s="1082">
        <f t="shared" si="11"/>
        <v>300351.93966095272</v>
      </c>
      <c r="AV61" s="1082">
        <f t="shared" si="11"/>
        <v>0</v>
      </c>
      <c r="AW61" s="1082">
        <f t="shared" si="11"/>
        <v>-83642.64791666661</v>
      </c>
      <c r="AX61" s="1082">
        <f t="shared" si="11"/>
        <v>-3361133.729166666</v>
      </c>
      <c r="AY61" s="1082">
        <f t="shared" si="11"/>
        <v>0</v>
      </c>
      <c r="AZ61" s="1082">
        <f t="shared" si="11"/>
        <v>0</v>
      </c>
      <c r="BA61" s="1082">
        <f t="shared" si="11"/>
        <v>0</v>
      </c>
      <c r="BB61" s="1082">
        <f t="shared" si="11"/>
        <v>0</v>
      </c>
      <c r="BC61" s="1082">
        <f t="shared" si="11"/>
        <v>-25704.697469986393</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6">
        <f>C50+C61</f>
        <v>61369070.901310042</v>
      </c>
      <c r="D63" s="1080">
        <f>D50+D61</f>
        <v>0</v>
      </c>
      <c r="E63" s="1080">
        <f t="shared" ref="E63:BC63" si="12">E50+E61</f>
        <v>0</v>
      </c>
      <c r="F63" s="1080">
        <f t="shared" si="12"/>
        <v>0</v>
      </c>
      <c r="G63" s="1080">
        <f t="shared" si="12"/>
        <v>-249924.71937285986</v>
      </c>
      <c r="H63" s="1080">
        <f t="shared" si="12"/>
        <v>0</v>
      </c>
      <c r="I63" s="1080">
        <f t="shared" si="12"/>
        <v>0</v>
      </c>
      <c r="J63" s="1080">
        <f t="shared" si="12"/>
        <v>0</v>
      </c>
      <c r="K63" s="1080">
        <f t="shared" si="12"/>
        <v>0</v>
      </c>
      <c r="L63" s="1080">
        <f t="shared" si="12"/>
        <v>0</v>
      </c>
      <c r="M63" s="1080">
        <f t="shared" si="12"/>
        <v>0</v>
      </c>
      <c r="N63" s="1080">
        <f t="shared" si="12"/>
        <v>0</v>
      </c>
      <c r="O63" s="1080">
        <f t="shared" si="12"/>
        <v>0</v>
      </c>
      <c r="P63" s="1080">
        <f t="shared" si="12"/>
        <v>0</v>
      </c>
      <c r="Q63" s="1080">
        <f t="shared" si="12"/>
        <v>0</v>
      </c>
      <c r="R63" s="1080">
        <f t="shared" si="12"/>
        <v>0</v>
      </c>
      <c r="S63" s="1080">
        <f t="shared" si="12"/>
        <v>0</v>
      </c>
      <c r="T63" s="1080">
        <f t="shared" si="12"/>
        <v>0</v>
      </c>
      <c r="U63" s="1080">
        <f t="shared" si="12"/>
        <v>0</v>
      </c>
      <c r="V63" s="1080">
        <f t="shared" si="12"/>
        <v>0</v>
      </c>
      <c r="W63" s="1080">
        <f t="shared" si="12"/>
        <v>0</v>
      </c>
      <c r="X63" s="1080">
        <f t="shared" si="12"/>
        <v>0</v>
      </c>
      <c r="Y63" s="1080">
        <f t="shared" si="12"/>
        <v>0</v>
      </c>
      <c r="Z63" s="1080">
        <f t="shared" si="12"/>
        <v>0</v>
      </c>
      <c r="AA63" s="1080">
        <f t="shared" si="12"/>
        <v>0</v>
      </c>
      <c r="AB63" s="1080">
        <f t="shared" si="12"/>
        <v>0</v>
      </c>
      <c r="AC63" s="1080">
        <f t="shared" si="12"/>
        <v>-8567345.2846213318</v>
      </c>
      <c r="AD63" s="1080">
        <f t="shared" si="12"/>
        <v>-212765.11892330143</v>
      </c>
      <c r="AE63" s="1080">
        <f t="shared" si="12"/>
        <v>-6526992.7775002476</v>
      </c>
      <c r="AF63" s="1080">
        <f t="shared" si="12"/>
        <v>-1249180.3745660563</v>
      </c>
      <c r="AG63" s="1080">
        <f t="shared" si="12"/>
        <v>-143763.74042216278</v>
      </c>
      <c r="AH63" s="1080">
        <f t="shared" si="12"/>
        <v>0</v>
      </c>
      <c r="AI63" s="1080">
        <f t="shared" si="12"/>
        <v>0</v>
      </c>
      <c r="AJ63" s="1080">
        <f t="shared" si="12"/>
        <v>0</v>
      </c>
      <c r="AK63" s="1080">
        <f t="shared" si="12"/>
        <v>-1637024.1070903214</v>
      </c>
      <c r="AL63" s="1080">
        <f t="shared" si="12"/>
        <v>0</v>
      </c>
      <c r="AM63" s="1080">
        <f t="shared" si="12"/>
        <v>-9662968.9592523444</v>
      </c>
      <c r="AN63" s="1080">
        <f t="shared" si="12"/>
        <v>246864</v>
      </c>
      <c r="AO63" s="1080">
        <f t="shared" si="12"/>
        <v>0</v>
      </c>
      <c r="AP63" s="1080">
        <f t="shared" si="12"/>
        <v>26734872.303152114</v>
      </c>
      <c r="AQ63" s="1080">
        <f t="shared" si="12"/>
        <v>-250034.33575255581</v>
      </c>
      <c r="AR63" s="1080">
        <f t="shared" si="12"/>
        <v>-481414.22831967159</v>
      </c>
      <c r="AS63" s="1080">
        <f t="shared" si="12"/>
        <v>37099265.654320329</v>
      </c>
      <c r="AT63" s="1080">
        <f t="shared" si="12"/>
        <v>-23721363.983606651</v>
      </c>
      <c r="AU63" s="1080">
        <f t="shared" si="12"/>
        <v>97700.229568832146</v>
      </c>
      <c r="AV63" s="1080">
        <f t="shared" si="12"/>
        <v>-360048.63899999904</v>
      </c>
      <c r="AW63" s="1080">
        <f t="shared" si="12"/>
        <v>-83642.64791666661</v>
      </c>
      <c r="AX63" s="1080">
        <f t="shared" si="12"/>
        <v>-3361133.729166666</v>
      </c>
      <c r="AY63" s="1080">
        <f t="shared" si="12"/>
        <v>0</v>
      </c>
      <c r="AZ63" s="1080">
        <f t="shared" si="12"/>
        <v>0</v>
      </c>
      <c r="BA63" s="1080">
        <f t="shared" si="12"/>
        <v>22392710.951431125</v>
      </c>
      <c r="BB63" s="1080">
        <f t="shared" si="12"/>
        <v>31018483.084840588</v>
      </c>
      <c r="BC63" s="1080">
        <f t="shared" si="12"/>
        <v>286777.32350789511</v>
      </c>
      <c r="BD63" s="1053"/>
      <c r="CZ63" s="10"/>
    </row>
    <row r="64" spans="1:104" ht="13.5"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61</v>
      </c>
      <c r="B66" s="20" t="s">
        <v>2</v>
      </c>
      <c r="C66" s="1299"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19919420.174390674</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63</v>
      </c>
      <c r="B68" s="20" t="s">
        <v>61</v>
      </c>
      <c r="C68" s="1085">
        <f>C11-C24-C26-C27-C28-C33</f>
        <v>19919420.17439067</v>
      </c>
      <c r="D68" s="1085">
        <f>D11-D24-D26-D27-D28-D33</f>
        <v>-5692761.2699999996</v>
      </c>
      <c r="E68" s="1085">
        <f t="shared" ref="E68:BC68" si="13">E11-E24-E26-E27-E28-E33</f>
        <v>-7427584.4312790008</v>
      </c>
      <c r="F68" s="1085">
        <f t="shared" si="13"/>
        <v>17025824.820802085</v>
      </c>
      <c r="G68" s="1085">
        <f t="shared" si="13"/>
        <v>776048.95839665306</v>
      </c>
      <c r="H68" s="1085">
        <f t="shared" si="13"/>
        <v>-2253339.1310724937</v>
      </c>
      <c r="I68" s="1085">
        <f t="shared" si="13"/>
        <v>347224</v>
      </c>
      <c r="J68" s="1085">
        <f t="shared" si="13"/>
        <v>41325.822449383042</v>
      </c>
      <c r="K68" s="1085">
        <f t="shared" si="13"/>
        <v>0</v>
      </c>
      <c r="L68" s="1085">
        <f t="shared" si="13"/>
        <v>25888.581406835918</v>
      </c>
      <c r="M68" s="1085">
        <f t="shared" si="13"/>
        <v>22113.998075557345</v>
      </c>
      <c r="N68" s="1085">
        <f t="shared" si="13"/>
        <v>47588.981132557921</v>
      </c>
      <c r="O68" s="1085">
        <f t="shared" si="13"/>
        <v>-1233812.5366109316</v>
      </c>
      <c r="P68" s="1085">
        <f t="shared" si="13"/>
        <v>5340.7537227038374</v>
      </c>
      <c r="Q68" s="1085">
        <f t="shared" si="13"/>
        <v>-155436.59276701676</v>
      </c>
      <c r="R68" s="1085">
        <f t="shared" si="13"/>
        <v>10677588.59</v>
      </c>
      <c r="S68" s="1085">
        <f t="shared" si="13"/>
        <v>2008360.4615596212</v>
      </c>
      <c r="T68" s="1085">
        <f t="shared" si="13"/>
        <v>401.94661826917422</v>
      </c>
      <c r="U68" s="1085">
        <f t="shared" si="13"/>
        <v>-1496.5274180481501</v>
      </c>
      <c r="V68" s="1085">
        <f t="shared" si="13"/>
        <v>-422425.00651124539</v>
      </c>
      <c r="W68" s="1085">
        <f t="shared" si="13"/>
        <v>-215352.2102726177</v>
      </c>
      <c r="X68" s="1085">
        <f t="shared" si="13"/>
        <v>0</v>
      </c>
      <c r="Y68" s="1085">
        <f t="shared" si="13"/>
        <v>0</v>
      </c>
      <c r="Z68" s="1085">
        <f t="shared" si="13"/>
        <v>11514719.674666643</v>
      </c>
      <c r="AA68" s="1085">
        <f t="shared" si="13"/>
        <v>908320.56677233428</v>
      </c>
      <c r="AB68" s="1085">
        <f t="shared" si="13"/>
        <v>679898.4167838149</v>
      </c>
      <c r="AC68" s="1085">
        <f t="shared" si="13"/>
        <v>469119.33380278642</v>
      </c>
      <c r="AD68" s="1085">
        <f t="shared" si="13"/>
        <v>0</v>
      </c>
      <c r="AE68" s="1085">
        <f t="shared" si="13"/>
        <v>0</v>
      </c>
      <c r="AF68" s="1085">
        <f t="shared" si="13"/>
        <v>-2013215.9657142847</v>
      </c>
      <c r="AG68" s="1085">
        <f t="shared" si="13"/>
        <v>132157.57984889968</v>
      </c>
      <c r="AH68" s="1085">
        <f t="shared" si="13"/>
        <v>0</v>
      </c>
      <c r="AI68" s="1085">
        <f t="shared" si="13"/>
        <v>0</v>
      </c>
      <c r="AJ68" s="1085">
        <f t="shared" si="13"/>
        <v>0</v>
      </c>
      <c r="AK68" s="1085">
        <f t="shared" si="13"/>
        <v>0</v>
      </c>
      <c r="AL68" s="1085">
        <f t="shared" si="13"/>
        <v>0</v>
      </c>
      <c r="AM68" s="1085">
        <f t="shared" si="13"/>
        <v>0</v>
      </c>
      <c r="AN68" s="1085">
        <f t="shared" si="13"/>
        <v>0</v>
      </c>
      <c r="AO68" s="1085">
        <f t="shared" si="13"/>
        <v>807244.49001859501</v>
      </c>
      <c r="AP68" s="1085">
        <f t="shared" si="13"/>
        <v>0</v>
      </c>
      <c r="AQ68" s="1085">
        <f t="shared" si="13"/>
        <v>-168765.87530265757</v>
      </c>
      <c r="AR68" s="1085">
        <f t="shared" si="13"/>
        <v>0</v>
      </c>
      <c r="AS68" s="1085">
        <f t="shared" si="13"/>
        <v>-744845.36788250029</v>
      </c>
      <c r="AT68" s="1085">
        <f t="shared" si="13"/>
        <v>0</v>
      </c>
      <c r="AU68" s="1085">
        <f t="shared" si="13"/>
        <v>-82361.759263031505</v>
      </c>
      <c r="AV68" s="1085">
        <f t="shared" si="13"/>
        <v>17990.552800000001</v>
      </c>
      <c r="AW68" s="1085">
        <f t="shared" si="13"/>
        <v>0</v>
      </c>
      <c r="AX68" s="1085">
        <f t="shared" si="13"/>
        <v>-4169.3672727272733</v>
      </c>
      <c r="AY68" s="1085">
        <f t="shared" si="13"/>
        <v>-4530186</v>
      </c>
      <c r="AZ68" s="1085">
        <f t="shared" si="13"/>
        <v>364557.79765522532</v>
      </c>
      <c r="BA68" s="1085">
        <f t="shared" si="13"/>
        <v>0</v>
      </c>
      <c r="BB68" s="1085">
        <f t="shared" si="13"/>
        <v>0</v>
      </c>
      <c r="BC68" s="1085">
        <f t="shared" si="13"/>
        <v>-1006543.1107547351</v>
      </c>
      <c r="BD68" s="1053"/>
      <c r="CZ68" s="10"/>
    </row>
    <row r="69" spans="1:104">
      <c r="A69" s="6">
        <v>64</v>
      </c>
      <c r="B69" s="20" t="s">
        <v>62</v>
      </c>
      <c r="C69" s="1300" t="s">
        <v>798</v>
      </c>
      <c r="D69" s="1080">
        <f>'Adjustments - restating'!D69+'Adjustments - Pro Forma'!D69</f>
        <v>0</v>
      </c>
      <c r="E69" s="1080">
        <f>'Adjustments - restating'!E69+'Adjustments - Pro Forma'!E69</f>
        <v>0</v>
      </c>
      <c r="F69" s="1080">
        <f>'Adjustments - restating'!F69+'Adjustments - Pro Forma'!F69</f>
        <v>0</v>
      </c>
      <c r="G69" s="1080">
        <f>'Adjustments - restating'!G69+'Adjustments - Pro Forma'!G69</f>
        <v>0</v>
      </c>
      <c r="H69" s="1080">
        <f>'Adjustments - restating'!H69+'Adjustments - Pro Forma'!H69</f>
        <v>0</v>
      </c>
      <c r="I69" s="1080">
        <f>'Adjustments - restating'!I69+'Adjustments - Pro Forma'!I69</f>
        <v>0</v>
      </c>
      <c r="J69" s="1080">
        <f>'Adjustments - restating'!J69+'Adjustments - Pro Forma'!J69</f>
        <v>0</v>
      </c>
      <c r="K69" s="1080">
        <f>'Adjustments - restating'!K69+'Adjustments - Pro Forma'!K69</f>
        <v>0</v>
      </c>
      <c r="L69" s="1080">
        <f>'Adjustments - restating'!L69+'Adjustments - Pro Forma'!L69</f>
        <v>0</v>
      </c>
      <c r="M69" s="1080">
        <f>'Adjustments - restating'!M69+'Adjustments - Pro Forma'!M69</f>
        <v>0</v>
      </c>
      <c r="N69" s="1080">
        <f>'Adjustments - restating'!N69+'Adjustments - Pro Forma'!N69</f>
        <v>0</v>
      </c>
      <c r="O69" s="1080">
        <f>'Adjustments - restating'!O69+'Adjustments - Pro Forma'!O69</f>
        <v>0</v>
      </c>
      <c r="P69" s="1080">
        <f>'Adjustments - restating'!P69+'Adjustments - Pro Forma'!P69</f>
        <v>0</v>
      </c>
      <c r="Q69" s="1080">
        <f>'Adjustments - restating'!Q69+'Adjustments - Pro Forma'!Q69</f>
        <v>0</v>
      </c>
      <c r="R69" s="1080">
        <f>'Adjustments - restating'!R69+'Adjustments - Pro Forma'!R69</f>
        <v>0</v>
      </c>
      <c r="S69" s="1080">
        <f>'Adjustments - restating'!S69+'Adjustments - Pro Forma'!S69</f>
        <v>0</v>
      </c>
      <c r="T69" s="1080">
        <f>'Adjustments - restating'!T69+'Adjustments - Pro Forma'!T69</f>
        <v>0</v>
      </c>
      <c r="U69" s="1080">
        <f>'Adjustments - restating'!U69+'Adjustments - Pro Forma'!U69</f>
        <v>0</v>
      </c>
      <c r="V69" s="1080">
        <f>'Adjustments - restating'!V69+'Adjustments - Pro Forma'!V69</f>
        <v>0</v>
      </c>
      <c r="W69" s="1080">
        <f>'Adjustments - restating'!W69+'Adjustments - Pro Forma'!W69</f>
        <v>0</v>
      </c>
      <c r="X69" s="1080">
        <f>'Adjustments - restating'!X69+'Adjustments - Pro Forma'!X69</f>
        <v>0</v>
      </c>
      <c r="Y69" s="1080">
        <f>'Adjustments - restating'!Y69+'Adjustments - Pro Forma'!Y69</f>
        <v>0</v>
      </c>
      <c r="Z69" s="1080">
        <f>'Adjustments - restating'!Z69+'Adjustments - Pro Forma'!Z69</f>
        <v>0</v>
      </c>
      <c r="AA69" s="1080">
        <f>'Adjustments - restating'!AA69+'Adjustments - Pro Forma'!AA69</f>
        <v>0</v>
      </c>
      <c r="AB69" s="1080">
        <f>'Adjustments - restating'!AB69+'Adjustments - Pro Forma'!AB69</f>
        <v>0</v>
      </c>
      <c r="AC69" s="1080">
        <f>'Adjustments - restating'!AC69+'Adjustments - Pro Forma'!AC69</f>
        <v>0</v>
      </c>
      <c r="AD69" s="1080">
        <f>'Adjustments - restating'!AD69+'Adjustments - Pro Forma'!AD69</f>
        <v>0</v>
      </c>
      <c r="AE69" s="1080">
        <f>'Adjustments - restating'!AE69+'Adjustments - Pro Forma'!AE69</f>
        <v>0</v>
      </c>
      <c r="AF69" s="1080">
        <f>'Adjustments - restating'!AF69+'Adjustments - Pro Forma'!AF69</f>
        <v>0</v>
      </c>
      <c r="AG69" s="1080">
        <f>'Adjustments - restating'!AG69+'Adjustments - Pro Forma'!AG69</f>
        <v>0</v>
      </c>
      <c r="AH69" s="1080">
        <f>'Adjustments - restating'!AH69+'Adjustments - Pro Forma'!AH69</f>
        <v>0</v>
      </c>
      <c r="AI69" s="1080">
        <f>'Adjustments - restating'!AI69+'Adjustments - Pro Forma'!AI69</f>
        <v>0</v>
      </c>
      <c r="AJ69" s="1080">
        <f>'Adjustments - restating'!AJ69+'Adjustments - Pro Forma'!AJ69</f>
        <v>0</v>
      </c>
      <c r="AK69" s="1080">
        <f>'Adjustments - restating'!AK69+'Adjustments - Pro Forma'!AK69</f>
        <v>0</v>
      </c>
      <c r="AL69" s="1080">
        <f>'Adjustments - restating'!AL69+'Adjustments - Pro Forma'!AL69</f>
        <v>0</v>
      </c>
      <c r="AM69" s="1080">
        <f>'Adjustments - restating'!AM69+'Adjustments - Pro Forma'!AM69</f>
        <v>0</v>
      </c>
      <c r="AN69" s="1080">
        <f>'Adjustments - restating'!AN69+'Adjustments - Pro Forma'!AN69</f>
        <v>0</v>
      </c>
      <c r="AO69" s="1080">
        <f>'Adjustments - restating'!AO69+'Adjustments - Pro Forma'!AO69</f>
        <v>0</v>
      </c>
      <c r="AP69" s="1080">
        <f>'Adjustments - restating'!AP69+'Adjustments - Pro Forma'!AP69</f>
        <v>0</v>
      </c>
      <c r="AQ69" s="1080">
        <f>'Adjustments - restating'!AQ69+'Adjustments - Pro Forma'!AQ69</f>
        <v>0</v>
      </c>
      <c r="AR69" s="1080">
        <f>'Adjustments - restating'!AR69+'Adjustments - Pro Forma'!AR69</f>
        <v>0</v>
      </c>
      <c r="AS69" s="1080">
        <f>'Adjustments - restating'!AS69+'Adjustments - Pro Forma'!AS69</f>
        <v>0</v>
      </c>
      <c r="AT69" s="1080">
        <f>'Adjustments - restating'!AT69+'Adjustments - Pro Forma'!AT69</f>
        <v>0</v>
      </c>
      <c r="AU69" s="1080">
        <f>'Adjustments - restating'!AU69+'Adjustments - Pro Forma'!AU69</f>
        <v>0</v>
      </c>
      <c r="AV69" s="1080">
        <f>'Adjustments - restating'!AV69+'Adjustments - Pro Forma'!AV69</f>
        <v>0</v>
      </c>
      <c r="AW69" s="1080">
        <f>'Adjustments - restating'!AW69+'Adjustments - Pro Forma'!AW69</f>
        <v>0</v>
      </c>
      <c r="AX69" s="1080">
        <f>'Adjustments - restating'!AX69+'Adjustments - Pro Forma'!AX69</f>
        <v>0</v>
      </c>
      <c r="AY69" s="1080">
        <f>'Adjustments - restating'!AY69+'Adjustments - Pro Forma'!AY69</f>
        <v>0</v>
      </c>
      <c r="AZ69" s="1080">
        <f>'Adjustments - restating'!AZ69+'Adjustments - Pro Forma'!AZ69</f>
        <v>0</v>
      </c>
      <c r="BA69" s="1080">
        <f>'Adjustments - restating'!BA69+'Adjustments - Pro Forma'!BA69</f>
        <v>0</v>
      </c>
      <c r="BB69" s="1080">
        <f>'Adjustments - restating'!BB69+'Adjustments - Pro Forma'!BB69</f>
        <v>0</v>
      </c>
      <c r="BC69" s="1080">
        <f>'Adjustments - restating'!BC69+'Adjustments - Pro Forma'!BC69</f>
        <v>0</v>
      </c>
      <c r="BD69" s="1053"/>
      <c r="CZ69" s="10"/>
    </row>
    <row r="70" spans="1:104">
      <c r="A70" s="6">
        <v>65</v>
      </c>
      <c r="B70" s="20" t="s">
        <v>63</v>
      </c>
      <c r="C70" s="1300">
        <f>SUM(D70:BC70)</f>
        <v>0</v>
      </c>
      <c r="D70" s="1080">
        <f>'Adjustments - restating'!D70+'Adjustments - Pro Forma'!D70</f>
        <v>0</v>
      </c>
      <c r="E70" s="1080">
        <f>'Adjustments - restating'!E70+'Adjustments - Pro Forma'!E70</f>
        <v>0</v>
      </c>
      <c r="F70" s="1080">
        <f>'Adjustments - restating'!F70+'Adjustments - Pro Forma'!F70</f>
        <v>0</v>
      </c>
      <c r="G70" s="1080">
        <f>'Adjustments - restating'!G70+'Adjustments - Pro Forma'!G70</f>
        <v>0</v>
      </c>
      <c r="H70" s="1080">
        <f>'Adjustments - restating'!H70+'Adjustments - Pro Forma'!H70</f>
        <v>0</v>
      </c>
      <c r="I70" s="1080">
        <f>'Adjustments - restating'!I70+'Adjustments - Pro Forma'!I70</f>
        <v>0</v>
      </c>
      <c r="J70" s="1080">
        <f>'Adjustments - restating'!J70+'Adjustments - Pro Forma'!J70</f>
        <v>0</v>
      </c>
      <c r="K70" s="1080">
        <f>'Adjustments - restating'!K70+'Adjustments - Pro Forma'!K70</f>
        <v>0</v>
      </c>
      <c r="L70" s="1080">
        <f>'Adjustments - restating'!L70+'Adjustments - Pro Forma'!L70</f>
        <v>0</v>
      </c>
      <c r="M70" s="1080">
        <f>'Adjustments - restating'!M70+'Adjustments - Pro Forma'!M70</f>
        <v>0</v>
      </c>
      <c r="N70" s="1080">
        <f>'Adjustments - restating'!N70+'Adjustments - Pro Forma'!N70</f>
        <v>0</v>
      </c>
      <c r="O70" s="1080">
        <f>'Adjustments - restating'!O70+'Adjustments - Pro Forma'!O70</f>
        <v>0</v>
      </c>
      <c r="P70" s="1080">
        <f>'Adjustments - restating'!P70+'Adjustments - Pro Forma'!P70</f>
        <v>0</v>
      </c>
      <c r="Q70" s="1080">
        <f>'Adjustments - restating'!Q70+'Adjustments - Pro Forma'!Q70</f>
        <v>0</v>
      </c>
      <c r="R70" s="1080">
        <f>'Adjustments - restating'!R70+'Adjustments - Pro Forma'!R70</f>
        <v>0</v>
      </c>
      <c r="S70" s="1080">
        <f>'Adjustments - restating'!S70+'Adjustments - Pro Forma'!S70</f>
        <v>0</v>
      </c>
      <c r="T70" s="1080">
        <f>'Adjustments - restating'!T70+'Adjustments - Pro Forma'!T70</f>
        <v>0</v>
      </c>
      <c r="U70" s="1080">
        <f>'Adjustments - restating'!U70+'Adjustments - Pro Forma'!U70</f>
        <v>0</v>
      </c>
      <c r="V70" s="1080">
        <f>'Adjustments - restating'!V70+'Adjustments - Pro Forma'!V70</f>
        <v>0</v>
      </c>
      <c r="W70" s="1080">
        <f>'Adjustments - restating'!W70+'Adjustments - Pro Forma'!W70</f>
        <v>0</v>
      </c>
      <c r="X70" s="1080">
        <f>'Adjustments - restating'!X70+'Adjustments - Pro Forma'!X70</f>
        <v>0</v>
      </c>
      <c r="Y70" s="1080">
        <f>'Adjustments - restating'!Y70+'Adjustments - Pro Forma'!Y70</f>
        <v>0</v>
      </c>
      <c r="Z70" s="1080">
        <f>'Adjustments - restating'!Z70+'Adjustments - Pro Forma'!Z70</f>
        <v>0</v>
      </c>
      <c r="AA70" s="1080">
        <f>'Adjustments - restating'!AA70+'Adjustments - Pro Forma'!AA70</f>
        <v>0</v>
      </c>
      <c r="AB70" s="1080">
        <f>'Adjustments - restating'!AB70+'Adjustments - Pro Forma'!AB70</f>
        <v>0</v>
      </c>
      <c r="AC70" s="1080">
        <f>'Adjustments - restating'!AC70+'Adjustments - Pro Forma'!AC70</f>
        <v>0</v>
      </c>
      <c r="AD70" s="1080">
        <f>'Adjustments - restating'!AD70+'Adjustments - Pro Forma'!AD70</f>
        <v>0</v>
      </c>
      <c r="AE70" s="1080">
        <f>'Adjustments - restating'!AE70+'Adjustments - Pro Forma'!AE70</f>
        <v>0</v>
      </c>
      <c r="AF70" s="1080">
        <f>'Adjustments - restating'!AF70+'Adjustments - Pro Forma'!AF70</f>
        <v>0</v>
      </c>
      <c r="AG70" s="1080">
        <f>'Adjustments - restating'!AG70+'Adjustments - Pro Forma'!AG70</f>
        <v>0</v>
      </c>
      <c r="AH70" s="1080">
        <f>'Adjustments - restating'!AH70+'Adjustments - Pro Forma'!AH70</f>
        <v>0</v>
      </c>
      <c r="AI70" s="1080">
        <f>'Adjustments - restating'!AI70+'Adjustments - Pro Forma'!AI70</f>
        <v>0</v>
      </c>
      <c r="AJ70" s="1080">
        <f>'Adjustments - restating'!AJ70+'Adjustments - Pro Forma'!AJ70</f>
        <v>0</v>
      </c>
      <c r="AK70" s="1080">
        <f>'Adjustments - restating'!AK70+'Adjustments - Pro Forma'!AK70</f>
        <v>0</v>
      </c>
      <c r="AL70" s="1080">
        <f>'Adjustments - restating'!AL70+'Adjustments - Pro Forma'!AL70</f>
        <v>0</v>
      </c>
      <c r="AM70" s="1080">
        <f>'Adjustments - restating'!AM70+'Adjustments - Pro Forma'!AM70</f>
        <v>0</v>
      </c>
      <c r="AN70" s="1080">
        <f>'Adjustments - restating'!AN70+'Adjustments - Pro Forma'!AN70</f>
        <v>0</v>
      </c>
      <c r="AO70" s="1080">
        <f>'Adjustments - restating'!AO70+'Adjustments - Pro Forma'!AO70</f>
        <v>0</v>
      </c>
      <c r="AP70" s="1080">
        <f>'Adjustments - restating'!AP70+'Adjustments - Pro Forma'!AP70</f>
        <v>0</v>
      </c>
      <c r="AQ70" s="1080">
        <f>'Adjustments - restating'!AQ70+'Adjustments - Pro Forma'!AQ70</f>
        <v>0</v>
      </c>
      <c r="AR70" s="1080">
        <f>'Adjustments - restating'!AR70+'Adjustments - Pro Forma'!AR70</f>
        <v>0</v>
      </c>
      <c r="AS70" s="1080">
        <f>'Adjustments - restating'!AS70+'Adjustments - Pro Forma'!AS70</f>
        <v>0</v>
      </c>
      <c r="AT70" s="1080">
        <f>'Adjustments - restating'!AT70+'Adjustments - Pro Forma'!AT70</f>
        <v>0</v>
      </c>
      <c r="AU70" s="1080">
        <f>'Adjustments - restating'!AU70+'Adjustments - Pro Forma'!AU70</f>
        <v>0</v>
      </c>
      <c r="AV70" s="1080">
        <f>'Adjustments - restating'!AV70+'Adjustments - Pro Forma'!AV70</f>
        <v>0</v>
      </c>
      <c r="AW70" s="1080">
        <f>'Adjustments - restating'!AW70+'Adjustments - Pro Forma'!AW70</f>
        <v>0</v>
      </c>
      <c r="AX70" s="1080">
        <f>'Adjustments - restating'!AX70+'Adjustments - Pro Forma'!AX70</f>
        <v>0</v>
      </c>
      <c r="AY70" s="1080">
        <f>'Adjustments - restating'!AY70+'Adjustments - Pro Forma'!AY70</f>
        <v>0</v>
      </c>
      <c r="AZ70" s="1080">
        <f>'Adjustments - restating'!AZ70+'Adjustments - Pro Forma'!AZ70</f>
        <v>0</v>
      </c>
      <c r="BA70" s="1080">
        <f>'Adjustments - restating'!BA70+'Adjustments - Pro Forma'!BA70</f>
        <v>0</v>
      </c>
      <c r="BB70" s="1080">
        <f>'Adjustments - restating'!BB70+'Adjustments - Pro Forma'!BB70</f>
        <v>0</v>
      </c>
      <c r="BC70" s="1080">
        <f>'Adjustments - restating'!BC70+'Adjustments - Pro Forma'!BC70</f>
        <v>0</v>
      </c>
      <c r="BD70" s="1053"/>
      <c r="CZ70" s="10"/>
    </row>
    <row r="71" spans="1:104">
      <c r="A71" s="6">
        <v>66</v>
      </c>
      <c r="B71" s="20" t="s">
        <v>5</v>
      </c>
      <c r="C71" s="1300">
        <f>SUM(D71:BC71)</f>
        <v>792978.30765230954</v>
      </c>
      <c r="D71" s="1080">
        <f>'Adjustments - restating'!D71+'Adjustments - Pro Forma'!D71</f>
        <v>0</v>
      </c>
      <c r="E71" s="1080">
        <f>'Adjustments - restating'!E71+'Adjustments - Pro Forma'!E71</f>
        <v>0</v>
      </c>
      <c r="F71" s="1080">
        <f>'Adjustments - restating'!F71+'Adjustments - Pro Forma'!F71</f>
        <v>0</v>
      </c>
      <c r="G71" s="1080">
        <f>'Adjustments - restating'!G71+'Adjustments - Pro Forma'!G71</f>
        <v>0</v>
      </c>
      <c r="H71" s="1080">
        <f>'Adjustments - restating'!H71+'Adjustments - Pro Forma'!H71</f>
        <v>0</v>
      </c>
      <c r="I71" s="1080">
        <f>'Adjustments - restating'!I71+'Adjustments - Pro Forma'!I71</f>
        <v>0</v>
      </c>
      <c r="J71" s="1080">
        <f>'Adjustments - restating'!J71+'Adjustments - Pro Forma'!J71</f>
        <v>0</v>
      </c>
      <c r="K71" s="1080">
        <f>'Adjustments - restating'!K71+'Adjustments - Pro Forma'!K71</f>
        <v>0</v>
      </c>
      <c r="L71" s="1080">
        <f>'Adjustments - restating'!L71+'Adjustments - Pro Forma'!L71</f>
        <v>0</v>
      </c>
      <c r="M71" s="1080">
        <f>'Adjustments - restating'!M71+'Adjustments - Pro Forma'!M71</f>
        <v>0</v>
      </c>
      <c r="N71" s="1080">
        <f>'Adjustments - restating'!N71+'Adjustments - Pro Forma'!N71</f>
        <v>0</v>
      </c>
      <c r="O71" s="1080">
        <f>'Adjustments - restating'!O71+'Adjustments - Pro Forma'!O71</f>
        <v>0</v>
      </c>
      <c r="P71" s="1080">
        <f>'Adjustments - restating'!P71+'Adjustments - Pro Forma'!P71</f>
        <v>0</v>
      </c>
      <c r="Q71" s="1080">
        <f>'Adjustments - restating'!Q71+'Adjustments - Pro Forma'!Q71</f>
        <v>0</v>
      </c>
      <c r="R71" s="1080">
        <f>'Adjustments - restating'!R71+'Adjustments - Pro Forma'!R71</f>
        <v>0</v>
      </c>
      <c r="S71" s="1080">
        <f>'Adjustments - restating'!S71+'Adjustments - Pro Forma'!S71</f>
        <v>0</v>
      </c>
      <c r="T71" s="1080">
        <f>'Adjustments - restating'!T71+'Adjustments - Pro Forma'!T71</f>
        <v>0</v>
      </c>
      <c r="U71" s="1080">
        <f>'Adjustments - restating'!U71+'Adjustments - Pro Forma'!U71</f>
        <v>0</v>
      </c>
      <c r="V71" s="1080">
        <f>'Adjustments - restating'!V71+'Adjustments - Pro Forma'!V71</f>
        <v>0</v>
      </c>
      <c r="W71" s="1080">
        <f>'Adjustments - restating'!W71+'Adjustments - Pro Forma'!W71</f>
        <v>0</v>
      </c>
      <c r="X71" s="1080">
        <f>'Adjustments - restating'!X71+'Adjustments - Pro Forma'!X71</f>
        <v>0</v>
      </c>
      <c r="Y71" s="1080">
        <f>'Adjustments - restating'!Y71+'Adjustments - Pro Forma'!Y71</f>
        <v>0</v>
      </c>
      <c r="Z71" s="1080">
        <f>'Adjustments - restating'!Z71+'Adjustments - Pro Forma'!Z71</f>
        <v>0</v>
      </c>
      <c r="AA71" s="1080">
        <f>'Adjustments - restating'!AA71+'Adjustments - Pro Forma'!AA71</f>
        <v>0</v>
      </c>
      <c r="AB71" s="1080">
        <f>'Adjustments - restating'!AB71+'Adjustments - Pro Forma'!AB71</f>
        <v>0</v>
      </c>
      <c r="AC71" s="1080">
        <f>'Adjustments - restating'!AC71+'Adjustments - Pro Forma'!AC71</f>
        <v>0</v>
      </c>
      <c r="AD71" s="1080">
        <f>'Adjustments - restating'!AD71+'Adjustments - Pro Forma'!AD71</f>
        <v>0</v>
      </c>
      <c r="AE71" s="1080">
        <f>'Adjustments - restating'!AE71+'Adjustments - Pro Forma'!AE71</f>
        <v>0</v>
      </c>
      <c r="AF71" s="1080">
        <f>'Adjustments - restating'!AF71+'Adjustments - Pro Forma'!AF71</f>
        <v>0</v>
      </c>
      <c r="AG71" s="1080">
        <f>'Adjustments - restating'!AG71+'Adjustments - Pro Forma'!AG71</f>
        <v>0</v>
      </c>
      <c r="AH71" s="1080">
        <f>'Adjustments - restating'!AH71+'Adjustments - Pro Forma'!AH71</f>
        <v>792978.30765230954</v>
      </c>
      <c r="AI71" s="1080">
        <f>'Adjustments - restating'!AI71+'Adjustments - Pro Forma'!AI71</f>
        <v>0</v>
      </c>
      <c r="AJ71" s="1080">
        <f>'Adjustments - restating'!AJ71+'Adjustments - Pro Forma'!AJ71</f>
        <v>0</v>
      </c>
      <c r="AK71" s="1080">
        <f>'Adjustments - restating'!AK71+'Adjustments - Pro Forma'!AK71</f>
        <v>0</v>
      </c>
      <c r="AL71" s="1080">
        <f>'Adjustments - restating'!AL71+'Adjustments - Pro Forma'!AL71</f>
        <v>0</v>
      </c>
      <c r="AM71" s="1080">
        <f>'Adjustments - restating'!AM71+'Adjustments - Pro Forma'!AM71</f>
        <v>0</v>
      </c>
      <c r="AN71" s="1080">
        <f>'Adjustments - restating'!AN71+'Adjustments - Pro Forma'!AN71</f>
        <v>0</v>
      </c>
      <c r="AO71" s="1080">
        <f>'Adjustments - restating'!AO71+'Adjustments - Pro Forma'!AO71</f>
        <v>0</v>
      </c>
      <c r="AP71" s="1080">
        <f>'Adjustments - restating'!AP71+'Adjustments - Pro Forma'!AP71</f>
        <v>0</v>
      </c>
      <c r="AQ71" s="1080">
        <f>'Adjustments - restating'!AQ71+'Adjustments - Pro Forma'!AQ71</f>
        <v>0</v>
      </c>
      <c r="AR71" s="1080">
        <f>'Adjustments - restating'!AR71+'Adjustments - Pro Forma'!AR71</f>
        <v>0</v>
      </c>
      <c r="AS71" s="1080">
        <f>'Adjustments - restating'!AS71+'Adjustments - Pro Forma'!AS71</f>
        <v>0</v>
      </c>
      <c r="AT71" s="1080">
        <f>'Adjustments - restating'!AT71+'Adjustments - Pro Forma'!AT71</f>
        <v>0</v>
      </c>
      <c r="AU71" s="1080">
        <f>'Adjustments - restating'!AU71+'Adjustments - Pro Forma'!AU71</f>
        <v>0</v>
      </c>
      <c r="AV71" s="1080">
        <f>'Adjustments - restating'!AV71+'Adjustments - Pro Forma'!AV71</f>
        <v>0</v>
      </c>
      <c r="AW71" s="1080">
        <f>'Adjustments - restating'!AW71+'Adjustments - Pro Forma'!AW71</f>
        <v>0</v>
      </c>
      <c r="AX71" s="1080">
        <f>'Adjustments - restating'!AX71+'Adjustments - Pro Forma'!AX71</f>
        <v>0</v>
      </c>
      <c r="AY71" s="1080">
        <f>'Adjustments - restating'!AY71+'Adjustments - Pro Forma'!AY71</f>
        <v>0</v>
      </c>
      <c r="AZ71" s="1080">
        <f>'Adjustments - restating'!AZ71+'Adjustments - Pro Forma'!AZ71</f>
        <v>0</v>
      </c>
      <c r="BA71" s="1080">
        <f>'Adjustments - restating'!BA71+'Adjustments - Pro Forma'!BA71</f>
        <v>0</v>
      </c>
      <c r="BB71" s="1080">
        <f>'Adjustments - restating'!BB71+'Adjustments - Pro Forma'!BB71</f>
        <v>0</v>
      </c>
      <c r="BC71" s="1080">
        <f>'Adjustments - restating'!BC71+'Adjustments - Pro Forma'!BC71</f>
        <v>0</v>
      </c>
      <c r="BD71" s="1053"/>
      <c r="CZ71" s="10"/>
    </row>
    <row r="72" spans="1:104">
      <c r="A72" s="6">
        <v>67</v>
      </c>
      <c r="B72" s="20" t="s">
        <v>393</v>
      </c>
      <c r="C72" s="1300">
        <f>SUM(D72:BC72)</f>
        <v>1856536.2044931846</v>
      </c>
      <c r="D72" s="1080">
        <f>'Adjustments - restating'!D72+'Adjustments - Pro Forma'!D72</f>
        <v>0</v>
      </c>
      <c r="E72" s="1080">
        <f>'Adjustments - restating'!E72+'Adjustments - Pro Forma'!E72</f>
        <v>0</v>
      </c>
      <c r="F72" s="1080">
        <f>'Adjustments - restating'!F72+'Adjustments - Pro Forma'!F72</f>
        <v>0</v>
      </c>
      <c r="G72" s="1080">
        <f>'Adjustments - restating'!G72+'Adjustments - Pro Forma'!G72</f>
        <v>58.417828750555501</v>
      </c>
      <c r="H72" s="1080">
        <f>'Adjustments - restating'!H72+'Adjustments - Pro Forma'!H72</f>
        <v>0</v>
      </c>
      <c r="I72" s="1080">
        <f>'Adjustments - restating'!I72+'Adjustments - Pro Forma'!I72</f>
        <v>0</v>
      </c>
      <c r="J72" s="1080">
        <f>'Adjustments - restating'!J72+'Adjustments - Pro Forma'!J72</f>
        <v>0</v>
      </c>
      <c r="K72" s="1080">
        <f>'Adjustments - restating'!K72+'Adjustments - Pro Forma'!K72</f>
        <v>0</v>
      </c>
      <c r="L72" s="1080">
        <f>'Adjustments - restating'!L72+'Adjustments - Pro Forma'!L72</f>
        <v>0</v>
      </c>
      <c r="M72" s="1080">
        <f>'Adjustments - restating'!M72+'Adjustments - Pro Forma'!M72</f>
        <v>0</v>
      </c>
      <c r="N72" s="1080">
        <f>'Adjustments - restating'!N72+'Adjustments - Pro Forma'!N72</f>
        <v>0</v>
      </c>
      <c r="O72" s="1080">
        <f>'Adjustments - restating'!O72+'Adjustments - Pro Forma'!O72</f>
        <v>0</v>
      </c>
      <c r="P72" s="1080">
        <f>'Adjustments - restating'!P72+'Adjustments - Pro Forma'!P72</f>
        <v>0</v>
      </c>
      <c r="Q72" s="1080">
        <f>'Adjustments - restating'!Q72+'Adjustments - Pro Forma'!Q72</f>
        <v>0</v>
      </c>
      <c r="R72" s="1080">
        <f>'Adjustments - restating'!R72+'Adjustments - Pro Forma'!R72</f>
        <v>47838.41379794394</v>
      </c>
      <c r="S72" s="1080">
        <f>'Adjustments - restating'!S72+'Adjustments - Pro Forma'!S72</f>
        <v>0</v>
      </c>
      <c r="T72" s="1080">
        <f>'Adjustments - restating'!T72+'Adjustments - Pro Forma'!T72</f>
        <v>0</v>
      </c>
      <c r="U72" s="1080">
        <f>'Adjustments - restating'!U72+'Adjustments - Pro Forma'!U72</f>
        <v>0</v>
      </c>
      <c r="V72" s="1080">
        <f>'Adjustments - restating'!V72+'Adjustments - Pro Forma'!V72</f>
        <v>0</v>
      </c>
      <c r="W72" s="1080">
        <f>'Adjustments - restating'!W72+'Adjustments - Pro Forma'!W72</f>
        <v>0</v>
      </c>
      <c r="X72" s="1080">
        <f>'Adjustments - restating'!X72+'Adjustments - Pro Forma'!X72</f>
        <v>0</v>
      </c>
      <c r="Y72" s="1080">
        <f>'Adjustments - restating'!Y72+'Adjustments - Pro Forma'!Y72</f>
        <v>0</v>
      </c>
      <c r="Z72" s="1080">
        <f>'Adjustments - restating'!Z72+'Adjustments - Pro Forma'!Z72</f>
        <v>0</v>
      </c>
      <c r="AA72" s="1080">
        <f>'Adjustments - restating'!AA72+'Adjustments - Pro Forma'!AA72</f>
        <v>0</v>
      </c>
      <c r="AB72" s="1080">
        <f>'Adjustments - restating'!AB72+'Adjustments - Pro Forma'!AB72</f>
        <v>0</v>
      </c>
      <c r="AC72" s="1080">
        <f>'Adjustments - restating'!AC72+'Adjustments - Pro Forma'!AC72</f>
        <v>-52188</v>
      </c>
      <c r="AD72" s="1080">
        <f>'Adjustments - restating'!AD72+'Adjustments - Pro Forma'!AD72</f>
        <v>0</v>
      </c>
      <c r="AE72" s="1080">
        <f>'Adjustments - restating'!AE72+'Adjustments - Pro Forma'!AE72</f>
        <v>0</v>
      </c>
      <c r="AF72" s="1080">
        <f>'Adjustments - restating'!AF72+'Adjustments - Pro Forma'!AF72</f>
        <v>2013215.9657142849</v>
      </c>
      <c r="AG72" s="1080">
        <f>'Adjustments - restating'!AG72+'Adjustments - Pro Forma'!AG72</f>
        <v>-378814.10350758285</v>
      </c>
      <c r="AH72" s="1080">
        <f>'Adjustments - restating'!AH72+'Adjustments - Pro Forma'!AH72</f>
        <v>0</v>
      </c>
      <c r="AI72" s="1080">
        <f>'Adjustments - restating'!AI72+'Adjustments - Pro Forma'!AI72</f>
        <v>0</v>
      </c>
      <c r="AJ72" s="1080">
        <f>'Adjustments - restating'!AJ72+'Adjustments - Pro Forma'!AJ72</f>
        <v>0</v>
      </c>
      <c r="AK72" s="1080">
        <f>'Adjustments - restating'!AK72+'Adjustments - Pro Forma'!AK72</f>
        <v>0</v>
      </c>
      <c r="AL72" s="1080">
        <f>'Adjustments - restating'!AL72+'Adjustments - Pro Forma'!AL72</f>
        <v>0</v>
      </c>
      <c r="AM72" s="1080">
        <f>'Adjustments - restating'!AM72+'Adjustments - Pro Forma'!AM72</f>
        <v>0</v>
      </c>
      <c r="AN72" s="1080">
        <f>'Adjustments - restating'!AN72+'Adjustments - Pro Forma'!AN72</f>
        <v>0</v>
      </c>
      <c r="AO72" s="1080">
        <f>'Adjustments - restating'!AO72+'Adjustments - Pro Forma'!AO72</f>
        <v>0</v>
      </c>
      <c r="AP72" s="1080">
        <f>'Adjustments - restating'!AP72+'Adjustments - Pro Forma'!AP72</f>
        <v>-28035.211745422421</v>
      </c>
      <c r="AQ72" s="1080">
        <f>'Adjustments - restating'!AQ72+'Adjustments - Pro Forma'!AQ72</f>
        <v>-294575.05943405337</v>
      </c>
      <c r="AR72" s="1080">
        <f>'Adjustments - restating'!AR72+'Adjustments - Pro Forma'!AR72</f>
        <v>0</v>
      </c>
      <c r="AS72" s="1080">
        <f>'Adjustments - restating'!AS72+'Adjustments - Pro Forma'!AS72</f>
        <v>744845.36788250029</v>
      </c>
      <c r="AT72" s="1080">
        <f>'Adjustments - restating'!AT72+'Adjustments - Pro Forma'!AT72</f>
        <v>0</v>
      </c>
      <c r="AU72" s="1080">
        <f>'Adjustments - restating'!AU72+'Adjustments - Pro Forma'!AU72</f>
        <v>-201567.2407369685</v>
      </c>
      <c r="AV72" s="1080">
        <f>'Adjustments - restating'!AV72+'Adjustments - Pro Forma'!AV72</f>
        <v>0</v>
      </c>
      <c r="AW72" s="1080">
        <f>'Adjustments - restating'!AW72+'Adjustments - Pro Forma'!AW72</f>
        <v>0</v>
      </c>
      <c r="AX72" s="1080">
        <f>'Adjustments - restating'!AX72+'Adjustments - Pro Forma'!AX72</f>
        <v>0</v>
      </c>
      <c r="AY72" s="1080">
        <f>'Adjustments - restating'!AY72+'Adjustments - Pro Forma'!AY72</f>
        <v>0</v>
      </c>
      <c r="AZ72" s="1080">
        <f>'Adjustments - restating'!AZ72+'Adjustments - Pro Forma'!AZ72</f>
        <v>0</v>
      </c>
      <c r="BA72" s="1080">
        <f>'Adjustments - restating'!BA72+'Adjustments - Pro Forma'!BA72</f>
        <v>0</v>
      </c>
      <c r="BB72" s="1080">
        <f>'Adjustments - restating'!BB72+'Adjustments - Pro Forma'!BB72</f>
        <v>0</v>
      </c>
      <c r="BC72" s="1080">
        <f>'Adjustments - restating'!BC72+'Adjustments - Pro Forma'!BC72</f>
        <v>5757.6546937317507</v>
      </c>
      <c r="BD72" s="1053"/>
      <c r="CZ72" s="10"/>
    </row>
    <row r="73" spans="1:104">
      <c r="A73" s="6">
        <v>68</v>
      </c>
      <c r="B73" s="20" t="s">
        <v>394</v>
      </c>
      <c r="C73" s="1301">
        <f>SUM(D73:BC73)</f>
        <v>7259554.7301759906</v>
      </c>
      <c r="D73" s="1080">
        <f>'Adjustments - restating'!D73+'Adjustments - Pro Forma'!D73</f>
        <v>0</v>
      </c>
      <c r="E73" s="1080">
        <f>'Adjustments - restating'!E73+'Adjustments - Pro Forma'!E73</f>
        <v>0</v>
      </c>
      <c r="F73" s="1080">
        <f>'Adjustments - restating'!F73+'Adjustments - Pro Forma'!F73</f>
        <v>0</v>
      </c>
      <c r="G73" s="1080">
        <f>'Adjustments - restating'!G73+'Adjustments - Pro Forma'!G73</f>
        <v>778051.99910408224</v>
      </c>
      <c r="H73" s="1080">
        <f>'Adjustments - restating'!H73+'Adjustments - Pro Forma'!H73</f>
        <v>0</v>
      </c>
      <c r="I73" s="1080">
        <f>'Adjustments - restating'!I73+'Adjustments - Pro Forma'!I73</f>
        <v>0</v>
      </c>
      <c r="J73" s="1080">
        <f>'Adjustments - restating'!J73+'Adjustments - Pro Forma'!J73</f>
        <v>0</v>
      </c>
      <c r="K73" s="1080">
        <f>'Adjustments - restating'!K73+'Adjustments - Pro Forma'!K73</f>
        <v>0</v>
      </c>
      <c r="L73" s="1080">
        <f>'Adjustments - restating'!L73+'Adjustments - Pro Forma'!L73</f>
        <v>0</v>
      </c>
      <c r="M73" s="1080">
        <f>'Adjustments - restating'!M73+'Adjustments - Pro Forma'!M73</f>
        <v>0</v>
      </c>
      <c r="N73" s="1080">
        <f>'Adjustments - restating'!N73+'Adjustments - Pro Forma'!N73</f>
        <v>0</v>
      </c>
      <c r="O73" s="1080">
        <f>'Adjustments - restating'!O73+'Adjustments - Pro Forma'!O73</f>
        <v>0</v>
      </c>
      <c r="P73" s="1080">
        <f>'Adjustments - restating'!P73+'Adjustments - Pro Forma'!P73</f>
        <v>0</v>
      </c>
      <c r="Q73" s="1080">
        <f>'Adjustments - restating'!Q73+'Adjustments - Pro Forma'!Q73</f>
        <v>0</v>
      </c>
      <c r="R73" s="1080">
        <f>'Adjustments - restating'!R73+'Adjustments - Pro Forma'!R73</f>
        <v>0</v>
      </c>
      <c r="S73" s="1080">
        <f>'Adjustments - restating'!S73+'Adjustments - Pro Forma'!S73</f>
        <v>1255521.1132177606</v>
      </c>
      <c r="T73" s="1080">
        <f>'Adjustments - restating'!T73+'Adjustments - Pro Forma'!T73</f>
        <v>0</v>
      </c>
      <c r="U73" s="1080">
        <f>'Adjustments - restating'!U73+'Adjustments - Pro Forma'!U73</f>
        <v>0</v>
      </c>
      <c r="V73" s="1080">
        <f>'Adjustments - restating'!V73+'Adjustments - Pro Forma'!V73</f>
        <v>0</v>
      </c>
      <c r="W73" s="1080">
        <f>'Adjustments - restating'!W73+'Adjustments - Pro Forma'!W73</f>
        <v>0</v>
      </c>
      <c r="X73" s="1080">
        <f>'Adjustments - restating'!X73+'Adjustments - Pro Forma'!X73</f>
        <v>0</v>
      </c>
      <c r="Y73" s="1080">
        <f>'Adjustments - restating'!Y73+'Adjustments - Pro Forma'!Y73</f>
        <v>0</v>
      </c>
      <c r="Z73" s="1080">
        <f>'Adjustments - restating'!Z73+'Adjustments - Pro Forma'!Z73</f>
        <v>0</v>
      </c>
      <c r="AA73" s="1080">
        <f>'Adjustments - restating'!AA73+'Adjustments - Pro Forma'!AA73</f>
        <v>0</v>
      </c>
      <c r="AB73" s="1080">
        <f>'Adjustments - restating'!AB73+'Adjustments - Pro Forma'!AB73</f>
        <v>0</v>
      </c>
      <c r="AC73" s="1080">
        <f>'Adjustments - restating'!AC73+'Adjustments - Pro Forma'!AC73</f>
        <v>298029.30754214432</v>
      </c>
      <c r="AD73" s="1080">
        <f>'Adjustments - restating'!AD73+'Adjustments - Pro Forma'!AD73</f>
        <v>128121.11534020312</v>
      </c>
      <c r="AE73" s="1080">
        <f>'Adjustments - restating'!AE73+'Adjustments - Pro Forma'!AE73</f>
        <v>0</v>
      </c>
      <c r="AF73" s="1080">
        <f>'Adjustments - restating'!AF73+'Adjustments - Pro Forma'!AF73</f>
        <v>0</v>
      </c>
      <c r="AG73" s="1080">
        <f>'Adjustments - restating'!AG73+'Adjustments - Pro Forma'!AG73</f>
        <v>0</v>
      </c>
      <c r="AH73" s="1080">
        <f>'Adjustments - restating'!AH73+'Adjustments - Pro Forma'!AH73</f>
        <v>0</v>
      </c>
      <c r="AI73" s="1080">
        <f>'Adjustments - restating'!AI73+'Adjustments - Pro Forma'!AI73</f>
        <v>0</v>
      </c>
      <c r="AJ73" s="1080">
        <f>'Adjustments - restating'!AJ73+'Adjustments - Pro Forma'!AJ73</f>
        <v>0</v>
      </c>
      <c r="AK73" s="1080">
        <f>'Adjustments - restating'!AK73+'Adjustments - Pro Forma'!AK73</f>
        <v>0</v>
      </c>
      <c r="AL73" s="1080">
        <f>'Adjustments - restating'!AL73+'Adjustments - Pro Forma'!AL73</f>
        <v>0</v>
      </c>
      <c r="AM73" s="1080">
        <f>'Adjustments - restating'!AM73+'Adjustments - Pro Forma'!AM73</f>
        <v>0</v>
      </c>
      <c r="AN73" s="1080">
        <f>'Adjustments - restating'!AN73+'Adjustments - Pro Forma'!AN73</f>
        <v>0</v>
      </c>
      <c r="AO73" s="1080">
        <f>'Adjustments - restating'!AO73+'Adjustments - Pro Forma'!AO73</f>
        <v>0</v>
      </c>
      <c r="AP73" s="1080">
        <f>'Adjustments - restating'!AP73+'Adjustments - Pro Forma'!AP73</f>
        <v>-424076.846086126</v>
      </c>
      <c r="AQ73" s="1080">
        <f>'Adjustments - restating'!AQ73+'Adjustments - Pro Forma'!AQ73</f>
        <v>-321354.16943471832</v>
      </c>
      <c r="AR73" s="1080">
        <f>'Adjustments - restating'!AR73+'Adjustments - Pro Forma'!AR73</f>
        <v>0</v>
      </c>
      <c r="AS73" s="1080">
        <f>'Adjustments - restating'!AS73+'Adjustments - Pro Forma'!AS73</f>
        <v>5805451.2495891629</v>
      </c>
      <c r="AT73" s="1080">
        <f>'Adjustments - restating'!AT73+'Adjustments - Pro Forma'!AT73</f>
        <v>0</v>
      </c>
      <c r="AU73" s="1080">
        <f>'Adjustments - restating'!AU73+'Adjustments - Pro Forma'!AU73</f>
        <v>-38021.730055842912</v>
      </c>
      <c r="AV73" s="1080">
        <f>'Adjustments - restating'!AV73+'Adjustments - Pro Forma'!AV73</f>
        <v>17990.552800000001</v>
      </c>
      <c r="AW73" s="1080">
        <f>'Adjustments - restating'!AW73+'Adjustments - Pro Forma'!AW73</f>
        <v>-285034</v>
      </c>
      <c r="AX73" s="1080">
        <f>'Adjustments - restating'!AX73+'Adjustments - Pro Forma'!AX73</f>
        <v>0</v>
      </c>
      <c r="AY73" s="1080">
        <f>'Adjustments - restating'!AY73+'Adjustments - Pro Forma'!AY73</f>
        <v>0</v>
      </c>
      <c r="AZ73" s="1080">
        <f>'Adjustments - restating'!AZ73+'Adjustments - Pro Forma'!AZ73</f>
        <v>0</v>
      </c>
      <c r="BA73" s="1080">
        <f>'Adjustments - restating'!BA73+'Adjustments - Pro Forma'!BA73</f>
        <v>0</v>
      </c>
      <c r="BB73" s="1080">
        <f>'Adjustments - restating'!BB73+'Adjustments - Pro Forma'!BB73</f>
        <v>0</v>
      </c>
      <c r="BC73" s="1080">
        <f>'Adjustments - restating'!BC73+'Adjustments - Pro Forma'!BC73</f>
        <v>44876.138159324073</v>
      </c>
      <c r="BD73" s="1053"/>
      <c r="CZ73" s="10"/>
    </row>
    <row r="74" spans="1:104">
      <c r="A74" s="6">
        <v>69</v>
      </c>
      <c r="B74" s="20"/>
      <c r="C74" s="1300"/>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9">
        <f>C68-C70-C71+C72-C73</f>
        <v>13723423.341055553</v>
      </c>
      <c r="D75" s="1299">
        <f>D68-D70-D71+D72-D73</f>
        <v>-5692761.2699999996</v>
      </c>
      <c r="E75" s="1299">
        <f t="shared" ref="E75:BC75" si="14">E68-E70-E71+E72-E73</f>
        <v>-7427584.4312790008</v>
      </c>
      <c r="F75" s="1299">
        <f t="shared" si="14"/>
        <v>17025824.820802085</v>
      </c>
      <c r="G75" s="1299">
        <f t="shared" si="14"/>
        <v>-1944.6228786786087</v>
      </c>
      <c r="H75" s="1299">
        <f t="shared" si="14"/>
        <v>-2253339.1310724937</v>
      </c>
      <c r="I75" s="1299">
        <f t="shared" si="14"/>
        <v>347224</v>
      </c>
      <c r="J75" s="1299">
        <f t="shared" si="14"/>
        <v>41325.822449383042</v>
      </c>
      <c r="K75" s="1299">
        <f t="shared" si="14"/>
        <v>0</v>
      </c>
      <c r="L75" s="1299">
        <f t="shared" si="14"/>
        <v>25888.581406835918</v>
      </c>
      <c r="M75" s="1299">
        <f t="shared" si="14"/>
        <v>22113.998075557345</v>
      </c>
      <c r="N75" s="1299">
        <f t="shared" si="14"/>
        <v>47588.981132557921</v>
      </c>
      <c r="O75" s="1299">
        <f t="shared" si="14"/>
        <v>-1233812.5366109316</v>
      </c>
      <c r="P75" s="1299">
        <f t="shared" si="14"/>
        <v>5340.7537227038374</v>
      </c>
      <c r="Q75" s="1299">
        <f t="shared" si="14"/>
        <v>-155436.59276701676</v>
      </c>
      <c r="R75" s="1299">
        <f t="shared" si="14"/>
        <v>10725427.003797945</v>
      </c>
      <c r="S75" s="1299">
        <f t="shared" si="14"/>
        <v>752839.34834186058</v>
      </c>
      <c r="T75" s="1299">
        <f t="shared" si="14"/>
        <v>401.94661826917422</v>
      </c>
      <c r="U75" s="1299">
        <f t="shared" si="14"/>
        <v>-1496.5274180481501</v>
      </c>
      <c r="V75" s="1299">
        <f t="shared" si="14"/>
        <v>-422425.00651124539</v>
      </c>
      <c r="W75" s="1299">
        <f t="shared" si="14"/>
        <v>-215352.2102726177</v>
      </c>
      <c r="X75" s="1299">
        <f t="shared" si="14"/>
        <v>0</v>
      </c>
      <c r="Y75" s="1299">
        <f t="shared" si="14"/>
        <v>0</v>
      </c>
      <c r="Z75" s="1299">
        <f t="shared" si="14"/>
        <v>11514719.674666643</v>
      </c>
      <c r="AA75" s="1299">
        <f t="shared" si="14"/>
        <v>908320.56677233428</v>
      </c>
      <c r="AB75" s="1299">
        <f t="shared" si="14"/>
        <v>679898.4167838149</v>
      </c>
      <c r="AC75" s="1299">
        <f t="shared" si="14"/>
        <v>118902.0262606421</v>
      </c>
      <c r="AD75" s="1299">
        <f t="shared" si="14"/>
        <v>-128121.11534020312</v>
      </c>
      <c r="AE75" s="1299">
        <f t="shared" si="14"/>
        <v>0</v>
      </c>
      <c r="AF75" s="1299">
        <f t="shared" si="14"/>
        <v>2.3283064365386963E-10</v>
      </c>
      <c r="AG75" s="1299">
        <f t="shared" si="14"/>
        <v>-246656.52365868317</v>
      </c>
      <c r="AH75" s="1299">
        <f t="shared" si="14"/>
        <v>-792978.30765230954</v>
      </c>
      <c r="AI75" s="1299">
        <f t="shared" si="14"/>
        <v>0</v>
      </c>
      <c r="AJ75" s="1299">
        <f t="shared" si="14"/>
        <v>0</v>
      </c>
      <c r="AK75" s="1299">
        <f t="shared" si="14"/>
        <v>0</v>
      </c>
      <c r="AL75" s="1299">
        <f t="shared" si="14"/>
        <v>0</v>
      </c>
      <c r="AM75" s="1299">
        <f t="shared" si="14"/>
        <v>0</v>
      </c>
      <c r="AN75" s="1299">
        <f t="shared" si="14"/>
        <v>0</v>
      </c>
      <c r="AO75" s="1299">
        <f t="shared" si="14"/>
        <v>807244.49001859501</v>
      </c>
      <c r="AP75" s="1299">
        <f t="shared" si="14"/>
        <v>396041.6343407036</v>
      </c>
      <c r="AQ75" s="1299">
        <f t="shared" si="14"/>
        <v>-141986.76530199265</v>
      </c>
      <c r="AR75" s="1299">
        <f t="shared" si="14"/>
        <v>0</v>
      </c>
      <c r="AS75" s="1299">
        <f t="shared" si="14"/>
        <v>-5805451.2495891629</v>
      </c>
      <c r="AT75" s="1299">
        <f t="shared" si="14"/>
        <v>0</v>
      </c>
      <c r="AU75" s="1299">
        <f t="shared" si="14"/>
        <v>-245907.2699441571</v>
      </c>
      <c r="AV75" s="1299">
        <f t="shared" si="14"/>
        <v>0</v>
      </c>
      <c r="AW75" s="1299">
        <f t="shared" si="14"/>
        <v>285034</v>
      </c>
      <c r="AX75" s="1299">
        <f t="shared" si="14"/>
        <v>-4169.3672727272733</v>
      </c>
      <c r="AY75" s="1299">
        <f t="shared" si="14"/>
        <v>-4530186</v>
      </c>
      <c r="AZ75" s="1299">
        <f t="shared" si="14"/>
        <v>364557.79765522532</v>
      </c>
      <c r="BA75" s="1299">
        <f t="shared" si="14"/>
        <v>0</v>
      </c>
      <c r="BB75" s="1299">
        <f t="shared" si="14"/>
        <v>0</v>
      </c>
      <c r="BC75" s="1299">
        <f t="shared" si="14"/>
        <v>-1045661.5942203273</v>
      </c>
      <c r="BD75" s="1096"/>
      <c r="CZ75" s="10"/>
    </row>
    <row r="76" spans="1:104">
      <c r="A76" s="6">
        <v>71</v>
      </c>
      <c r="B76" s="20" t="s">
        <v>67</v>
      </c>
      <c r="C76" s="1300">
        <f>SUM(D76:BC76)</f>
        <v>0</v>
      </c>
      <c r="D76" s="1085">
        <f>D75*$E$65</f>
        <v>0</v>
      </c>
      <c r="E76" s="1085">
        <f t="shared" ref="E76:BC76" si="15">E75*$E$65</f>
        <v>0</v>
      </c>
      <c r="F76" s="1085">
        <f t="shared" si="15"/>
        <v>0</v>
      </c>
      <c r="G76" s="1085">
        <f t="shared" si="15"/>
        <v>0</v>
      </c>
      <c r="H76" s="1085">
        <f t="shared" si="15"/>
        <v>0</v>
      </c>
      <c r="I76" s="1085">
        <f t="shared" si="15"/>
        <v>0</v>
      </c>
      <c r="J76" s="1085">
        <f t="shared" si="15"/>
        <v>0</v>
      </c>
      <c r="K76" s="1085">
        <f t="shared" si="15"/>
        <v>0</v>
      </c>
      <c r="L76" s="1085">
        <f t="shared" si="15"/>
        <v>0</v>
      </c>
      <c r="M76" s="1085">
        <f t="shared" si="15"/>
        <v>0</v>
      </c>
      <c r="N76" s="1085">
        <f t="shared" si="15"/>
        <v>0</v>
      </c>
      <c r="O76" s="1085">
        <f t="shared" si="15"/>
        <v>0</v>
      </c>
      <c r="P76" s="1085">
        <f t="shared" si="15"/>
        <v>0</v>
      </c>
      <c r="Q76" s="1085">
        <f t="shared" si="15"/>
        <v>0</v>
      </c>
      <c r="R76" s="1085">
        <f t="shared" si="15"/>
        <v>0</v>
      </c>
      <c r="S76" s="1085">
        <f t="shared" si="15"/>
        <v>0</v>
      </c>
      <c r="T76" s="1085">
        <f t="shared" si="15"/>
        <v>0</v>
      </c>
      <c r="U76" s="1085">
        <f t="shared" si="15"/>
        <v>0</v>
      </c>
      <c r="V76" s="1085">
        <f t="shared" si="15"/>
        <v>0</v>
      </c>
      <c r="W76" s="1085">
        <f t="shared" si="15"/>
        <v>0</v>
      </c>
      <c r="X76" s="1085">
        <f t="shared" si="15"/>
        <v>0</v>
      </c>
      <c r="Y76" s="1085">
        <f t="shared" si="15"/>
        <v>0</v>
      </c>
      <c r="Z76" s="1085">
        <f t="shared" si="15"/>
        <v>0</v>
      </c>
      <c r="AA76" s="1085">
        <f t="shared" si="15"/>
        <v>0</v>
      </c>
      <c r="AB76" s="1085">
        <f t="shared" si="15"/>
        <v>0</v>
      </c>
      <c r="AC76" s="1085">
        <f t="shared" si="15"/>
        <v>0</v>
      </c>
      <c r="AD76" s="1085">
        <f t="shared" si="15"/>
        <v>0</v>
      </c>
      <c r="AE76" s="1085">
        <f t="shared" si="15"/>
        <v>0</v>
      </c>
      <c r="AF76" s="1085">
        <f t="shared" si="15"/>
        <v>0</v>
      </c>
      <c r="AG76" s="1085">
        <f t="shared" si="15"/>
        <v>0</v>
      </c>
      <c r="AH76" s="1085">
        <f t="shared" si="15"/>
        <v>0</v>
      </c>
      <c r="AI76" s="1085">
        <f t="shared" si="15"/>
        <v>0</v>
      </c>
      <c r="AJ76" s="1085">
        <f t="shared" si="15"/>
        <v>0</v>
      </c>
      <c r="AK76" s="1085">
        <f t="shared" si="15"/>
        <v>0</v>
      </c>
      <c r="AL76" s="1085">
        <f t="shared" si="15"/>
        <v>0</v>
      </c>
      <c r="AM76" s="1085">
        <f t="shared" si="15"/>
        <v>0</v>
      </c>
      <c r="AN76" s="1085">
        <f t="shared" si="15"/>
        <v>0</v>
      </c>
      <c r="AO76" s="1085">
        <f t="shared" si="15"/>
        <v>0</v>
      </c>
      <c r="AP76" s="1085">
        <f t="shared" si="15"/>
        <v>0</v>
      </c>
      <c r="AQ76" s="1085">
        <f t="shared" si="15"/>
        <v>0</v>
      </c>
      <c r="AR76" s="1085">
        <f t="shared" si="15"/>
        <v>0</v>
      </c>
      <c r="AS76" s="1085">
        <f t="shared" si="15"/>
        <v>0</v>
      </c>
      <c r="AT76" s="1085">
        <f t="shared" si="15"/>
        <v>0</v>
      </c>
      <c r="AU76" s="1085">
        <f t="shared" si="15"/>
        <v>0</v>
      </c>
      <c r="AV76" s="1085">
        <f t="shared" si="15"/>
        <v>0</v>
      </c>
      <c r="AW76" s="1085">
        <f t="shared" si="15"/>
        <v>0</v>
      </c>
      <c r="AX76" s="1085">
        <f t="shared" si="15"/>
        <v>0</v>
      </c>
      <c r="AY76" s="1085">
        <f t="shared" si="15"/>
        <v>0</v>
      </c>
      <c r="AZ76" s="1085">
        <f t="shared" si="15"/>
        <v>0</v>
      </c>
      <c r="BA76" s="1085">
        <f t="shared" si="15"/>
        <v>0</v>
      </c>
      <c r="BB76" s="1085">
        <f t="shared" si="15"/>
        <v>0</v>
      </c>
      <c r="BC76" s="1085">
        <f t="shared" si="15"/>
        <v>0</v>
      </c>
      <c r="BD76" s="1053"/>
      <c r="CZ76" s="10"/>
    </row>
    <row r="77" spans="1:104">
      <c r="A77" s="6">
        <v>72</v>
      </c>
      <c r="B77" s="20" t="s">
        <v>68</v>
      </c>
      <c r="C77" s="1088">
        <f>C75-C76</f>
        <v>13723423.341055553</v>
      </c>
      <c r="D77" s="1082">
        <f>D75-D76</f>
        <v>-5692761.2699999996</v>
      </c>
      <c r="E77" s="1082">
        <f t="shared" ref="E77:BC77" si="16">E75-E76</f>
        <v>-7427584.4312790008</v>
      </c>
      <c r="F77" s="1082">
        <f t="shared" si="16"/>
        <v>17025824.820802085</v>
      </c>
      <c r="G77" s="1082">
        <f t="shared" si="16"/>
        <v>-1944.6228786786087</v>
      </c>
      <c r="H77" s="1082">
        <f t="shared" si="16"/>
        <v>-2253339.1310724937</v>
      </c>
      <c r="I77" s="1082">
        <f t="shared" si="16"/>
        <v>347224</v>
      </c>
      <c r="J77" s="1082">
        <f t="shared" si="16"/>
        <v>41325.822449383042</v>
      </c>
      <c r="K77" s="1082">
        <f t="shared" si="16"/>
        <v>0</v>
      </c>
      <c r="L77" s="1082">
        <f t="shared" si="16"/>
        <v>25888.581406835918</v>
      </c>
      <c r="M77" s="1082">
        <f t="shared" si="16"/>
        <v>22113.998075557345</v>
      </c>
      <c r="N77" s="1082">
        <f t="shared" si="16"/>
        <v>47588.981132557921</v>
      </c>
      <c r="O77" s="1082">
        <f t="shared" si="16"/>
        <v>-1233812.5366109316</v>
      </c>
      <c r="P77" s="1082">
        <f t="shared" si="16"/>
        <v>5340.7537227038374</v>
      </c>
      <c r="Q77" s="1082">
        <f t="shared" si="16"/>
        <v>-155436.59276701676</v>
      </c>
      <c r="R77" s="1082">
        <f t="shared" si="16"/>
        <v>10725427.003797945</v>
      </c>
      <c r="S77" s="1082">
        <f t="shared" si="16"/>
        <v>752839.34834186058</v>
      </c>
      <c r="T77" s="1082">
        <f t="shared" si="16"/>
        <v>401.94661826917422</v>
      </c>
      <c r="U77" s="1082">
        <f t="shared" si="16"/>
        <v>-1496.5274180481501</v>
      </c>
      <c r="V77" s="1082">
        <f t="shared" si="16"/>
        <v>-422425.00651124539</v>
      </c>
      <c r="W77" s="1082">
        <f t="shared" si="16"/>
        <v>-215352.2102726177</v>
      </c>
      <c r="X77" s="1082">
        <f t="shared" si="16"/>
        <v>0</v>
      </c>
      <c r="Y77" s="1082">
        <f t="shared" si="16"/>
        <v>0</v>
      </c>
      <c r="Z77" s="1082">
        <f t="shared" si="16"/>
        <v>11514719.674666643</v>
      </c>
      <c r="AA77" s="1082">
        <f t="shared" si="16"/>
        <v>908320.56677233428</v>
      </c>
      <c r="AB77" s="1082">
        <f t="shared" si="16"/>
        <v>679898.4167838149</v>
      </c>
      <c r="AC77" s="1082">
        <f t="shared" si="16"/>
        <v>118902.0262606421</v>
      </c>
      <c r="AD77" s="1082">
        <f t="shared" si="16"/>
        <v>-128121.11534020312</v>
      </c>
      <c r="AE77" s="1082">
        <f t="shared" si="16"/>
        <v>0</v>
      </c>
      <c r="AF77" s="1082">
        <f t="shared" si="16"/>
        <v>2.3283064365386963E-10</v>
      </c>
      <c r="AG77" s="1082">
        <f t="shared" si="16"/>
        <v>-246656.52365868317</v>
      </c>
      <c r="AH77" s="1082">
        <f t="shared" si="16"/>
        <v>-792978.30765230954</v>
      </c>
      <c r="AI77" s="1082">
        <f t="shared" si="16"/>
        <v>0</v>
      </c>
      <c r="AJ77" s="1082">
        <f t="shared" si="16"/>
        <v>0</v>
      </c>
      <c r="AK77" s="1082">
        <f t="shared" si="16"/>
        <v>0</v>
      </c>
      <c r="AL77" s="1082">
        <f t="shared" si="16"/>
        <v>0</v>
      </c>
      <c r="AM77" s="1082">
        <f t="shared" si="16"/>
        <v>0</v>
      </c>
      <c r="AN77" s="1082">
        <f t="shared" si="16"/>
        <v>0</v>
      </c>
      <c r="AO77" s="1082">
        <f t="shared" si="16"/>
        <v>807244.49001859501</v>
      </c>
      <c r="AP77" s="1082">
        <f t="shared" si="16"/>
        <v>396041.6343407036</v>
      </c>
      <c r="AQ77" s="1082">
        <f t="shared" si="16"/>
        <v>-141986.76530199265</v>
      </c>
      <c r="AR77" s="1082">
        <f t="shared" si="16"/>
        <v>0</v>
      </c>
      <c r="AS77" s="1082">
        <f t="shared" si="16"/>
        <v>-5805451.2495891629</v>
      </c>
      <c r="AT77" s="1082">
        <f t="shared" si="16"/>
        <v>0</v>
      </c>
      <c r="AU77" s="1082">
        <f t="shared" si="16"/>
        <v>-245907.2699441571</v>
      </c>
      <c r="AV77" s="1082">
        <f t="shared" si="16"/>
        <v>0</v>
      </c>
      <c r="AW77" s="1082">
        <f t="shared" si="16"/>
        <v>285034</v>
      </c>
      <c r="AX77" s="1082">
        <f t="shared" si="16"/>
        <v>-4169.3672727272733</v>
      </c>
      <c r="AY77" s="1082">
        <f t="shared" si="16"/>
        <v>-4530186</v>
      </c>
      <c r="AZ77" s="1082">
        <f t="shared" si="16"/>
        <v>364557.79765522532</v>
      </c>
      <c r="BA77" s="1082">
        <f t="shared" si="16"/>
        <v>0</v>
      </c>
      <c r="BB77" s="1082">
        <f t="shared" si="16"/>
        <v>0</v>
      </c>
      <c r="BC77" s="1082">
        <f t="shared" si="16"/>
        <v>-1045661.5942203273</v>
      </c>
      <c r="BD77" s="1053"/>
      <c r="CZ77" s="10"/>
    </row>
    <row r="78" spans="1:104">
      <c r="A78" s="6">
        <v>73</v>
      </c>
      <c r="B78" s="20" t="s">
        <v>480</v>
      </c>
      <c r="C78" s="1088">
        <f>ROUND(C77*'Conversion factor'!$D$27,0)</f>
        <v>4803198</v>
      </c>
      <c r="D78" s="1088">
        <f>ROUND(D77*'Conversion factor'!$D$27,0)</f>
        <v>-1992466</v>
      </c>
      <c r="E78" s="1088">
        <f>ROUND(E77*'Conversion factor'!$D$27,0)</f>
        <v>-2599655</v>
      </c>
      <c r="F78" s="1088">
        <f>ROUND(F77*'Conversion factor'!$D$27,0)</f>
        <v>5959039</v>
      </c>
      <c r="G78" s="1088">
        <f>ROUND(G77*'Conversion factor'!$D$27,0)</f>
        <v>-681</v>
      </c>
      <c r="H78" s="1088">
        <f>ROUND(H77*'Conversion factor'!$D$27,0)</f>
        <v>-788669</v>
      </c>
      <c r="I78" s="1088">
        <f>ROUND(I77*'Conversion factor'!$D$27,0)</f>
        <v>121528</v>
      </c>
      <c r="J78" s="1088">
        <f>ROUND(J77*'Conversion factor'!$D$27,0)</f>
        <v>14464</v>
      </c>
      <c r="K78" s="1088">
        <f>ROUND(K77*'Conversion factor'!$D$27,0)</f>
        <v>0</v>
      </c>
      <c r="L78" s="1088">
        <f>ROUND(L77*'Conversion factor'!$D$27,0)</f>
        <v>9061</v>
      </c>
      <c r="M78" s="1088">
        <f>ROUND(M77*'Conversion factor'!$D$27,0)</f>
        <v>7740</v>
      </c>
      <c r="N78" s="1088">
        <f>ROUND(N77*'Conversion factor'!$D$27,0)</f>
        <v>16656</v>
      </c>
      <c r="O78" s="1088">
        <f>ROUND(O77*'Conversion factor'!$D$27,0)</f>
        <v>-431834</v>
      </c>
      <c r="P78" s="1088">
        <f>ROUND(P77*'Conversion factor'!$D$27,0)</f>
        <v>1869</v>
      </c>
      <c r="Q78" s="1088">
        <f>ROUND(Q77*'Conversion factor'!$D$27,0)</f>
        <v>-54403</v>
      </c>
      <c r="R78" s="1088">
        <f>ROUND(R77*'Conversion factor'!$D$27,0)</f>
        <v>3753899</v>
      </c>
      <c r="S78" s="1088">
        <f>ROUND(S77*'Conversion factor'!$D$27,0)</f>
        <v>263494</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317912</v>
      </c>
      <c r="AB78" s="1088">
        <f>ROUND(AB77*'Conversion factor'!$D$27,0)</f>
        <v>237964</v>
      </c>
      <c r="AC78" s="1088">
        <f>ROUND(AC77*'Conversion factor'!$D$27,0)</f>
        <v>41616</v>
      </c>
      <c r="AD78" s="1088">
        <f>ROUND(AD77*'Conversion factor'!$D$27,0)</f>
        <v>-44842</v>
      </c>
      <c r="AE78" s="1088">
        <f>ROUND(AE77*'Conversion factor'!$D$27,0)</f>
        <v>0</v>
      </c>
      <c r="AF78" s="1088">
        <f>ROUND(AF77*'Conversion factor'!$D$27,0)</f>
        <v>0</v>
      </c>
      <c r="AG78" s="1088">
        <f>ROUND(AG77*'Conversion factor'!$D$27,0)</f>
        <v>-86330</v>
      </c>
      <c r="AH78" s="1088">
        <f>ROUND(AH77*'Conversion factor'!$D$27,0)</f>
        <v>-277542</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282536</v>
      </c>
      <c r="AP78" s="1088">
        <f>ROUND(AP77*'Conversion factor'!$D$27,0)</f>
        <v>138615</v>
      </c>
      <c r="AQ78" s="1088">
        <f>ROUND(AQ77*'Conversion factor'!$D$27,0)</f>
        <v>-49695</v>
      </c>
      <c r="AR78" s="1088">
        <f>ROUND(AR77*'Conversion factor'!$D$27,0)</f>
        <v>0</v>
      </c>
      <c r="AS78" s="1088">
        <f>ROUND(AS77*'Conversion factor'!$D$27,0)</f>
        <v>-2031908</v>
      </c>
      <c r="AT78" s="1088">
        <f>ROUND(AT77*'Conversion factor'!$D$27,0)</f>
        <v>0</v>
      </c>
      <c r="AU78" s="1088">
        <f>ROUND(AU77*'Conversion factor'!$D$27,0)</f>
        <v>-86068</v>
      </c>
      <c r="AV78" s="1088">
        <f>ROUND(AV77*'Conversion factor'!$D$27,0)</f>
        <v>0</v>
      </c>
      <c r="AW78" s="1088">
        <f>ROUND(AW77*'Conversion factor'!$D$27,0)</f>
        <v>99762</v>
      </c>
      <c r="AX78" s="1088">
        <f>ROUND(AX77*'Conversion factor'!$D$27,0)</f>
        <v>-1459</v>
      </c>
      <c r="AY78" s="1088">
        <f>ROUND(AY77*'Conversion factor'!$D$27,0)</f>
        <v>-1585565</v>
      </c>
      <c r="AZ78" s="1088">
        <f>ROUND(AZ77*'Conversion factor'!$D$27,0)</f>
        <v>127595</v>
      </c>
      <c r="BA78" s="1088">
        <f>ROUND(BA77*'Conversion factor'!$D$27,0)</f>
        <v>0</v>
      </c>
      <c r="BB78" s="1088">
        <f>ROUND(BB77*'Conversion factor'!$D$27,0)</f>
        <v>0</v>
      </c>
      <c r="BC78" s="1088">
        <f>ROUND(BC77*'Conversion factor'!$D$27,0)</f>
        <v>-365982</v>
      </c>
      <c r="BD78" s="1053"/>
      <c r="CZ78" s="10"/>
    </row>
    <row r="79" spans="1:104">
      <c r="A79" s="6">
        <v>74</v>
      </c>
      <c r="B79" s="20" t="s">
        <v>424</v>
      </c>
      <c r="C79" s="1300">
        <f>SUM(D79:BC79)</f>
        <v>-667033.44483830314</v>
      </c>
      <c r="D79" s="1080">
        <f>'Adjustments - restating'!D79+'Adjustments - Pro Forma'!D79</f>
        <v>0</v>
      </c>
      <c r="E79" s="1080">
        <f>'Adjustments - restating'!E79+'Adjustments - Pro Forma'!E79</f>
        <v>0</v>
      </c>
      <c r="F79" s="1080">
        <f>'Adjustments - restating'!F79+'Adjustments - Pro Forma'!F79</f>
        <v>0</v>
      </c>
      <c r="G79" s="1080">
        <f>'Adjustments - restating'!G79+'Adjustments - Pro Forma'!G79</f>
        <v>0</v>
      </c>
      <c r="H79" s="1080">
        <f>'Adjustments - restating'!H79+'Adjustments - Pro Forma'!H79</f>
        <v>0</v>
      </c>
      <c r="I79" s="1080">
        <f>'Adjustments - restating'!I79+'Adjustments - Pro Forma'!I79</f>
        <v>0</v>
      </c>
      <c r="J79" s="1080">
        <f>'Adjustments - restating'!J79+'Adjustments - Pro Forma'!J79</f>
        <v>0</v>
      </c>
      <c r="K79" s="1080">
        <f>'Adjustments - restating'!K79+'Adjustments - Pro Forma'!K79</f>
        <v>0</v>
      </c>
      <c r="L79" s="1080">
        <f>'Adjustments - restating'!L79+'Adjustments - Pro Forma'!L79</f>
        <v>0</v>
      </c>
      <c r="M79" s="1080">
        <f>'Adjustments - restating'!M79+'Adjustments - Pro Forma'!M79</f>
        <v>0</v>
      </c>
      <c r="N79" s="1080">
        <f>'Adjustments - restating'!N79+'Adjustments - Pro Forma'!N79</f>
        <v>0</v>
      </c>
      <c r="O79" s="1080">
        <f>'Adjustments - restating'!O79+'Adjustments - Pro Forma'!O79</f>
        <v>0</v>
      </c>
      <c r="P79" s="1080">
        <f>'Adjustments - restating'!P79+'Adjustments - Pro Forma'!P79</f>
        <v>0</v>
      </c>
      <c r="Q79" s="1080">
        <f>'Adjustments - restating'!Q79+'Adjustments - Pro Forma'!Q79</f>
        <v>0</v>
      </c>
      <c r="R79" s="1080">
        <f>'Adjustments - restating'!R79+'Adjustments - Pro Forma'!R79</f>
        <v>0</v>
      </c>
      <c r="S79" s="1080">
        <f>'Adjustments - restating'!S79+'Adjustments - Pro Forma'!S79</f>
        <v>0</v>
      </c>
      <c r="T79" s="1080">
        <f>'Adjustments - restating'!T79+'Adjustments - Pro Forma'!T79</f>
        <v>0</v>
      </c>
      <c r="U79" s="1080">
        <f>'Adjustments - restating'!U79+'Adjustments - Pro Forma'!U79</f>
        <v>0</v>
      </c>
      <c r="V79" s="1080">
        <f>'Adjustments - restating'!V79+'Adjustments - Pro Forma'!V79</f>
        <v>0</v>
      </c>
      <c r="W79" s="1080">
        <f>'Adjustments - restating'!W79+'Adjustments - Pro Forma'!W79</f>
        <v>0</v>
      </c>
      <c r="X79" s="1080">
        <f>'Adjustments - restating'!X79+'Adjustments - Pro Forma'!X79</f>
        <v>0</v>
      </c>
      <c r="Y79" s="1080">
        <f>'Adjustments - restating'!Y79+'Adjustments - Pro Forma'!Y79</f>
        <v>0</v>
      </c>
      <c r="Z79" s="1080">
        <f>'Adjustments - restating'!Z79+'Adjustments - Pro Forma'!Z79</f>
        <v>0</v>
      </c>
      <c r="AA79" s="1080">
        <f>'Adjustments - restating'!AA79+'Adjustments - Pro Forma'!AA79</f>
        <v>0</v>
      </c>
      <c r="AB79" s="1080">
        <f>'Adjustments - restating'!AB79+'Adjustments - Pro Forma'!AB79</f>
        <v>0</v>
      </c>
      <c r="AC79" s="1080">
        <f>'Adjustments - restating'!AC79+'Adjustments - Pro Forma'!AC79</f>
        <v>0</v>
      </c>
      <c r="AD79" s="1080">
        <f>'Adjustments - restating'!AD79+'Adjustments - Pro Forma'!AD79</f>
        <v>0</v>
      </c>
      <c r="AE79" s="1080">
        <f>'Adjustments - restating'!AE79+'Adjustments - Pro Forma'!AE79</f>
        <v>0</v>
      </c>
      <c r="AF79" s="1080">
        <f>'Adjustments - restating'!AF79+'Adjustments - Pro Forma'!AF79</f>
        <v>0</v>
      </c>
      <c r="AG79" s="1080">
        <f>'Adjustments - restating'!AG79+'Adjustments - Pro Forma'!AG79</f>
        <v>0</v>
      </c>
      <c r="AH79" s="1080">
        <f>'Adjustments - restating'!AH79+'Adjustments - Pro Forma'!AH79</f>
        <v>0</v>
      </c>
      <c r="AI79" s="1080">
        <f>'Adjustments - restating'!AI79+'Adjustments - Pro Forma'!AI79</f>
        <v>0</v>
      </c>
      <c r="AJ79" s="1080">
        <f>'Adjustments - restating'!AJ79+'Adjustments - Pro Forma'!AJ79</f>
        <v>-661916.82775972039</v>
      </c>
      <c r="AK79" s="1080">
        <f>'Adjustments - restating'!AK79+'Adjustments - Pro Forma'!AK79</f>
        <v>0</v>
      </c>
      <c r="AL79" s="1080">
        <f>'Adjustments - restating'!AL79+'Adjustments - Pro Forma'!AL79</f>
        <v>0</v>
      </c>
      <c r="AM79" s="1080">
        <f>'Adjustments - restating'!AM79+'Adjustments - Pro Forma'!AM79</f>
        <v>0</v>
      </c>
      <c r="AN79" s="1080">
        <f>'Adjustments - restating'!AN79+'Adjustments - Pro Forma'!AN79</f>
        <v>0</v>
      </c>
      <c r="AO79" s="1080">
        <f>'Adjustments - restating'!AO79+'Adjustments - Pro Forma'!AO79</f>
        <v>0</v>
      </c>
      <c r="AP79" s="1080">
        <f>'Adjustments - restating'!AP79+'Adjustments - Pro Forma'!AP79</f>
        <v>0</v>
      </c>
      <c r="AQ79" s="1080">
        <f>'Adjustments - restating'!AQ79+'Adjustments - Pro Forma'!AQ79</f>
        <v>0</v>
      </c>
      <c r="AR79" s="1080">
        <f>'Adjustments - restating'!AR79+'Adjustments - Pro Forma'!AR79</f>
        <v>0</v>
      </c>
      <c r="AS79" s="1080">
        <f>'Adjustments - restating'!AS79+'Adjustments - Pro Forma'!AS79</f>
        <v>0</v>
      </c>
      <c r="AT79" s="1080">
        <f>'Adjustments - restating'!AT79+'Adjustments - Pro Forma'!AT79</f>
        <v>0</v>
      </c>
      <c r="AU79" s="1080">
        <f>'Adjustments - restating'!AU79+'Adjustments - Pro Forma'!AU79</f>
        <v>0</v>
      </c>
      <c r="AV79" s="1080">
        <f>'Adjustments - restating'!AV79+'Adjustments - Pro Forma'!AV79</f>
        <v>0</v>
      </c>
      <c r="AW79" s="1080">
        <f>'Adjustments - restating'!AW79+'Adjustments - Pro Forma'!AW79</f>
        <v>0</v>
      </c>
      <c r="AX79" s="1080">
        <f>'Adjustments - restating'!AX79+'Adjustments - Pro Forma'!AX79</f>
        <v>0</v>
      </c>
      <c r="AY79" s="1080">
        <f>'Adjustments - restating'!AY79+'Adjustments - Pro Forma'!AY79</f>
        <v>0</v>
      </c>
      <c r="AZ79" s="1080">
        <f>'Adjustments - restating'!AZ79+'Adjustments - Pro Forma'!AZ79</f>
        <v>0</v>
      </c>
      <c r="BA79" s="1080">
        <f>'Adjustments - restating'!BA79+'Adjustments - Pro Forma'!BA79</f>
        <v>0</v>
      </c>
      <c r="BB79" s="1080">
        <f>'Adjustments - restating'!BB79+'Adjustments - Pro Forma'!BB79</f>
        <v>0</v>
      </c>
      <c r="BC79" s="1080">
        <f>'Adjustments - restating'!BC79+'Adjustments - Pro Forma'!BC79</f>
        <v>-5116.6170785827562</v>
      </c>
      <c r="BD79" s="1053"/>
      <c r="CZ79" s="10"/>
    </row>
    <row r="80" spans="1:104" ht="13.5" thickBot="1">
      <c r="A80" s="1236">
        <v>75</v>
      </c>
      <c r="B80" s="1098" t="s">
        <v>69</v>
      </c>
      <c r="C80" s="1292">
        <f>SUM(D80:BC80)</f>
        <v>4136164.5551616969</v>
      </c>
      <c r="D80" s="1292">
        <f>SUM(D78:D79)</f>
        <v>-1992466</v>
      </c>
      <c r="E80" s="1292">
        <f t="shared" ref="E80:BC80" si="17">SUM(E78:E79)</f>
        <v>-2599655</v>
      </c>
      <c r="F80" s="1292">
        <f t="shared" si="17"/>
        <v>5959039</v>
      </c>
      <c r="G80" s="1292">
        <f t="shared" si="17"/>
        <v>-681</v>
      </c>
      <c r="H80" s="1292">
        <f t="shared" si="17"/>
        <v>-788669</v>
      </c>
      <c r="I80" s="1292">
        <f t="shared" si="17"/>
        <v>121528</v>
      </c>
      <c r="J80" s="1292">
        <f t="shared" si="17"/>
        <v>14464</v>
      </c>
      <c r="K80" s="1292">
        <f t="shared" si="17"/>
        <v>0</v>
      </c>
      <c r="L80" s="1292">
        <f t="shared" si="17"/>
        <v>9061</v>
      </c>
      <c r="M80" s="1292">
        <f t="shared" si="17"/>
        <v>7740</v>
      </c>
      <c r="N80" s="1292">
        <f t="shared" si="17"/>
        <v>16656</v>
      </c>
      <c r="O80" s="1292">
        <f t="shared" si="17"/>
        <v>-431834</v>
      </c>
      <c r="P80" s="1292">
        <f t="shared" si="17"/>
        <v>1869</v>
      </c>
      <c r="Q80" s="1292">
        <f t="shared" si="17"/>
        <v>-54403</v>
      </c>
      <c r="R80" s="1292">
        <f t="shared" si="17"/>
        <v>3753899</v>
      </c>
      <c r="S80" s="1292">
        <f t="shared" si="17"/>
        <v>263494</v>
      </c>
      <c r="T80" s="1292">
        <f t="shared" si="17"/>
        <v>141</v>
      </c>
      <c r="U80" s="1292">
        <f t="shared" si="17"/>
        <v>-524</v>
      </c>
      <c r="V80" s="1292">
        <f t="shared" si="17"/>
        <v>-147849</v>
      </c>
      <c r="W80" s="1292">
        <f t="shared" si="17"/>
        <v>-75373</v>
      </c>
      <c r="X80" s="1292">
        <f t="shared" si="17"/>
        <v>0</v>
      </c>
      <c r="Y80" s="1292">
        <f t="shared" si="17"/>
        <v>0</v>
      </c>
      <c r="Z80" s="1292">
        <f t="shared" si="17"/>
        <v>4030152</v>
      </c>
      <c r="AA80" s="1292">
        <f t="shared" si="17"/>
        <v>317912</v>
      </c>
      <c r="AB80" s="1292">
        <f t="shared" si="17"/>
        <v>237964</v>
      </c>
      <c r="AC80" s="1292">
        <f t="shared" si="17"/>
        <v>41616</v>
      </c>
      <c r="AD80" s="1292">
        <f t="shared" si="17"/>
        <v>-44842</v>
      </c>
      <c r="AE80" s="1292">
        <f t="shared" si="17"/>
        <v>0</v>
      </c>
      <c r="AF80" s="1292">
        <f t="shared" si="17"/>
        <v>0</v>
      </c>
      <c r="AG80" s="1292">
        <f t="shared" si="17"/>
        <v>-86330</v>
      </c>
      <c r="AH80" s="1292">
        <f t="shared" si="17"/>
        <v>-277542</v>
      </c>
      <c r="AI80" s="1292">
        <f t="shared" si="17"/>
        <v>0</v>
      </c>
      <c r="AJ80" s="1292">
        <f t="shared" si="17"/>
        <v>-661916.82775972039</v>
      </c>
      <c r="AK80" s="1292">
        <f t="shared" si="17"/>
        <v>0</v>
      </c>
      <c r="AL80" s="1292">
        <f t="shared" si="17"/>
        <v>0</v>
      </c>
      <c r="AM80" s="1292">
        <f t="shared" si="17"/>
        <v>0</v>
      </c>
      <c r="AN80" s="1292">
        <f t="shared" si="17"/>
        <v>0</v>
      </c>
      <c r="AO80" s="1292">
        <f t="shared" si="17"/>
        <v>282536</v>
      </c>
      <c r="AP80" s="1292">
        <f t="shared" si="17"/>
        <v>138615</v>
      </c>
      <c r="AQ80" s="1292">
        <f t="shared" si="17"/>
        <v>-49695</v>
      </c>
      <c r="AR80" s="1292">
        <f t="shared" si="17"/>
        <v>0</v>
      </c>
      <c r="AS80" s="1292">
        <f t="shared" si="17"/>
        <v>-2031908</v>
      </c>
      <c r="AT80" s="1292">
        <f t="shared" si="17"/>
        <v>0</v>
      </c>
      <c r="AU80" s="1292">
        <f t="shared" si="17"/>
        <v>-86068</v>
      </c>
      <c r="AV80" s="1292">
        <f t="shared" si="17"/>
        <v>0</v>
      </c>
      <c r="AW80" s="1292">
        <f t="shared" si="17"/>
        <v>99762</v>
      </c>
      <c r="AX80" s="1292">
        <f t="shared" si="17"/>
        <v>-1459</v>
      </c>
      <c r="AY80" s="1292">
        <f t="shared" si="17"/>
        <v>-1585565</v>
      </c>
      <c r="AZ80" s="1292">
        <f t="shared" si="17"/>
        <v>127595</v>
      </c>
      <c r="BA80" s="1292">
        <f t="shared" si="17"/>
        <v>0</v>
      </c>
      <c r="BB80" s="1292">
        <f t="shared" si="17"/>
        <v>0</v>
      </c>
      <c r="BC80" s="1292">
        <f t="shared" si="17"/>
        <v>-371098.61707858276</v>
      </c>
      <c r="BD80" s="1053"/>
      <c r="CZ80" s="10"/>
    </row>
    <row r="81" spans="2:44">
      <c r="C81" s="9"/>
      <c r="E81" s="1099"/>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109"/>
      <c r="I89" s="1109"/>
      <c r="J89" s="1109"/>
      <c r="K89" s="1109"/>
      <c r="L89" s="1109"/>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109"/>
      <c r="I90" s="1109"/>
      <c r="J90" s="1109"/>
      <c r="K90" s="1109"/>
      <c r="L90" s="1109"/>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85"/>
  <sheetViews>
    <sheetView workbookViewId="0">
      <selection activeCell="F16" sqref="F16"/>
    </sheetView>
  </sheetViews>
  <sheetFormatPr defaultColWidth="8.85546875" defaultRowHeight="12.75"/>
  <cols>
    <col min="1" max="1" width="21.28515625" style="1" customWidth="1"/>
    <col min="2" max="2" width="9.7109375" style="1" bestFit="1" customWidth="1"/>
    <col min="3" max="3" width="5.42578125" style="1" bestFit="1" customWidth="1"/>
    <col min="4" max="4" width="10.28515625" style="1" bestFit="1" customWidth="1"/>
    <col min="5" max="5" width="8" style="1" bestFit="1" customWidth="1"/>
    <col min="6" max="6" width="10" style="1" bestFit="1" customWidth="1"/>
    <col min="7" max="7" width="13.28515625" style="1" bestFit="1" customWidth="1"/>
    <col min="8" max="12" width="8.85546875" style="1"/>
    <col min="13" max="13" width="11.28515625" style="1" bestFit="1" customWidth="1"/>
    <col min="14" max="16384" width="8.85546875" style="1"/>
  </cols>
  <sheetData>
    <row r="1" spans="1:8">
      <c r="A1" s="17" t="str">
        <f>RevReqSummary!A1</f>
        <v>PacifiCorp General Rate Case UE-140617</v>
      </c>
      <c r="B1" s="450"/>
      <c r="C1" s="450"/>
      <c r="D1" s="449"/>
      <c r="E1" s="450"/>
      <c r="F1" s="451"/>
      <c r="G1" s="451"/>
      <c r="H1" s="1036"/>
    </row>
    <row r="2" spans="1:8">
      <c r="A2" s="17" t="str">
        <f>RevReqSummary!A2</f>
        <v>For The Twelve Months Ended December 2013 - Staff Revenue Requirement</v>
      </c>
      <c r="B2" s="450"/>
      <c r="C2" s="450"/>
      <c r="D2" s="449"/>
      <c r="E2" s="450"/>
      <c r="F2" s="450"/>
      <c r="G2" s="449"/>
      <c r="H2" s="866"/>
    </row>
    <row r="3" spans="1:8">
      <c r="A3" s="452" t="s">
        <v>465</v>
      </c>
      <c r="B3" s="450"/>
      <c r="C3" s="450"/>
      <c r="D3" s="449"/>
      <c r="E3" s="450"/>
      <c r="F3" s="450"/>
      <c r="G3" s="449"/>
      <c r="H3" s="866"/>
    </row>
    <row r="4" spans="1:8">
      <c r="A4" s="452" t="s">
        <v>515</v>
      </c>
      <c r="B4" s="450"/>
      <c r="C4" s="450"/>
      <c r="D4" s="449"/>
      <c r="E4" s="450"/>
      <c r="F4" s="450"/>
      <c r="G4" s="449"/>
      <c r="H4" s="866"/>
    </row>
    <row r="5" spans="1:8">
      <c r="A5" s="449"/>
      <c r="B5" s="450"/>
      <c r="C5" s="450"/>
      <c r="D5" s="449"/>
      <c r="E5" s="450"/>
      <c r="F5" s="450"/>
      <c r="G5" s="449"/>
      <c r="H5" s="866"/>
    </row>
    <row r="6" spans="1:8">
      <c r="A6" s="451"/>
      <c r="B6" s="23"/>
      <c r="C6" s="23"/>
      <c r="D6" s="23" t="s">
        <v>131</v>
      </c>
      <c r="E6" s="23"/>
      <c r="F6" s="23"/>
      <c r="G6" s="23" t="s">
        <v>236</v>
      </c>
      <c r="H6" s="1036"/>
    </row>
    <row r="7" spans="1:8">
      <c r="A7" s="451"/>
      <c r="B7" s="26" t="s">
        <v>132</v>
      </c>
      <c r="C7" s="26" t="s">
        <v>660</v>
      </c>
      <c r="D7" s="26" t="s">
        <v>134</v>
      </c>
      <c r="E7" s="26" t="s">
        <v>135</v>
      </c>
      <c r="F7" s="26" t="s">
        <v>136</v>
      </c>
      <c r="G7" s="26" t="s">
        <v>137</v>
      </c>
      <c r="H7" s="1037"/>
    </row>
    <row r="8" spans="1:8">
      <c r="A8" s="454" t="s">
        <v>466</v>
      </c>
      <c r="B8" s="450"/>
      <c r="C8" s="450"/>
      <c r="D8" s="35"/>
      <c r="E8" s="450"/>
      <c r="F8" s="1039"/>
      <c r="G8" s="68"/>
      <c r="H8" s="1038"/>
    </row>
    <row r="9" spans="1:8">
      <c r="A9" s="455" t="s">
        <v>17</v>
      </c>
      <c r="B9" s="456">
        <v>312</v>
      </c>
      <c r="C9" s="453" t="s">
        <v>398</v>
      </c>
      <c r="D9" s="1332">
        <v>85745.420544100431</v>
      </c>
      <c r="E9" s="70" t="s">
        <v>231</v>
      </c>
      <c r="F9" s="457">
        <f t="shared" ref="F9:F16" si="0">INDEX(WCAAllocations,IFERROR(MATCH(E9,WCAFactors,0),2),IFERROR(MATCH(E9,WCAStates,0),4))</f>
        <v>0.22953887558714423</v>
      </c>
      <c r="G9" s="31">
        <f>D9*F9</f>
        <v>19681.90741843963</v>
      </c>
      <c r="H9" s="1039"/>
    </row>
    <row r="10" spans="1:8">
      <c r="A10" s="455" t="s">
        <v>17</v>
      </c>
      <c r="B10" s="456">
        <v>312</v>
      </c>
      <c r="C10" s="453" t="s">
        <v>398</v>
      </c>
      <c r="D10" s="1332">
        <v>1932.4999999999879</v>
      </c>
      <c r="E10" s="70" t="s">
        <v>203</v>
      </c>
      <c r="F10" s="457">
        <f t="shared" si="0"/>
        <v>0.23084885646883446</v>
      </c>
      <c r="G10" s="31">
        <f t="shared" ref="G10:G16" si="1">D10*F10</f>
        <v>446.1154151260198</v>
      </c>
      <c r="H10" s="1039"/>
    </row>
    <row r="11" spans="1:8">
      <c r="A11" s="455" t="s">
        <v>19</v>
      </c>
      <c r="B11" s="456">
        <v>332</v>
      </c>
      <c r="C11" s="453" t="s">
        <v>398</v>
      </c>
      <c r="D11" s="1332">
        <v>575139.73369399563</v>
      </c>
      <c r="E11" s="70" t="s">
        <v>203</v>
      </c>
      <c r="F11" s="457">
        <f t="shared" si="0"/>
        <v>0.23084885646883446</v>
      </c>
      <c r="G11" s="31">
        <f t="shared" si="1"/>
        <v>132770.34983304888</v>
      </c>
      <c r="H11" s="1039"/>
    </row>
    <row r="12" spans="1:8">
      <c r="A12" s="455" t="s">
        <v>785</v>
      </c>
      <c r="B12" s="456">
        <v>355</v>
      </c>
      <c r="C12" s="453" t="s">
        <v>398</v>
      </c>
      <c r="D12" s="1332">
        <v>25972.71226450006</v>
      </c>
      <c r="E12" s="70" t="s">
        <v>231</v>
      </c>
      <c r="F12" s="457">
        <f t="shared" si="0"/>
        <v>0.22953887558714423</v>
      </c>
      <c r="G12" s="31">
        <f t="shared" si="1"/>
        <v>5961.7471691417741</v>
      </c>
      <c r="H12" s="1039"/>
    </row>
    <row r="13" spans="1:8">
      <c r="A13" s="455" t="s">
        <v>785</v>
      </c>
      <c r="B13" s="456">
        <v>355</v>
      </c>
      <c r="C13" s="453" t="s">
        <v>398</v>
      </c>
      <c r="D13" s="1332">
        <v>151035.31042270159</v>
      </c>
      <c r="E13" s="70" t="s">
        <v>203</v>
      </c>
      <c r="F13" s="457">
        <f t="shared" si="0"/>
        <v>0.23084885646883446</v>
      </c>
      <c r="G13" s="31">
        <f t="shared" si="1"/>
        <v>34866.328697496094</v>
      </c>
      <c r="H13" s="1039"/>
    </row>
    <row r="14" spans="1:8">
      <c r="A14" s="455" t="s">
        <v>786</v>
      </c>
      <c r="B14" s="456">
        <v>364</v>
      </c>
      <c r="C14" s="453" t="s">
        <v>398</v>
      </c>
      <c r="D14" s="1332">
        <v>113885.83490999974</v>
      </c>
      <c r="E14" s="70" t="s">
        <v>141</v>
      </c>
      <c r="F14" s="457">
        <f t="shared" si="0"/>
        <v>1</v>
      </c>
      <c r="G14" s="31">
        <f t="shared" si="1"/>
        <v>113885.83490999974</v>
      </c>
      <c r="H14" s="1039"/>
    </row>
    <row r="15" spans="1:8">
      <c r="A15" s="455" t="s">
        <v>787</v>
      </c>
      <c r="B15" s="456">
        <v>397</v>
      </c>
      <c r="C15" s="453" t="s">
        <v>398</v>
      </c>
      <c r="D15" s="1332">
        <v>34124.479230000325</v>
      </c>
      <c r="E15" s="70" t="s">
        <v>130</v>
      </c>
      <c r="F15" s="457">
        <f t="shared" si="0"/>
        <v>6.8539355270203509E-2</v>
      </c>
      <c r="G15" s="31">
        <f t="shared" si="1"/>
        <v>2338.8698053556727</v>
      </c>
      <c r="H15" s="1039"/>
    </row>
    <row r="16" spans="1:8">
      <c r="A16" s="455" t="s">
        <v>787</v>
      </c>
      <c r="B16" s="456">
        <v>397</v>
      </c>
      <c r="C16" s="453" t="s">
        <v>398</v>
      </c>
      <c r="D16" s="1332">
        <v>10963.310661299985</v>
      </c>
      <c r="E16" s="70" t="s">
        <v>203</v>
      </c>
      <c r="F16" s="457">
        <f t="shared" si="0"/>
        <v>0.23084885646883446</v>
      </c>
      <c r="G16" s="31">
        <f t="shared" si="1"/>
        <v>2530.8677292736829</v>
      </c>
      <c r="H16" s="1039"/>
    </row>
    <row r="17" spans="1:8">
      <c r="A17" s="451"/>
      <c r="B17" s="456"/>
      <c r="C17" s="453"/>
      <c r="D17" s="458">
        <f>SUM(D9:D16)</f>
        <v>998799.30172659783</v>
      </c>
      <c r="E17" s="453"/>
      <c r="F17" s="312"/>
      <c r="G17" s="458">
        <f>SUM(G9:G16)</f>
        <v>312482.0209778815</v>
      </c>
      <c r="H17" s="1039"/>
    </row>
    <row r="18" spans="1:8">
      <c r="A18" s="459" t="s">
        <v>213</v>
      </c>
      <c r="B18" s="456"/>
      <c r="C18" s="453"/>
      <c r="D18" s="35"/>
      <c r="E18" s="453"/>
      <c r="F18" s="460"/>
      <c r="G18" s="262"/>
      <c r="H18" s="1040"/>
    </row>
    <row r="19" spans="1:8">
      <c r="A19" s="451" t="s">
        <v>17</v>
      </c>
      <c r="B19" s="456" t="s">
        <v>178</v>
      </c>
      <c r="C19" s="453" t="s">
        <v>398</v>
      </c>
      <c r="D19" s="1332">
        <v>-2080.3551564269064</v>
      </c>
      <c r="E19" s="70" t="s">
        <v>231</v>
      </c>
      <c r="F19" s="457">
        <f t="shared" ref="F19:F26" si="2">INDEX(WCAAllocations,IFERROR(MATCH(E19,WCAFactors,0),2),IFERROR(MATCH(E19,WCAStates,0),4))</f>
        <v>0.22953887558714423</v>
      </c>
      <c r="G19" s="31">
        <f>D19*F19</f>
        <v>-477.52238342814962</v>
      </c>
      <c r="H19" s="1039"/>
    </row>
    <row r="20" spans="1:8">
      <c r="A20" s="451" t="s">
        <v>19</v>
      </c>
      <c r="B20" s="456" t="s">
        <v>175</v>
      </c>
      <c r="C20" s="453" t="s">
        <v>398</v>
      </c>
      <c r="D20" s="1332">
        <v>-13646.56228065562</v>
      </c>
      <c r="E20" s="70" t="s">
        <v>203</v>
      </c>
      <c r="F20" s="457">
        <f t="shared" si="2"/>
        <v>0.23084885646883446</v>
      </c>
      <c r="G20" s="31">
        <f t="shared" ref="G20:G26" si="3">D20*F20</f>
        <v>-3150.2932972200797</v>
      </c>
      <c r="H20" s="1039"/>
    </row>
    <row r="21" spans="1:8">
      <c r="A21" s="451" t="s">
        <v>788</v>
      </c>
      <c r="B21" s="456" t="s">
        <v>177</v>
      </c>
      <c r="C21" s="453" t="s">
        <v>398</v>
      </c>
      <c r="D21" s="1332">
        <v>0</v>
      </c>
      <c r="E21" s="70" t="s">
        <v>203</v>
      </c>
      <c r="F21" s="457">
        <f t="shared" si="2"/>
        <v>0.23084885646883446</v>
      </c>
      <c r="G21" s="31">
        <f t="shared" si="3"/>
        <v>0</v>
      </c>
      <c r="H21" s="1039"/>
    </row>
    <row r="22" spans="1:8">
      <c r="A22" s="451" t="s">
        <v>785</v>
      </c>
      <c r="B22" s="456" t="s">
        <v>179</v>
      </c>
      <c r="C22" s="453" t="s">
        <v>398</v>
      </c>
      <c r="D22" s="1332">
        <v>-274.13011437872103</v>
      </c>
      <c r="E22" s="70" t="s">
        <v>231</v>
      </c>
      <c r="F22" s="457">
        <f t="shared" si="2"/>
        <v>0.22953887558714423</v>
      </c>
      <c r="G22" s="31">
        <f t="shared" si="3"/>
        <v>-62.923518219066864</v>
      </c>
      <c r="H22" s="1039"/>
    </row>
    <row r="23" spans="1:8">
      <c r="A23" s="451" t="s">
        <v>785</v>
      </c>
      <c r="B23" s="456" t="s">
        <v>179</v>
      </c>
      <c r="C23" s="453" t="s">
        <v>398</v>
      </c>
      <c r="D23" s="1332">
        <v>-1526.4193042783938</v>
      </c>
      <c r="E23" s="70" t="s">
        <v>203</v>
      </c>
      <c r="F23" s="457">
        <f t="shared" si="2"/>
        <v>0.23084885646883446</v>
      </c>
      <c r="G23" s="31">
        <f t="shared" si="3"/>
        <v>-352.37215088462108</v>
      </c>
      <c r="H23" s="1039"/>
    </row>
    <row r="24" spans="1:8">
      <c r="A24" s="451" t="s">
        <v>786</v>
      </c>
      <c r="B24" s="456">
        <v>108360</v>
      </c>
      <c r="C24" s="453" t="s">
        <v>398</v>
      </c>
      <c r="D24" s="1332">
        <v>-1698.0927493628697</v>
      </c>
      <c r="E24" s="70" t="s">
        <v>141</v>
      </c>
      <c r="F24" s="457">
        <f t="shared" si="2"/>
        <v>1</v>
      </c>
      <c r="G24" s="31">
        <f t="shared" si="3"/>
        <v>-1698.0927493628697</v>
      </c>
      <c r="H24" s="1039"/>
    </row>
    <row r="25" spans="1:8">
      <c r="A25" s="451" t="s">
        <v>787</v>
      </c>
      <c r="B25" s="456" t="s">
        <v>174</v>
      </c>
      <c r="C25" s="453" t="s">
        <v>398</v>
      </c>
      <c r="D25" s="1332">
        <v>-2137.7473663664314</v>
      </c>
      <c r="E25" s="70" t="s">
        <v>130</v>
      </c>
      <c r="F25" s="457">
        <f t="shared" si="2"/>
        <v>6.8539355270203509E-2</v>
      </c>
      <c r="G25" s="31">
        <f t="shared" si="3"/>
        <v>-146.51982622133073</v>
      </c>
      <c r="H25" s="1039"/>
    </row>
    <row r="26" spans="1:8">
      <c r="A26" s="451" t="s">
        <v>787</v>
      </c>
      <c r="B26" s="456" t="s">
        <v>174</v>
      </c>
      <c r="C26" s="453" t="s">
        <v>398</v>
      </c>
      <c r="D26" s="1332">
        <v>-126.21118119897353</v>
      </c>
      <c r="E26" s="70" t="s">
        <v>203</v>
      </c>
      <c r="F26" s="457">
        <f t="shared" si="2"/>
        <v>0.23084885646883446</v>
      </c>
      <c r="G26" s="31">
        <f t="shared" si="3"/>
        <v>-29.135706853363899</v>
      </c>
      <c r="H26" s="1039"/>
    </row>
    <row r="27" spans="1:8">
      <c r="A27" s="451"/>
      <c r="B27" s="456"/>
      <c r="C27" s="453"/>
      <c r="D27" s="458">
        <f>SUM(D19:D26)</f>
        <v>-21489.518152667919</v>
      </c>
      <c r="E27" s="453"/>
      <c r="F27" s="460"/>
      <c r="G27" s="458">
        <f>SUM(G19:G26)</f>
        <v>-5916.859632189482</v>
      </c>
      <c r="H27" s="1039"/>
    </row>
    <row r="28" spans="1:8">
      <c r="A28" s="454" t="s">
        <v>467</v>
      </c>
      <c r="B28" s="456"/>
      <c r="C28" s="453"/>
      <c r="D28" s="449"/>
      <c r="E28" s="453"/>
      <c r="F28" s="461"/>
      <c r="G28" s="461"/>
      <c r="H28" s="461"/>
    </row>
    <row r="29" spans="1:8">
      <c r="A29" s="455" t="s">
        <v>17</v>
      </c>
      <c r="B29" s="456" t="s">
        <v>186</v>
      </c>
      <c r="C29" s="453" t="s">
        <v>398</v>
      </c>
      <c r="D29" s="1332">
        <v>2080.3551564269064</v>
      </c>
      <c r="E29" s="70" t="s">
        <v>231</v>
      </c>
      <c r="F29" s="457">
        <f t="shared" ref="F29:F36" si="4">INDEX(WCAAllocations,IFERROR(MATCH(E29,WCAFactors,0),2),IFERROR(MATCH(E29,WCAStates,0),4))</f>
        <v>0.22953887558714423</v>
      </c>
      <c r="G29" s="31">
        <f>D29*F29</f>
        <v>477.52238342814962</v>
      </c>
      <c r="H29" s="1039"/>
    </row>
    <row r="30" spans="1:8">
      <c r="A30" s="455" t="s">
        <v>17</v>
      </c>
      <c r="B30" s="456" t="s">
        <v>186</v>
      </c>
      <c r="C30" s="453" t="s">
        <v>398</v>
      </c>
      <c r="D30" s="1332">
        <v>53.238795805241054</v>
      </c>
      <c r="E30" s="70" t="s">
        <v>203</v>
      </c>
      <c r="F30" s="457">
        <f t="shared" si="4"/>
        <v>0.23084885646883446</v>
      </c>
      <c r="G30" s="31">
        <f t="shared" ref="G30:G36" si="5">D30*F30</f>
        <v>12.290115131417679</v>
      </c>
      <c r="H30" s="1039"/>
    </row>
    <row r="31" spans="1:8">
      <c r="A31" s="455" t="s">
        <v>19</v>
      </c>
      <c r="B31" s="456" t="s">
        <v>184</v>
      </c>
      <c r="C31" s="453" t="s">
        <v>398</v>
      </c>
      <c r="D31" s="1332">
        <v>13013.984249314935</v>
      </c>
      <c r="E31" s="70" t="s">
        <v>203</v>
      </c>
      <c r="F31" s="457">
        <f t="shared" si="4"/>
        <v>0.23084885646883446</v>
      </c>
      <c r="G31" s="31">
        <f t="shared" si="5"/>
        <v>3004.2633820577757</v>
      </c>
      <c r="H31" s="1039"/>
    </row>
    <row r="32" spans="1:8">
      <c r="A32" s="455" t="s">
        <v>785</v>
      </c>
      <c r="B32" s="456" t="s">
        <v>187</v>
      </c>
      <c r="C32" s="453" t="s">
        <v>398</v>
      </c>
      <c r="D32" s="1332">
        <v>274.13011437872103</v>
      </c>
      <c r="E32" s="70" t="s">
        <v>231</v>
      </c>
      <c r="F32" s="457">
        <f t="shared" si="4"/>
        <v>0.22953887558714423</v>
      </c>
      <c r="G32" s="31">
        <f t="shared" si="5"/>
        <v>62.923518219066864</v>
      </c>
      <c r="H32" s="1039"/>
    </row>
    <row r="33" spans="1:14">
      <c r="A33" s="455" t="s">
        <v>785</v>
      </c>
      <c r="B33" s="456" t="s">
        <v>187</v>
      </c>
      <c r="C33" s="453" t="s">
        <v>398</v>
      </c>
      <c r="D33" s="1332">
        <v>1441.4964431566873</v>
      </c>
      <c r="E33" s="70" t="s">
        <v>203</v>
      </c>
      <c r="F33" s="457">
        <f t="shared" si="4"/>
        <v>0.23084885646883446</v>
      </c>
      <c r="G33" s="31">
        <f t="shared" si="5"/>
        <v>332.76780550661351</v>
      </c>
      <c r="H33" s="1039"/>
    </row>
    <row r="34" spans="1:14">
      <c r="A34" s="455" t="s">
        <v>786</v>
      </c>
      <c r="B34" s="456">
        <v>403360</v>
      </c>
      <c r="C34" s="453" t="s">
        <v>398</v>
      </c>
      <c r="D34" s="1332">
        <v>1698.0927493628697</v>
      </c>
      <c r="E34" s="70" t="s">
        <v>141</v>
      </c>
      <c r="F34" s="457">
        <f t="shared" si="4"/>
        <v>1</v>
      </c>
      <c r="G34" s="31">
        <f t="shared" si="5"/>
        <v>1698.0927493628697</v>
      </c>
      <c r="H34" s="1039"/>
    </row>
    <row r="35" spans="1:14">
      <c r="A35" s="455" t="s">
        <v>787</v>
      </c>
      <c r="B35" s="456" t="s">
        <v>183</v>
      </c>
      <c r="C35" s="453" t="s">
        <v>398</v>
      </c>
      <c r="D35" s="1332">
        <v>2052.2374717117591</v>
      </c>
      <c r="E35" s="70" t="s">
        <v>130</v>
      </c>
      <c r="F35" s="457">
        <f t="shared" si="4"/>
        <v>6.8539355270203509E-2</v>
      </c>
      <c r="G35" s="31">
        <f t="shared" si="5"/>
        <v>140.65903317247648</v>
      </c>
      <c r="H35" s="1039"/>
    </row>
    <row r="36" spans="1:14">
      <c r="A36" s="455" t="s">
        <v>787</v>
      </c>
      <c r="B36" s="456" t="s">
        <v>183</v>
      </c>
      <c r="C36" s="453" t="s">
        <v>398</v>
      </c>
      <c r="D36" s="1332">
        <v>126.21118119897353</v>
      </c>
      <c r="E36" s="70" t="s">
        <v>203</v>
      </c>
      <c r="F36" s="457">
        <f t="shared" si="4"/>
        <v>0.23084885646883446</v>
      </c>
      <c r="G36" s="31">
        <f t="shared" si="5"/>
        <v>29.135706853363899</v>
      </c>
      <c r="H36" s="1039"/>
    </row>
    <row r="37" spans="1:14">
      <c r="A37" s="454"/>
      <c r="B37" s="456"/>
      <c r="C37" s="453"/>
      <c r="D37" s="462">
        <f>SUM(D29:D36)</f>
        <v>20739.746161356095</v>
      </c>
      <c r="E37" s="453"/>
      <c r="F37" s="456"/>
      <c r="G37" s="462">
        <f>SUM(G29:G36)</f>
        <v>5757.6546937317326</v>
      </c>
      <c r="H37" s="1039"/>
    </row>
    <row r="38" spans="1:14">
      <c r="A38" s="454"/>
      <c r="B38" s="456"/>
      <c r="C38" s="453"/>
      <c r="D38" s="463"/>
      <c r="E38" s="453"/>
      <c r="F38" s="456"/>
      <c r="G38" s="463"/>
      <c r="H38" s="1039"/>
    </row>
    <row r="39" spans="1:14">
      <c r="A39" s="454" t="s">
        <v>468</v>
      </c>
      <c r="B39" s="456"/>
      <c r="C39" s="453"/>
      <c r="D39" s="262"/>
      <c r="E39" s="453"/>
      <c r="F39" s="312"/>
      <c r="G39" s="242"/>
      <c r="H39" s="1039"/>
      <c r="I39" s="4"/>
      <c r="J39" s="4"/>
      <c r="K39" s="4"/>
      <c r="L39" s="4"/>
      <c r="M39" s="4"/>
      <c r="N39" s="4"/>
    </row>
    <row r="40" spans="1:14">
      <c r="A40" s="464" t="s">
        <v>469</v>
      </c>
      <c r="B40" s="465" t="s">
        <v>347</v>
      </c>
      <c r="C40" s="466" t="s">
        <v>398</v>
      </c>
      <c r="D40" s="1332">
        <v>706976.66066639603</v>
      </c>
      <c r="E40" s="466" t="s">
        <v>203</v>
      </c>
      <c r="F40" s="457">
        <f t="shared" ref="F40:F45" si="6">INDEX(WCAAllocations,IFERROR(MATCH(E40,WCAFactors,0),2),IFERROR(MATCH(E40,WCAStates,0),4))</f>
        <v>0.23084885646883446</v>
      </c>
      <c r="G40" s="242">
        <f t="shared" ref="G40:G45" si="7">D40*F40</f>
        <v>163204.75366499275</v>
      </c>
      <c r="H40" s="1039"/>
      <c r="I40" s="4"/>
      <c r="J40" s="4"/>
      <c r="K40" s="4"/>
      <c r="L40" s="4"/>
      <c r="M40" s="404"/>
      <c r="N40" s="4"/>
    </row>
    <row r="41" spans="1:14">
      <c r="A41" s="464" t="s">
        <v>470</v>
      </c>
      <c r="B41" s="465" t="s">
        <v>349</v>
      </c>
      <c r="C41" s="466" t="s">
        <v>398</v>
      </c>
      <c r="D41" s="1332">
        <v>1745724.2787232623</v>
      </c>
      <c r="E41" s="466" t="s">
        <v>203</v>
      </c>
      <c r="F41" s="457">
        <f t="shared" si="6"/>
        <v>0.23084885646883446</v>
      </c>
      <c r="G41" s="242">
        <f t="shared" si="7"/>
        <v>402998.45345314592</v>
      </c>
      <c r="H41" s="1039"/>
      <c r="I41" s="4"/>
      <c r="J41" s="4"/>
      <c r="K41" s="4"/>
      <c r="L41" s="4"/>
      <c r="M41" s="4"/>
      <c r="N41" s="4"/>
    </row>
    <row r="42" spans="1:14">
      <c r="A42" s="464" t="s">
        <v>470</v>
      </c>
      <c r="B42" s="465" t="s">
        <v>349</v>
      </c>
      <c r="C42" s="466" t="s">
        <v>398</v>
      </c>
      <c r="D42" s="1332">
        <v>115514.44473893158</v>
      </c>
      <c r="E42" s="466" t="s">
        <v>207</v>
      </c>
      <c r="F42" s="457">
        <f t="shared" si="6"/>
        <v>0.22741372946461591</v>
      </c>
      <c r="G42" s="242">
        <f t="shared" si="7"/>
        <v>26269.570685114712</v>
      </c>
      <c r="H42" s="1039"/>
      <c r="I42" s="4"/>
      <c r="J42" s="4"/>
      <c r="K42" s="4"/>
      <c r="L42" s="4"/>
      <c r="M42" s="4"/>
      <c r="N42" s="4"/>
    </row>
    <row r="43" spans="1:14">
      <c r="A43" s="464" t="s">
        <v>471</v>
      </c>
      <c r="B43" s="465" t="s">
        <v>352</v>
      </c>
      <c r="C43" s="466" t="s">
        <v>398</v>
      </c>
      <c r="D43" s="1332">
        <v>851587.5783700035</v>
      </c>
      <c r="E43" s="466" t="s">
        <v>203</v>
      </c>
      <c r="F43" s="457">
        <f t="shared" si="6"/>
        <v>0.23084885646883446</v>
      </c>
      <c r="G43" s="242">
        <f t="shared" si="7"/>
        <v>196588.01864977926</v>
      </c>
      <c r="H43" s="1039"/>
      <c r="I43" s="4"/>
      <c r="J43" s="4"/>
      <c r="K43" s="4"/>
      <c r="L43" s="4"/>
      <c r="M43" s="4"/>
      <c r="N43" s="4"/>
    </row>
    <row r="44" spans="1:14">
      <c r="A44" s="464" t="s">
        <v>472</v>
      </c>
      <c r="B44" s="465" t="s">
        <v>354</v>
      </c>
      <c r="C44" s="466" t="s">
        <v>398</v>
      </c>
      <c r="D44" s="1332">
        <v>1718620.8733233141</v>
      </c>
      <c r="E44" s="466" t="s">
        <v>207</v>
      </c>
      <c r="F44" s="457">
        <f t="shared" si="6"/>
        <v>0.22741372946461591</v>
      </c>
      <c r="G44" s="242">
        <f t="shared" si="7"/>
        <v>390837.98233819008</v>
      </c>
      <c r="H44" s="1039"/>
      <c r="I44" s="4"/>
      <c r="J44" s="9"/>
      <c r="K44" s="4"/>
      <c r="L44" s="4"/>
      <c r="M44" s="4"/>
      <c r="N44" s="4"/>
    </row>
    <row r="45" spans="1:14">
      <c r="A45" s="464" t="s">
        <v>472</v>
      </c>
      <c r="B45" s="465" t="s">
        <v>355</v>
      </c>
      <c r="C45" s="466" t="s">
        <v>398</v>
      </c>
      <c r="D45" s="1332">
        <v>672216.44150040008</v>
      </c>
      <c r="E45" s="466" t="s">
        <v>207</v>
      </c>
      <c r="F45" s="457">
        <f t="shared" si="6"/>
        <v>0.22741372946461591</v>
      </c>
      <c r="G45" s="242">
        <f t="shared" si="7"/>
        <v>152871.24796903878</v>
      </c>
      <c r="H45" s="1039"/>
      <c r="I45" s="4"/>
      <c r="J45" s="9"/>
      <c r="K45" s="4"/>
      <c r="L45" s="4"/>
      <c r="M45" s="4"/>
      <c r="N45" s="4"/>
    </row>
    <row r="46" spans="1:14">
      <c r="A46" s="454"/>
      <c r="B46" s="456"/>
      <c r="C46" s="450"/>
      <c r="D46" s="458">
        <f>-D40+SUM(D41:D45)</f>
        <v>4396686.9559895154</v>
      </c>
      <c r="E46" s="453"/>
      <c r="F46" s="155"/>
      <c r="G46" s="458">
        <f>-G40+SUM(G41:G45)</f>
        <v>1006360.519430276</v>
      </c>
      <c r="H46" s="1039"/>
      <c r="I46" s="4"/>
      <c r="J46" s="4"/>
      <c r="K46" s="4"/>
      <c r="L46" s="4"/>
      <c r="M46" s="4"/>
      <c r="N46" s="4"/>
    </row>
    <row r="47" spans="1:14">
      <c r="A47" s="467"/>
      <c r="B47" s="456"/>
      <c r="C47" s="450"/>
      <c r="D47" s="468"/>
      <c r="E47" s="450"/>
      <c r="F47" s="312"/>
      <c r="G47" s="469"/>
      <c r="H47" s="1039"/>
      <c r="I47" s="4"/>
      <c r="J47" s="4"/>
      <c r="K47" s="4"/>
      <c r="L47" s="4"/>
      <c r="M47" s="4"/>
      <c r="N47" s="4"/>
    </row>
    <row r="48" spans="1:14">
      <c r="A48" s="454" t="s">
        <v>360</v>
      </c>
      <c r="B48" s="465"/>
      <c r="C48" s="465"/>
      <c r="D48" s="471"/>
      <c r="E48" s="465"/>
      <c r="F48" s="472"/>
      <c r="G48" s="471"/>
      <c r="H48" s="473"/>
      <c r="I48" s="4"/>
      <c r="J48" s="4"/>
      <c r="K48" s="4"/>
      <c r="L48" s="4"/>
      <c r="M48" s="4"/>
      <c r="N48" s="4"/>
    </row>
    <row r="49" spans="1:14">
      <c r="A49" s="464" t="s">
        <v>202</v>
      </c>
      <c r="B49" s="465">
        <v>456</v>
      </c>
      <c r="C49" s="466" t="s">
        <v>398</v>
      </c>
      <c r="D49" s="1332">
        <v>22766.47518264164</v>
      </c>
      <c r="E49" s="466" t="s">
        <v>203</v>
      </c>
      <c r="F49" s="457">
        <f>INDEX(WCAAllocations,IFERROR(MATCH(E49,WCAFactors,0),2),IFERROR(MATCH(E49,WCAStates,0),4))</f>
        <v>0.23084885646883446</v>
      </c>
      <c r="G49" s="242">
        <f>D49*F49</f>
        <v>5255.6147617389215</v>
      </c>
      <c r="H49" s="473"/>
      <c r="I49" s="4"/>
      <c r="J49" s="4"/>
      <c r="K49" s="4"/>
      <c r="L49" s="4"/>
      <c r="M49" s="4"/>
      <c r="N49" s="4"/>
    </row>
    <row r="50" spans="1:14">
      <c r="A50" s="474"/>
      <c r="B50" s="465"/>
      <c r="C50" s="465"/>
      <c r="D50" s="471"/>
      <c r="E50" s="465"/>
      <c r="F50" s="472"/>
      <c r="G50" s="471"/>
      <c r="H50" s="473"/>
      <c r="I50" s="4"/>
      <c r="J50" s="4"/>
      <c r="K50" s="4"/>
      <c r="L50" s="4"/>
      <c r="M50" s="4"/>
      <c r="N50" s="4"/>
    </row>
    <row r="51" spans="1:14">
      <c r="A51" s="454" t="s">
        <v>789</v>
      </c>
      <c r="B51" s="465"/>
      <c r="C51" s="465"/>
      <c r="D51" s="471"/>
      <c r="E51" s="465"/>
      <c r="F51" s="472"/>
      <c r="G51" s="471"/>
      <c r="H51" s="473"/>
      <c r="I51" s="4"/>
      <c r="J51" s="4"/>
      <c r="K51" s="4"/>
      <c r="L51" s="4"/>
      <c r="M51" s="4"/>
      <c r="N51" s="4"/>
    </row>
    <row r="52" spans="1:14">
      <c r="A52" s="464" t="s">
        <v>202</v>
      </c>
      <c r="B52" s="465">
        <v>456</v>
      </c>
      <c r="C52" s="466" t="s">
        <v>398</v>
      </c>
      <c r="D52" s="1332">
        <v>1383.7998265192207</v>
      </c>
      <c r="E52" s="466" t="s">
        <v>203</v>
      </c>
      <c r="F52" s="457">
        <f>INDEX(WCAAllocations,IFERROR(MATCH(E52,WCAFactors,0),2),IFERROR(MATCH(E52,WCAStates,0),4))</f>
        <v>0.23084885646883446</v>
      </c>
      <c r="G52" s="242">
        <f>D52*F52</f>
        <v>319.44860753373359</v>
      </c>
      <c r="H52" s="473"/>
      <c r="I52" s="4"/>
      <c r="J52" s="4"/>
      <c r="K52" s="4"/>
      <c r="L52" s="4"/>
      <c r="M52" s="4"/>
      <c r="N52" s="4"/>
    </row>
    <row r="53" spans="1:14">
      <c r="A53" s="474"/>
      <c r="B53" s="465"/>
      <c r="C53" s="465"/>
      <c r="D53" s="471"/>
      <c r="E53" s="465"/>
      <c r="F53" s="472"/>
      <c r="G53" s="471"/>
      <c r="H53" s="473"/>
      <c r="I53" s="4"/>
      <c r="J53" s="4"/>
      <c r="K53" s="4"/>
      <c r="L53" s="4"/>
      <c r="M53" s="4"/>
      <c r="N53" s="4"/>
    </row>
    <row r="54" spans="1:14">
      <c r="A54" s="454" t="s">
        <v>790</v>
      </c>
      <c r="B54" s="465"/>
      <c r="C54" s="470"/>
      <c r="D54" s="471"/>
      <c r="E54" s="465"/>
      <c r="F54" s="472"/>
      <c r="G54" s="471"/>
      <c r="H54" s="473"/>
      <c r="I54" s="4"/>
      <c r="J54" s="4"/>
      <c r="K54" s="4"/>
      <c r="L54" s="4"/>
      <c r="M54" s="4"/>
      <c r="N54" s="4"/>
    </row>
    <row r="55" spans="1:14">
      <c r="A55" s="464" t="s">
        <v>791</v>
      </c>
      <c r="B55" s="465">
        <v>40910</v>
      </c>
      <c r="C55" s="466" t="s">
        <v>398</v>
      </c>
      <c r="D55" s="1332">
        <v>-206220.44527999888</v>
      </c>
      <c r="E55" s="466" t="s">
        <v>203</v>
      </c>
      <c r="F55" s="457">
        <f>INDEX(WCAAllocations,IFERROR(MATCH(E55,WCAFactors,0),2),IFERROR(MATCH(E55,WCAStates,0),4))</f>
        <v>0.23084885646883446</v>
      </c>
      <c r="G55" s="242">
        <f>D55*F55</f>
        <v>-47605.753973381594</v>
      </c>
      <c r="H55" s="473"/>
      <c r="I55" s="4"/>
      <c r="J55" s="4"/>
      <c r="K55" s="4"/>
      <c r="L55" s="4"/>
      <c r="M55" s="4"/>
      <c r="N55" s="4"/>
    </row>
    <row r="56" spans="1:14">
      <c r="A56" s="464" t="s">
        <v>791</v>
      </c>
      <c r="B56" s="465">
        <v>40910</v>
      </c>
      <c r="C56" s="466" t="s">
        <v>398</v>
      </c>
      <c r="D56" s="1332">
        <v>537447.53634999529</v>
      </c>
      <c r="E56" s="466" t="s">
        <v>146</v>
      </c>
      <c r="F56" s="457">
        <f>INDEX(WCAAllocations,IFERROR(MATCH(E56,WCAFactors,0),2),IFERROR(MATCH(E56,WCAStates,0),4))</f>
        <v>7.9057273540331513E-2</v>
      </c>
      <c r="G56" s="242">
        <f>D56*F56</f>
        <v>42489.136894798845</v>
      </c>
      <c r="H56" s="473"/>
      <c r="I56" s="4"/>
      <c r="J56" s="4"/>
      <c r="K56" s="4"/>
      <c r="L56" s="4"/>
      <c r="M56" s="4"/>
      <c r="N56" s="4"/>
    </row>
    <row r="57" spans="1:14">
      <c r="A57" s="474"/>
      <c r="B57" s="465"/>
      <c r="C57" s="470"/>
      <c r="D57" s="458">
        <v>331227.09106999642</v>
      </c>
      <c r="E57" s="453"/>
      <c r="F57" s="155"/>
      <c r="G57" s="458">
        <v>-5116.6170785827562</v>
      </c>
      <c r="H57" s="473"/>
      <c r="I57" s="4"/>
      <c r="J57" s="4"/>
      <c r="K57" s="4"/>
      <c r="L57" s="4"/>
      <c r="M57" s="4"/>
      <c r="N57" s="4"/>
    </row>
    <row r="58" spans="1:14">
      <c r="A58" s="467"/>
      <c r="B58" s="456"/>
      <c r="C58" s="450"/>
      <c r="D58" s="468"/>
      <c r="E58" s="450"/>
      <c r="F58" s="312"/>
      <c r="G58" s="469"/>
      <c r="H58" s="1039"/>
      <c r="I58" s="4"/>
      <c r="J58" s="4"/>
      <c r="K58" s="4"/>
      <c r="L58" s="4"/>
      <c r="M58" s="4"/>
      <c r="N58" s="4"/>
    </row>
    <row r="59" spans="1:14">
      <c r="A59" s="475" t="s">
        <v>608</v>
      </c>
      <c r="B59" s="465"/>
      <c r="C59" s="1334"/>
      <c r="D59" s="476"/>
      <c r="E59" s="466"/>
      <c r="F59" s="472"/>
      <c r="G59" s="477"/>
      <c r="H59" s="1039"/>
      <c r="I59" s="4"/>
      <c r="J59" s="4"/>
      <c r="K59" s="4"/>
      <c r="L59" s="4"/>
      <c r="M59" s="4"/>
      <c r="N59" s="4"/>
    </row>
    <row r="60" spans="1:14">
      <c r="A60" s="475"/>
      <c r="B60" s="465"/>
      <c r="C60" s="1334"/>
      <c r="D60" s="476"/>
      <c r="E60" s="466"/>
      <c r="F60" s="472"/>
      <c r="G60" s="477"/>
      <c r="H60" s="1039"/>
      <c r="I60" s="4"/>
      <c r="J60" s="4"/>
      <c r="K60" s="4"/>
      <c r="L60" s="4"/>
      <c r="M60" s="4"/>
      <c r="N60" s="4"/>
    </row>
    <row r="61" spans="1:14">
      <c r="A61" s="464" t="s">
        <v>220</v>
      </c>
      <c r="B61" s="465" t="s">
        <v>191</v>
      </c>
      <c r="C61" s="466" t="s">
        <v>398</v>
      </c>
      <c r="D61" s="1332">
        <v>2354.4852708055996</v>
      </c>
      <c r="E61" s="466" t="s">
        <v>231</v>
      </c>
      <c r="F61" s="478">
        <f t="shared" ref="F61:F76" si="8">INDEX(WCAAllocations,IFERROR(MATCH(E61,WCAFactors,0),2),IFERROR(MATCH(E61,WCAStates,0),4))</f>
        <v>0.22953887558714423</v>
      </c>
      <c r="G61" s="242">
        <f>D61*F61</f>
        <v>540.44590164721012</v>
      </c>
      <c r="H61" s="1038"/>
    </row>
    <row r="62" spans="1:14">
      <c r="A62" s="464" t="s">
        <v>220</v>
      </c>
      <c r="B62" s="465" t="s">
        <v>191</v>
      </c>
      <c r="C62" s="466" t="s">
        <v>398</v>
      </c>
      <c r="D62" s="1332">
        <v>14634.93066947594</v>
      </c>
      <c r="E62" s="466" t="s">
        <v>203</v>
      </c>
      <c r="F62" s="478">
        <f t="shared" si="8"/>
        <v>0.23084885646883446</v>
      </c>
      <c r="G62" s="242">
        <f>+D62*F62</f>
        <v>3378.4570095491945</v>
      </c>
      <c r="H62" s="1039"/>
    </row>
    <row r="63" spans="1:14">
      <c r="A63" s="464" t="s">
        <v>268</v>
      </c>
      <c r="B63" s="465" t="s">
        <v>191</v>
      </c>
      <c r="C63" s="466" t="s">
        <v>398</v>
      </c>
      <c r="D63" s="1332">
        <v>1698.0927493628697</v>
      </c>
      <c r="E63" s="466" t="s">
        <v>141</v>
      </c>
      <c r="F63" s="478">
        <f t="shared" si="8"/>
        <v>1</v>
      </c>
      <c r="G63" s="242">
        <f>D63*F63</f>
        <v>1698.0927493628697</v>
      </c>
      <c r="H63" s="1039"/>
    </row>
    <row r="64" spans="1:14">
      <c r="A64" s="464"/>
      <c r="B64" s="465" t="s">
        <v>191</v>
      </c>
      <c r="C64" s="466" t="s">
        <v>398</v>
      </c>
      <c r="D64" s="1332">
        <v>2052.2374717117591</v>
      </c>
      <c r="E64" s="466" t="s">
        <v>130</v>
      </c>
      <c r="F64" s="478">
        <f t="shared" ref="F64:F71" si="9">INDEX(WCAAllocations,IFERROR(MATCH(E64,WCAFactors,0),2),IFERROR(MATCH(E64,WCAStates,0),4))</f>
        <v>6.8539355270203509E-2</v>
      </c>
      <c r="G64" s="242">
        <f t="shared" ref="G64:G71" si="10">D64*F64</f>
        <v>140.65903317247648</v>
      </c>
      <c r="H64" s="1039"/>
    </row>
    <row r="65" spans="1:9">
      <c r="A65" s="464"/>
      <c r="B65" s="465" t="s">
        <v>193</v>
      </c>
      <c r="C65" s="466" t="s">
        <v>398</v>
      </c>
      <c r="D65" s="1332">
        <v>5549.9158300000645</v>
      </c>
      <c r="E65" s="466" t="s">
        <v>231</v>
      </c>
      <c r="F65" s="478">
        <f t="shared" si="9"/>
        <v>0.22953887558714423</v>
      </c>
      <c r="G65" s="242">
        <f t="shared" si="10"/>
        <v>1273.9214392215072</v>
      </c>
      <c r="H65" s="1039"/>
    </row>
    <row r="66" spans="1:9">
      <c r="A66" s="464"/>
      <c r="B66" s="465" t="s">
        <v>193</v>
      </c>
      <c r="C66" s="466" t="s">
        <v>398</v>
      </c>
      <c r="D66" s="1332">
        <v>164393.02104999914</v>
      </c>
      <c r="E66" s="466" t="s">
        <v>203</v>
      </c>
      <c r="F66" s="478">
        <f t="shared" si="9"/>
        <v>0.23084885646883446</v>
      </c>
      <c r="G66" s="242">
        <f t="shared" si="10"/>
        <v>37949.940920849331</v>
      </c>
      <c r="H66" s="1039"/>
    </row>
    <row r="67" spans="1:9">
      <c r="A67" s="464"/>
      <c r="B67" s="465" t="s">
        <v>193</v>
      </c>
      <c r="C67" s="466" t="s">
        <v>398</v>
      </c>
      <c r="D67" s="1332">
        <v>5258.4098000000231</v>
      </c>
      <c r="E67" s="466" t="s">
        <v>141</v>
      </c>
      <c r="F67" s="478">
        <f t="shared" si="9"/>
        <v>1</v>
      </c>
      <c r="G67" s="242">
        <f t="shared" si="10"/>
        <v>5258.4098000000231</v>
      </c>
      <c r="H67" s="1039"/>
    </row>
    <row r="68" spans="1:9">
      <c r="A68" s="464"/>
      <c r="B68" s="465" t="s">
        <v>193</v>
      </c>
      <c r="C68" s="466" t="s">
        <v>398</v>
      </c>
      <c r="D68" s="1332">
        <v>5746.5670300000556</v>
      </c>
      <c r="E68" s="466" t="s">
        <v>130</v>
      </c>
      <c r="F68" s="478">
        <f t="shared" si="9"/>
        <v>6.8539355270203509E-2</v>
      </c>
      <c r="G68" s="242">
        <f t="shared" si="10"/>
        <v>393.86599925321201</v>
      </c>
      <c r="H68" s="1039"/>
    </row>
    <row r="69" spans="1:9">
      <c r="A69" s="464"/>
      <c r="B69" s="465">
        <v>41010</v>
      </c>
      <c r="C69" s="466" t="s">
        <v>398</v>
      </c>
      <c r="D69" s="1332">
        <v>1212.6978599999968</v>
      </c>
      <c r="E69" s="466" t="s">
        <v>231</v>
      </c>
      <c r="F69" s="478">
        <f t="shared" si="9"/>
        <v>0.22953887558714423</v>
      </c>
      <c r="G69" s="242">
        <f t="shared" si="10"/>
        <v>278.36130321133533</v>
      </c>
      <c r="H69" s="1039"/>
    </row>
    <row r="70" spans="1:9">
      <c r="A70" s="464"/>
      <c r="B70" s="465">
        <v>41010</v>
      </c>
      <c r="C70" s="466" t="s">
        <v>398</v>
      </c>
      <c r="D70" s="1332">
        <v>56834.732240000318</v>
      </c>
      <c r="E70" s="466" t="s">
        <v>203</v>
      </c>
      <c r="F70" s="478">
        <f t="shared" si="9"/>
        <v>0.23084885646883446</v>
      </c>
      <c r="G70" s="242">
        <f t="shared" si="10"/>
        <v>13120.232945316471</v>
      </c>
      <c r="H70" s="1039"/>
    </row>
    <row r="71" spans="1:9">
      <c r="A71" s="464"/>
      <c r="B71" s="465">
        <v>41010</v>
      </c>
      <c r="C71" s="466" t="s">
        <v>398</v>
      </c>
      <c r="D71" s="1332">
        <v>1351.1730800000078</v>
      </c>
      <c r="E71" s="466" t="s">
        <v>141</v>
      </c>
      <c r="F71" s="478">
        <f t="shared" si="9"/>
        <v>1</v>
      </c>
      <c r="G71" s="242">
        <f t="shared" si="10"/>
        <v>1351.1730800000078</v>
      </c>
      <c r="H71" s="1039"/>
    </row>
    <row r="72" spans="1:9">
      <c r="A72" s="464" t="s">
        <v>268</v>
      </c>
      <c r="B72" s="465">
        <v>41010</v>
      </c>
      <c r="C72" s="466" t="s">
        <v>398</v>
      </c>
      <c r="D72" s="1332">
        <v>1402.0364800000013</v>
      </c>
      <c r="E72" s="466" t="s">
        <v>130</v>
      </c>
      <c r="F72" s="478">
        <f t="shared" si="8"/>
        <v>6.8539355270203509E-2</v>
      </c>
      <c r="G72" s="242">
        <f>+D72*F72</f>
        <v>96.094676404505663</v>
      </c>
      <c r="H72" s="1039"/>
    </row>
    <row r="73" spans="1:9">
      <c r="A73" s="464" t="s">
        <v>280</v>
      </c>
      <c r="B73" s="465">
        <v>282</v>
      </c>
      <c r="C73" s="466" t="s">
        <v>398</v>
      </c>
      <c r="D73" s="1332">
        <v>-1640.9553200000105</v>
      </c>
      <c r="E73" s="466" t="s">
        <v>231</v>
      </c>
      <c r="F73" s="478">
        <f t="shared" si="8"/>
        <v>0.22953887558714423</v>
      </c>
      <c r="G73" s="242">
        <f>D73*F73</f>
        <v>-376.66303904154483</v>
      </c>
      <c r="H73" s="1039"/>
    </row>
    <row r="74" spans="1:9">
      <c r="A74" s="464" t="s">
        <v>280</v>
      </c>
      <c r="B74" s="465">
        <v>282</v>
      </c>
      <c r="C74" s="466" t="s">
        <v>398</v>
      </c>
      <c r="D74" s="1332">
        <v>-75933.536980000994</v>
      </c>
      <c r="E74" s="466" t="s">
        <v>203</v>
      </c>
      <c r="F74" s="478">
        <f t="shared" si="8"/>
        <v>0.23084885646883446</v>
      </c>
      <c r="G74" s="242">
        <f>+D74*F74</f>
        <v>-17529.170179467183</v>
      </c>
      <c r="H74" s="1039"/>
    </row>
    <row r="75" spans="1:9">
      <c r="A75" s="464" t="s">
        <v>366</v>
      </c>
      <c r="B75" s="465">
        <v>282</v>
      </c>
      <c r="C75" s="466" t="s">
        <v>398</v>
      </c>
      <c r="D75" s="1332">
        <v>-1756.426059999998</v>
      </c>
      <c r="E75" s="466" t="s">
        <v>141</v>
      </c>
      <c r="F75" s="478">
        <f t="shared" si="8"/>
        <v>1</v>
      </c>
      <c r="G75" s="242">
        <f>D75*F75</f>
        <v>-1756.426059999998</v>
      </c>
      <c r="H75" s="1039"/>
    </row>
    <row r="76" spans="1:9">
      <c r="A76" s="464" t="s">
        <v>366</v>
      </c>
      <c r="B76" s="465">
        <v>282</v>
      </c>
      <c r="C76" s="466" t="s">
        <v>398</v>
      </c>
      <c r="D76" s="1332">
        <v>-1832.2109799999971</v>
      </c>
      <c r="E76" s="466" t="s">
        <v>130</v>
      </c>
      <c r="F76" s="478">
        <f t="shared" si="8"/>
        <v>6.8539355270203509E-2</v>
      </c>
      <c r="G76" s="242">
        <f>+D76*F76</f>
        <v>-125.57855928818753</v>
      </c>
      <c r="H76" s="1039"/>
    </row>
    <row r="77" spans="1:9">
      <c r="A77" s="479"/>
      <c r="B77" s="480"/>
      <c r="C77" s="480"/>
      <c r="D77" s="481"/>
      <c r="E77" s="482"/>
      <c r="F77" s="482"/>
      <c r="G77" s="242"/>
      <c r="H77" s="1041"/>
    </row>
    <row r="78" spans="1:9">
      <c r="A78" s="479"/>
      <c r="B78" s="480"/>
      <c r="C78" s="480"/>
      <c r="D78" s="481"/>
      <c r="E78" s="482"/>
      <c r="F78" s="482"/>
      <c r="G78" s="481"/>
      <c r="H78" s="1041"/>
    </row>
    <row r="79" spans="1:9" ht="13.15" customHeight="1">
      <c r="A79" s="479" t="s">
        <v>145</v>
      </c>
      <c r="B79" s="480"/>
      <c r="C79" s="480"/>
      <c r="D79" s="40"/>
      <c r="E79" s="480"/>
      <c r="F79" s="480"/>
      <c r="G79" s="480"/>
      <c r="H79" s="1042"/>
    </row>
    <row r="80" spans="1:9" ht="13.15" customHeight="1">
      <c r="A80" s="1418" t="s">
        <v>792</v>
      </c>
      <c r="B80" s="1418"/>
      <c r="C80" s="1418"/>
      <c r="D80" s="1418"/>
      <c r="E80" s="1418"/>
      <c r="F80" s="1418"/>
      <c r="G80" s="1418"/>
      <c r="H80" s="1333"/>
      <c r="I80" s="1333"/>
    </row>
    <row r="81" spans="1:9" ht="13.9" customHeight="1">
      <c r="A81" s="1418"/>
      <c r="B81" s="1418"/>
      <c r="C81" s="1418"/>
      <c r="D81" s="1418"/>
      <c r="E81" s="1418"/>
      <c r="F81" s="1418"/>
      <c r="G81" s="1418"/>
      <c r="H81" s="1333"/>
      <c r="I81" s="1333"/>
    </row>
    <row r="82" spans="1:9">
      <c r="A82" s="1418"/>
      <c r="B82" s="1418"/>
      <c r="C82" s="1418"/>
      <c r="D82" s="1418"/>
      <c r="E82" s="1418"/>
      <c r="F82" s="1418"/>
      <c r="G82" s="1418"/>
      <c r="H82" s="1333"/>
      <c r="I82" s="1333"/>
    </row>
    <row r="83" spans="1:9">
      <c r="A83" s="1418"/>
      <c r="B83" s="1418"/>
      <c r="C83" s="1418"/>
      <c r="D83" s="1418"/>
      <c r="E83" s="1418"/>
      <c r="F83" s="1418"/>
      <c r="G83" s="1418"/>
      <c r="H83" s="1333"/>
      <c r="I83" s="1333"/>
    </row>
    <row r="84" spans="1:9">
      <c r="A84" s="1418"/>
      <c r="B84" s="1418"/>
      <c r="C84" s="1418"/>
      <c r="D84" s="1418"/>
      <c r="E84" s="1418"/>
      <c r="F84" s="1418"/>
      <c r="G84" s="1418"/>
      <c r="H84" s="1333"/>
      <c r="I84" s="1333"/>
    </row>
    <row r="85" spans="1:9" ht="18.600000000000001" customHeight="1">
      <c r="A85" s="1418"/>
      <c r="B85" s="1418"/>
      <c r="C85" s="1418"/>
      <c r="D85" s="1418"/>
      <c r="E85" s="1418"/>
      <c r="F85" s="1418"/>
      <c r="G85" s="1418"/>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53"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workbookViewId="0">
      <selection activeCell="F16" sqref="F16"/>
    </sheetView>
  </sheetViews>
  <sheetFormatPr defaultColWidth="43.28515625" defaultRowHeight="12.75"/>
  <cols>
    <col min="1" max="1" width="35" style="4" customWidth="1"/>
    <col min="2" max="2" width="12.140625" style="4" bestFit="1" customWidth="1"/>
    <col min="3" max="4" width="10.7109375" style="425" bestFit="1" customWidth="1"/>
    <col min="5" max="5" width="10.7109375" style="426" bestFit="1" customWidth="1"/>
    <col min="6" max="6" width="10.7109375" style="425" bestFit="1" customWidth="1"/>
    <col min="7" max="7" width="9" style="425" bestFit="1" customWidth="1"/>
    <col min="8" max="9" width="10.7109375" style="425" bestFit="1" customWidth="1"/>
    <col min="10" max="10" width="9.5703125" style="425" bestFit="1" customWidth="1"/>
    <col min="11" max="12" width="10.7109375" style="425" bestFit="1" customWidth="1"/>
    <col min="13" max="14" width="10.42578125" style="425" bestFit="1" customWidth="1"/>
    <col min="15" max="15" width="6.140625" style="15" bestFit="1" customWidth="1"/>
    <col min="16" max="16" width="5.5703125" style="4" hidden="1" customWidth="1"/>
    <col min="17" max="17" width="5" style="4" hidden="1" customWidth="1"/>
    <col min="18" max="18" width="11.42578125" style="4" hidden="1" customWidth="1"/>
    <col min="19" max="19" width="9" style="4" hidden="1" customWidth="1"/>
    <col min="20" max="20" width="4.7109375" style="4" hidden="1" customWidth="1"/>
    <col min="21" max="21" width="10.28515625" style="4" bestFit="1" customWidth="1"/>
    <col min="22" max="16384" width="43.28515625" style="4"/>
  </cols>
  <sheetData>
    <row r="1" spans="1:21">
      <c r="A1" s="403" t="str">
        <f>'Adj 9.1 Prod Factor'!A1</f>
        <v>PacifiCorp General Rate Case UE-140617</v>
      </c>
      <c r="B1" s="424"/>
      <c r="O1" s="427"/>
      <c r="P1" s="424"/>
      <c r="Q1" s="428">
        <v>10.199999999999999</v>
      </c>
      <c r="R1" s="424"/>
      <c r="S1" s="424"/>
      <c r="T1" s="424"/>
    </row>
    <row r="2" spans="1:21">
      <c r="A2" s="403" t="str">
        <f>'Adj 9.1 Prod Factor'!A2</f>
        <v>For The Twelve Months Ended December 2013 - Staff Revenue Requirement</v>
      </c>
      <c r="B2" s="424"/>
      <c r="O2" s="427"/>
      <c r="P2" s="424"/>
      <c r="Q2" s="424"/>
      <c r="R2" s="424"/>
      <c r="S2" s="424"/>
      <c r="T2" s="424"/>
    </row>
    <row r="3" spans="1:21">
      <c r="A3" s="403" t="s">
        <v>1084</v>
      </c>
      <c r="B3" s="424"/>
      <c r="O3" s="427"/>
      <c r="P3" s="424"/>
      <c r="Q3" s="424"/>
      <c r="R3" s="424"/>
      <c r="S3" s="424"/>
      <c r="T3" s="424"/>
    </row>
    <row r="4" spans="1:21">
      <c r="A4" s="403"/>
      <c r="B4" s="403"/>
      <c r="C4" s="429"/>
      <c r="D4" s="429"/>
      <c r="E4" s="430"/>
      <c r="F4" s="429"/>
      <c r="G4" s="429"/>
      <c r="H4" s="429"/>
      <c r="I4" s="429"/>
      <c r="J4" s="429"/>
      <c r="K4" s="429"/>
      <c r="L4" s="429"/>
      <c r="M4" s="429"/>
      <c r="N4" s="429"/>
      <c r="O4" s="431"/>
      <c r="P4" s="403"/>
      <c r="Q4" s="403"/>
      <c r="R4" s="403"/>
      <c r="S4" s="432"/>
      <c r="T4" s="433"/>
    </row>
    <row r="5" spans="1:21" ht="25.5">
      <c r="A5" s="1034" t="s">
        <v>281</v>
      </c>
      <c r="B5" s="1035" t="s">
        <v>282</v>
      </c>
      <c r="O5" s="434"/>
      <c r="P5" s="424"/>
      <c r="Q5" s="424"/>
      <c r="R5" s="424"/>
      <c r="S5" s="424"/>
      <c r="T5" s="424"/>
    </row>
    <row r="6" spans="1:21" s="15" customFormat="1">
      <c r="A6" s="435" t="s">
        <v>283</v>
      </c>
      <c r="B6" s="435" t="s">
        <v>135</v>
      </c>
      <c r="C6" s="436" t="s">
        <v>170</v>
      </c>
      <c r="D6" s="436" t="s">
        <v>171</v>
      </c>
      <c r="E6" s="437" t="s">
        <v>141</v>
      </c>
      <c r="F6" s="436" t="s">
        <v>516</v>
      </c>
      <c r="G6" s="436" t="s">
        <v>450</v>
      </c>
      <c r="H6" s="436" t="s">
        <v>172</v>
      </c>
      <c r="I6" s="436" t="s">
        <v>173</v>
      </c>
      <c r="J6" s="436" t="s">
        <v>436</v>
      </c>
      <c r="K6" s="436" t="s">
        <v>517</v>
      </c>
      <c r="L6" s="436" t="s">
        <v>284</v>
      </c>
      <c r="M6" s="436" t="s">
        <v>164</v>
      </c>
      <c r="N6" s="436" t="s">
        <v>437</v>
      </c>
      <c r="O6" s="435" t="s">
        <v>285</v>
      </c>
      <c r="P6" s="427"/>
      <c r="Q6" s="427"/>
      <c r="R6" s="431" t="s">
        <v>438</v>
      </c>
      <c r="S6" s="427"/>
      <c r="T6" s="427"/>
    </row>
    <row r="7" spans="1:21" s="444" customFormat="1">
      <c r="A7" s="438" t="s">
        <v>142</v>
      </c>
      <c r="B7" s="439" t="s">
        <v>245</v>
      </c>
      <c r="C7" s="440">
        <v>0</v>
      </c>
      <c r="D7" s="440">
        <v>0</v>
      </c>
      <c r="E7" s="441">
        <v>1</v>
      </c>
      <c r="F7" s="352">
        <v>0</v>
      </c>
      <c r="G7" s="352">
        <v>0</v>
      </c>
      <c r="H7" s="442">
        <v>0</v>
      </c>
      <c r="I7" s="442">
        <v>0</v>
      </c>
      <c r="J7" s="442">
        <v>0</v>
      </c>
      <c r="K7" s="442">
        <v>0</v>
      </c>
      <c r="L7" s="442">
        <v>0</v>
      </c>
      <c r="M7" s="442">
        <v>0</v>
      </c>
      <c r="N7" s="443" t="s">
        <v>142</v>
      </c>
      <c r="O7" s="439" t="s">
        <v>142</v>
      </c>
      <c r="T7" s="444" t="s">
        <v>142</v>
      </c>
    </row>
    <row r="8" spans="1:21" s="444" customFormat="1">
      <c r="A8" s="438" t="s">
        <v>286</v>
      </c>
      <c r="B8" s="439" t="s">
        <v>146</v>
      </c>
      <c r="C8" s="440">
        <v>1.5306917972615819E-2</v>
      </c>
      <c r="D8" s="440">
        <v>0.24905688793106512</v>
      </c>
      <c r="E8" s="441">
        <v>7.9057273540331513E-2</v>
      </c>
      <c r="F8" s="352">
        <v>0.43456276290540274</v>
      </c>
      <c r="G8" s="352">
        <v>5.947447595447803E-2</v>
      </c>
      <c r="H8" s="442">
        <v>2.7735067527107991E-2</v>
      </c>
      <c r="I8" s="442">
        <v>0.13079840764810047</v>
      </c>
      <c r="J8" s="442">
        <v>0.15853347517520847</v>
      </c>
      <c r="K8" s="442">
        <v>4.0082065208982658E-3</v>
      </c>
      <c r="L8" s="442">
        <v>0</v>
      </c>
      <c r="M8" s="442">
        <v>0</v>
      </c>
      <c r="N8" s="443">
        <v>10.7</v>
      </c>
      <c r="O8" s="439">
        <v>10.7</v>
      </c>
      <c r="P8" s="444" t="s">
        <v>201</v>
      </c>
      <c r="T8" s="444" t="s">
        <v>286</v>
      </c>
      <c r="U8" s="445"/>
    </row>
    <row r="9" spans="1:21" s="444" customFormat="1">
      <c r="A9" s="438" t="s">
        <v>287</v>
      </c>
      <c r="B9" s="439" t="s">
        <v>147</v>
      </c>
      <c r="C9" s="440">
        <v>1.5385166522222434E-2</v>
      </c>
      <c r="D9" s="440">
        <v>0.25137775585383931</v>
      </c>
      <c r="E9" s="441">
        <v>8.0177054057363958E-2</v>
      </c>
      <c r="F9" s="352">
        <v>0.43752858492420488</v>
      </c>
      <c r="G9" s="352">
        <v>5.7921296521015624E-2</v>
      </c>
      <c r="H9" s="442">
        <v>2.6617503365536817E-2</v>
      </c>
      <c r="I9" s="442">
        <v>0.12688029562953423</v>
      </c>
      <c r="J9" s="442">
        <v>0.15349779899507104</v>
      </c>
      <c r="K9" s="442">
        <v>4.1123431262826476E-3</v>
      </c>
      <c r="L9" s="442">
        <v>0</v>
      </c>
      <c r="M9" s="442">
        <v>0</v>
      </c>
      <c r="N9" s="443">
        <v>10.7</v>
      </c>
      <c r="O9" s="439">
        <v>10.7</v>
      </c>
      <c r="P9" s="444" t="s">
        <v>201</v>
      </c>
      <c r="T9" s="444" t="s">
        <v>287</v>
      </c>
      <c r="U9" s="445"/>
    </row>
    <row r="10" spans="1:21" s="444" customFormat="1">
      <c r="A10" s="438" t="s">
        <v>288</v>
      </c>
      <c r="B10" s="439" t="s">
        <v>148</v>
      </c>
      <c r="C10" s="440">
        <v>1.5072172323795978E-2</v>
      </c>
      <c r="D10" s="440">
        <v>0.24209428416274248</v>
      </c>
      <c r="E10" s="441">
        <v>7.5697931989234163E-2</v>
      </c>
      <c r="F10" s="352">
        <v>0.42566529684899634</v>
      </c>
      <c r="G10" s="352">
        <v>6.4134014254865257E-2</v>
      </c>
      <c r="H10" s="442">
        <v>3.1087760011821501E-2</v>
      </c>
      <c r="I10" s="442">
        <v>0.14255274370379911</v>
      </c>
      <c r="J10" s="442">
        <v>0.17364050371562062</v>
      </c>
      <c r="K10" s="442">
        <v>3.6957967047451202E-3</v>
      </c>
      <c r="L10" s="442">
        <v>0</v>
      </c>
      <c r="M10" s="442">
        <v>0</v>
      </c>
      <c r="N10" s="443">
        <v>10.9</v>
      </c>
      <c r="O10" s="439">
        <v>10.9</v>
      </c>
      <c r="P10" s="444" t="s">
        <v>201</v>
      </c>
      <c r="T10" s="444" t="s">
        <v>288</v>
      </c>
      <c r="U10" s="445"/>
    </row>
    <row r="11" spans="1:21" s="444" customFormat="1">
      <c r="A11" s="438" t="s">
        <v>289</v>
      </c>
      <c r="B11" s="439" t="s">
        <v>207</v>
      </c>
      <c r="C11" s="440">
        <v>4.5280218748582048E-2</v>
      </c>
      <c r="D11" s="440">
        <v>0.72730605178680208</v>
      </c>
      <c r="E11" s="441">
        <v>0.22741372946461591</v>
      </c>
      <c r="F11" s="352">
        <v>0</v>
      </c>
      <c r="G11" s="352">
        <v>0</v>
      </c>
      <c r="H11" s="442">
        <v>0</v>
      </c>
      <c r="I11" s="442">
        <v>0</v>
      </c>
      <c r="J11" s="442">
        <v>0</v>
      </c>
      <c r="K11" s="442">
        <v>0</v>
      </c>
      <c r="L11" s="442">
        <v>0</v>
      </c>
      <c r="M11" s="442">
        <v>0</v>
      </c>
      <c r="N11" s="443">
        <v>10.9</v>
      </c>
      <c r="O11" s="439">
        <v>10.9</v>
      </c>
      <c r="P11" s="444" t="s">
        <v>201</v>
      </c>
      <c r="T11" s="444" t="s">
        <v>289</v>
      </c>
      <c r="U11" s="445"/>
    </row>
    <row r="12" spans="1:21" s="444" customFormat="1">
      <c r="A12" s="438" t="s">
        <v>290</v>
      </c>
      <c r="B12" s="439" t="s">
        <v>261</v>
      </c>
      <c r="C12" s="440">
        <v>0</v>
      </c>
      <c r="D12" s="440">
        <v>0</v>
      </c>
      <c r="E12" s="441">
        <v>0</v>
      </c>
      <c r="F12" s="352">
        <v>0.6380491304855761</v>
      </c>
      <c r="G12" s="352">
        <v>9.6133399487303789E-2</v>
      </c>
      <c r="H12" s="442">
        <v>4.6598861572978011E-2</v>
      </c>
      <c r="I12" s="442">
        <v>0.21367881018688845</v>
      </c>
      <c r="J12" s="442">
        <v>0.26027767175986644</v>
      </c>
      <c r="K12" s="442">
        <v>5.5397982672536518E-3</v>
      </c>
      <c r="L12" s="442">
        <v>0</v>
      </c>
      <c r="M12" s="442">
        <v>0</v>
      </c>
      <c r="N12" s="443">
        <v>10.9</v>
      </c>
      <c r="O12" s="439">
        <v>10.9</v>
      </c>
      <c r="P12" s="444" t="s">
        <v>201</v>
      </c>
      <c r="T12" s="444" t="s">
        <v>290</v>
      </c>
      <c r="U12" s="445"/>
    </row>
    <row r="13" spans="1:21" s="444" customFormat="1">
      <c r="A13" s="438" t="s">
        <v>291</v>
      </c>
      <c r="B13" s="439" t="s">
        <v>130</v>
      </c>
      <c r="C13" s="440">
        <v>2.0034064145027151E-2</v>
      </c>
      <c r="D13" s="440">
        <v>0.23815281967663798</v>
      </c>
      <c r="E13" s="441">
        <v>6.8539355270203509E-2</v>
      </c>
      <c r="F13" s="352">
        <v>0.45803100920424522</v>
      </c>
      <c r="G13" s="352">
        <v>6.0696020621590088E-2</v>
      </c>
      <c r="H13" s="442">
        <v>2.6295178889284739E-2</v>
      </c>
      <c r="I13" s="442">
        <v>0.12521780860572426</v>
      </c>
      <c r="J13" s="442">
        <v>0.15151298749500899</v>
      </c>
      <c r="K13" s="442">
        <v>3.0337435872867715E-3</v>
      </c>
      <c r="L13" s="442">
        <v>0</v>
      </c>
      <c r="M13" s="442">
        <v>0</v>
      </c>
      <c r="N13" s="443">
        <v>10.11</v>
      </c>
      <c r="O13" s="439">
        <v>10.119999999999999</v>
      </c>
      <c r="P13" s="444" t="s">
        <v>201</v>
      </c>
      <c r="T13" s="444" t="s">
        <v>291</v>
      </c>
      <c r="U13" s="445"/>
    </row>
    <row r="14" spans="1:21" s="444" customFormat="1">
      <c r="A14" s="438" t="s">
        <v>292</v>
      </c>
      <c r="B14" s="439" t="s">
        <v>149</v>
      </c>
      <c r="C14" s="440">
        <v>2.0034064145027154E-2</v>
      </c>
      <c r="D14" s="440">
        <v>0.23815281967663804</v>
      </c>
      <c r="E14" s="441">
        <v>6.8539355270203509E-2</v>
      </c>
      <c r="F14" s="352">
        <v>0.45803100920424528</v>
      </c>
      <c r="G14" s="352">
        <v>6.0696020621590088E-2</v>
      </c>
      <c r="H14" s="442">
        <v>2.6295178889284739E-2</v>
      </c>
      <c r="I14" s="442">
        <v>0.12521780860572429</v>
      </c>
      <c r="J14" s="442">
        <v>0.15151298749500902</v>
      </c>
      <c r="K14" s="442">
        <v>3.0337435872867724E-3</v>
      </c>
      <c r="L14" s="442">
        <v>0</v>
      </c>
      <c r="M14" s="442">
        <v>0</v>
      </c>
      <c r="N14" s="443">
        <v>10.11</v>
      </c>
      <c r="O14" s="439">
        <v>10.119999999999999</v>
      </c>
      <c r="P14" s="444" t="s">
        <v>201</v>
      </c>
      <c r="T14" s="444" t="s">
        <v>292</v>
      </c>
      <c r="U14" s="445"/>
    </row>
    <row r="15" spans="1:21" s="444" customFormat="1">
      <c r="A15" s="438" t="s">
        <v>293</v>
      </c>
      <c r="B15" s="439" t="s">
        <v>150</v>
      </c>
      <c r="C15" s="440">
        <v>1.7495973469496506E-2</v>
      </c>
      <c r="D15" s="440">
        <v>0.21409010352159266</v>
      </c>
      <c r="E15" s="441">
        <v>6.220721907403963E-2</v>
      </c>
      <c r="F15" s="352">
        <v>0.48328537672651978</v>
      </c>
      <c r="G15" s="352">
        <v>6.2149372554452069E-2</v>
      </c>
      <c r="H15" s="442">
        <v>2.7298153418364595E-2</v>
      </c>
      <c r="I15" s="442">
        <v>0.13021134497342252</v>
      </c>
      <c r="J15" s="442">
        <v>0.1575094983917871</v>
      </c>
      <c r="K15" s="442">
        <v>3.2624562621119844E-3</v>
      </c>
      <c r="L15" s="442">
        <v>0</v>
      </c>
      <c r="M15" s="442">
        <v>0</v>
      </c>
      <c r="N15" s="443">
        <v>10.11</v>
      </c>
      <c r="O15" s="439">
        <v>10.119999999999999</v>
      </c>
      <c r="P15" s="444" t="s">
        <v>201</v>
      </c>
      <c r="T15" s="444" t="s">
        <v>293</v>
      </c>
      <c r="U15" s="445"/>
    </row>
    <row r="16" spans="1:21" s="444" customFormat="1">
      <c r="A16" s="438" t="s">
        <v>294</v>
      </c>
      <c r="B16" s="439" t="s">
        <v>151</v>
      </c>
      <c r="C16" s="440">
        <v>3.4525301133970142E-2</v>
      </c>
      <c r="D16" s="440">
        <v>0.26786797663332834</v>
      </c>
      <c r="E16" s="441">
        <v>6.2803307592478125E-2</v>
      </c>
      <c r="F16" s="352">
        <v>0.48094507570851236</v>
      </c>
      <c r="G16" s="352">
        <v>4.697530227034951E-2</v>
      </c>
      <c r="H16" s="442">
        <v>1.7604994107343928E-2</v>
      </c>
      <c r="I16" s="442">
        <v>8.9278042554017625E-2</v>
      </c>
      <c r="J16" s="442">
        <v>0.10688303666136155</v>
      </c>
      <c r="K16" s="442">
        <v>0</v>
      </c>
      <c r="L16" s="442">
        <v>0</v>
      </c>
      <c r="M16" s="442">
        <v>0</v>
      </c>
      <c r="N16" s="443">
        <v>10.11</v>
      </c>
      <c r="O16" s="439">
        <v>10.119999999999999</v>
      </c>
      <c r="P16" s="444" t="s">
        <v>201</v>
      </c>
      <c r="T16" s="444" t="s">
        <v>294</v>
      </c>
      <c r="U16" s="445"/>
    </row>
    <row r="17" spans="1:21" s="444" customFormat="1">
      <c r="A17" s="438" t="s">
        <v>295</v>
      </c>
      <c r="B17" s="439" t="s">
        <v>203</v>
      </c>
      <c r="C17" s="440">
        <v>4.4150312188556966E-2</v>
      </c>
      <c r="D17" s="440">
        <v>0.7250008313426084</v>
      </c>
      <c r="E17" s="446">
        <v>0.23084885646883446</v>
      </c>
      <c r="F17" s="352">
        <v>0</v>
      </c>
      <c r="G17" s="352">
        <v>0</v>
      </c>
      <c r="H17" s="442">
        <v>0</v>
      </c>
      <c r="I17" s="442">
        <v>0</v>
      </c>
      <c r="J17" s="442">
        <v>0</v>
      </c>
      <c r="K17" s="442">
        <v>0</v>
      </c>
      <c r="L17" s="442">
        <v>0</v>
      </c>
      <c r="M17" s="442">
        <v>0</v>
      </c>
      <c r="N17" s="447" t="s">
        <v>518</v>
      </c>
      <c r="O17" s="439">
        <v>10.5</v>
      </c>
      <c r="P17" s="444" t="s">
        <v>201</v>
      </c>
      <c r="T17" s="444" t="s">
        <v>295</v>
      </c>
      <c r="U17" s="445"/>
    </row>
    <row r="18" spans="1:21" s="444" customFormat="1">
      <c r="A18" s="438" t="s">
        <v>296</v>
      </c>
      <c r="B18" s="439" t="s">
        <v>214</v>
      </c>
      <c r="C18" s="440">
        <v>0</v>
      </c>
      <c r="D18" s="440">
        <v>0</v>
      </c>
      <c r="E18" s="441">
        <v>0</v>
      </c>
      <c r="F18" s="352">
        <v>0.66749136937782572</v>
      </c>
      <c r="G18" s="352">
        <v>9.0293984314246262E-2</v>
      </c>
      <c r="H18" s="442">
        <v>4.1251714318410557E-2</v>
      </c>
      <c r="I18" s="442">
        <v>0.194994423750943</v>
      </c>
      <c r="J18" s="442">
        <v>0.23624613806935357</v>
      </c>
      <c r="K18" s="442">
        <v>5.9685082385744171E-3</v>
      </c>
      <c r="L18" s="442">
        <v>0</v>
      </c>
      <c r="M18" s="442">
        <v>0</v>
      </c>
      <c r="N18" s="447" t="s">
        <v>518</v>
      </c>
      <c r="O18" s="439">
        <v>10.5</v>
      </c>
      <c r="P18" s="444" t="s">
        <v>201</v>
      </c>
      <c r="T18" s="444" t="s">
        <v>296</v>
      </c>
      <c r="U18" s="445"/>
    </row>
    <row r="19" spans="1:21" s="444" customFormat="1">
      <c r="A19" s="438" t="s">
        <v>297</v>
      </c>
      <c r="B19" s="439" t="s">
        <v>231</v>
      </c>
      <c r="C19" s="440">
        <v>4.3899775687002006E-2</v>
      </c>
      <c r="D19" s="440">
        <v>0.7208867229047502</v>
      </c>
      <c r="E19" s="446">
        <v>0.22953887558714423</v>
      </c>
      <c r="F19" s="352">
        <v>3.7877637600350375E-3</v>
      </c>
      <c r="G19" s="352">
        <v>5.1238457487992183E-4</v>
      </c>
      <c r="H19" s="442">
        <v>2.3408804323603094E-4</v>
      </c>
      <c r="I19" s="442">
        <v>1.1065203919882677E-3</v>
      </c>
      <c r="J19" s="442">
        <v>1.3406084352242987E-3</v>
      </c>
      <c r="K19" s="442">
        <v>3.3869050964082405E-5</v>
      </c>
      <c r="L19" s="442">
        <v>0</v>
      </c>
      <c r="M19" s="442">
        <v>0</v>
      </c>
      <c r="N19" s="443">
        <v>10.119999999999999</v>
      </c>
      <c r="O19" s="439">
        <v>10.15</v>
      </c>
      <c r="P19" s="444" t="s">
        <v>201</v>
      </c>
      <c r="T19" s="444" t="s">
        <v>297</v>
      </c>
      <c r="U19" s="445"/>
    </row>
    <row r="20" spans="1:21" s="444" customFormat="1">
      <c r="A20" s="438" t="s">
        <v>298</v>
      </c>
      <c r="B20" s="439" t="s">
        <v>232</v>
      </c>
      <c r="C20" s="440">
        <v>4.5023270450086139E-2</v>
      </c>
      <c r="D20" s="440">
        <v>0.72317886208548798</v>
      </c>
      <c r="E20" s="441">
        <v>0.22612324164332259</v>
      </c>
      <c r="F20" s="352">
        <v>3.6206900709859846E-3</v>
      </c>
      <c r="G20" s="352">
        <v>5.455210710010967E-4</v>
      </c>
      <c r="H20" s="442">
        <v>2.6443110311604124E-4</v>
      </c>
      <c r="I20" s="442">
        <v>1.2125472937091566E-3</v>
      </c>
      <c r="J20" s="442">
        <v>1.4769783968251978E-3</v>
      </c>
      <c r="K20" s="442">
        <v>3.143628229106112E-5</v>
      </c>
      <c r="L20" s="442">
        <v>0</v>
      </c>
      <c r="M20" s="442">
        <v>0</v>
      </c>
      <c r="N20" s="443">
        <v>10.119999999999999</v>
      </c>
      <c r="O20" s="439">
        <v>10.15</v>
      </c>
      <c r="P20" s="444" t="s">
        <v>201</v>
      </c>
      <c r="T20" s="444" t="s">
        <v>298</v>
      </c>
      <c r="U20" s="445"/>
    </row>
    <row r="21" spans="1:21" s="444" customFormat="1">
      <c r="A21" s="438" t="s">
        <v>299</v>
      </c>
      <c r="B21" s="439" t="s">
        <v>240</v>
      </c>
      <c r="C21" s="440">
        <v>9.132406715311429E-3</v>
      </c>
      <c r="D21" s="440">
        <v>0.14996502023547775</v>
      </c>
      <c r="E21" s="446">
        <v>4.7750639633854279E-2</v>
      </c>
      <c r="F21" s="352">
        <v>0.52942207016008636</v>
      </c>
      <c r="G21" s="352">
        <v>7.1616848234620292E-2</v>
      </c>
      <c r="H21" s="442">
        <v>3.271887696834528E-2</v>
      </c>
      <c r="I21" s="442">
        <v>0.15466020420327375</v>
      </c>
      <c r="J21" s="442">
        <v>0.18737908117161903</v>
      </c>
      <c r="K21" s="442">
        <v>4.7339338490307832E-3</v>
      </c>
      <c r="L21" s="442">
        <v>0</v>
      </c>
      <c r="M21" s="442">
        <v>0</v>
      </c>
      <c r="N21" s="443">
        <v>10.119999999999999</v>
      </c>
      <c r="O21" s="439">
        <v>10.15</v>
      </c>
      <c r="P21" s="444" t="s">
        <v>201</v>
      </c>
      <c r="T21" s="444" t="s">
        <v>299</v>
      </c>
      <c r="U21" s="445"/>
    </row>
    <row r="22" spans="1:21" s="444" customFormat="1">
      <c r="A22" s="438" t="s">
        <v>300</v>
      </c>
      <c r="B22" s="439" t="s">
        <v>241</v>
      </c>
      <c r="C22" s="440">
        <v>9.366125702673922E-3</v>
      </c>
      <c r="D22" s="440">
        <v>0.15044185062741061</v>
      </c>
      <c r="E22" s="441">
        <v>4.7040090254558978E-2</v>
      </c>
      <c r="F22" s="352">
        <v>0.50606990145862174</v>
      </c>
      <c r="G22" s="352">
        <v>7.6248391669145849E-2</v>
      </c>
      <c r="H22" s="442">
        <v>3.6959977151562066E-2</v>
      </c>
      <c r="I22" s="442">
        <v>0.16947976142962354</v>
      </c>
      <c r="J22" s="442">
        <v>0.20643973858118561</v>
      </c>
      <c r="K22" s="442">
        <v>4.3939017064032757E-3</v>
      </c>
      <c r="L22" s="442">
        <v>0</v>
      </c>
      <c r="M22" s="442">
        <v>0</v>
      </c>
      <c r="N22" s="443">
        <v>10.119999999999999</v>
      </c>
      <c r="O22" s="439">
        <v>10.15</v>
      </c>
      <c r="P22" s="444" t="s">
        <v>201</v>
      </c>
      <c r="T22" s="444" t="s">
        <v>300</v>
      </c>
      <c r="U22" s="445"/>
    </row>
    <row r="23" spans="1:21" s="444" customFormat="1">
      <c r="A23" s="438" t="s">
        <v>301</v>
      </c>
      <c r="B23" s="439" t="s">
        <v>152</v>
      </c>
      <c r="C23" s="440">
        <v>2.4450154252421537E-2</v>
      </c>
      <c r="D23" s="440">
        <v>0.30394363496811</v>
      </c>
      <c r="E23" s="441">
        <v>6.9173575695716499E-2</v>
      </c>
      <c r="F23" s="352">
        <v>0.48895194526907942</v>
      </c>
      <c r="G23" s="352">
        <v>3.8721148145524409E-2</v>
      </c>
      <c r="H23" s="442">
        <v>8.4103230845424294E-3</v>
      </c>
      <c r="I23" s="442">
        <v>6.6349218584605588E-2</v>
      </c>
      <c r="J23" s="442">
        <v>7.4759541669148014E-2</v>
      </c>
      <c r="K23" s="442">
        <v>0</v>
      </c>
      <c r="L23" s="442">
        <v>0</v>
      </c>
      <c r="M23" s="442">
        <v>0</v>
      </c>
      <c r="N23" s="443">
        <v>10.119999999999999</v>
      </c>
      <c r="O23" s="439">
        <v>10.14</v>
      </c>
      <c r="P23" s="444" t="s">
        <v>201</v>
      </c>
      <c r="T23" s="444" t="s">
        <v>301</v>
      </c>
      <c r="U23" s="445"/>
    </row>
    <row r="24" spans="1:21" s="444" customFormat="1">
      <c r="A24" s="438" t="s">
        <v>153</v>
      </c>
      <c r="B24" s="439" t="s">
        <v>153</v>
      </c>
      <c r="C24" s="440">
        <v>3.4525301133970142E-2</v>
      </c>
      <c r="D24" s="440">
        <v>0.26786797663332834</v>
      </c>
      <c r="E24" s="441">
        <v>6.2803307592478125E-2</v>
      </c>
      <c r="F24" s="352">
        <v>0.48094507570851236</v>
      </c>
      <c r="G24" s="352">
        <v>4.697530227034951E-2</v>
      </c>
      <c r="H24" s="442">
        <v>1.7604994107343928E-2</v>
      </c>
      <c r="I24" s="442">
        <v>8.9278042554017625E-2</v>
      </c>
      <c r="J24" s="442">
        <v>0.10688303666136155</v>
      </c>
      <c r="K24" s="442">
        <v>0</v>
      </c>
      <c r="L24" s="442">
        <v>0</v>
      </c>
      <c r="M24" s="442">
        <v>0</v>
      </c>
      <c r="N24" s="443">
        <v>10.119999999999999</v>
      </c>
      <c r="O24" s="439">
        <v>10.14</v>
      </c>
      <c r="P24" s="444" t="s">
        <v>201</v>
      </c>
      <c r="Q24" s="444" t="s">
        <v>439</v>
      </c>
      <c r="T24" s="444" t="s">
        <v>153</v>
      </c>
      <c r="U24" s="445"/>
    </row>
    <row r="25" spans="1:21" s="444" customFormat="1">
      <c r="A25" s="438" t="s">
        <v>302</v>
      </c>
      <c r="B25" s="439" t="s">
        <v>155</v>
      </c>
      <c r="C25" s="440">
        <v>4.7200252248530555E-2</v>
      </c>
      <c r="D25" s="440">
        <v>0.40963705180371979</v>
      </c>
      <c r="E25" s="441">
        <v>0.11935828318835348</v>
      </c>
      <c r="F25" s="352">
        <v>0.27761075317269862</v>
      </c>
      <c r="G25" s="352">
        <v>8.6540048614948767E-2</v>
      </c>
      <c r="H25" s="442">
        <v>1.1204729914117193E-5</v>
      </c>
      <c r="I25" s="442">
        <v>5.9642406241834582E-2</v>
      </c>
      <c r="J25" s="442">
        <v>5.9653610971748698E-2</v>
      </c>
      <c r="K25" s="442">
        <v>0</v>
      </c>
      <c r="L25" s="442">
        <v>0</v>
      </c>
      <c r="M25" s="442">
        <v>0</v>
      </c>
      <c r="N25" s="443">
        <v>10.130000000000001</v>
      </c>
      <c r="O25" s="439">
        <v>10.14</v>
      </c>
      <c r="P25" s="444" t="s">
        <v>201</v>
      </c>
      <c r="Q25" s="444">
        <v>0</v>
      </c>
      <c r="T25" s="444" t="s">
        <v>302</v>
      </c>
      <c r="U25" s="445"/>
    </row>
    <row r="26" spans="1:21" s="444" customFormat="1">
      <c r="A26" s="438" t="s">
        <v>303</v>
      </c>
      <c r="B26" s="439" t="s">
        <v>158</v>
      </c>
      <c r="C26" s="440">
        <v>3.2870000000000003E-2</v>
      </c>
      <c r="D26" s="440">
        <v>0.70975999999999995</v>
      </c>
      <c r="E26" s="441">
        <v>0.14180000000000001</v>
      </c>
      <c r="F26" s="352">
        <v>0</v>
      </c>
      <c r="G26" s="352">
        <v>0</v>
      </c>
      <c r="H26" s="442">
        <v>0</v>
      </c>
      <c r="I26" s="442">
        <v>0.10946</v>
      </c>
      <c r="J26" s="442">
        <v>0.10946</v>
      </c>
      <c r="K26" s="442">
        <v>0</v>
      </c>
      <c r="L26" s="442">
        <v>0</v>
      </c>
      <c r="M26" s="442">
        <v>6.11E-3</v>
      </c>
      <c r="N26" s="443" t="s">
        <v>304</v>
      </c>
      <c r="O26" s="439" t="s">
        <v>304</v>
      </c>
      <c r="P26" s="444" t="s">
        <v>201</v>
      </c>
      <c r="T26" s="444" t="s">
        <v>303</v>
      </c>
      <c r="U26" s="445"/>
    </row>
    <row r="27" spans="1:21" s="444" customFormat="1">
      <c r="A27" s="438" t="s">
        <v>305</v>
      </c>
      <c r="B27" s="439" t="s">
        <v>159</v>
      </c>
      <c r="C27" s="440">
        <v>5.4199999999999998E-2</v>
      </c>
      <c r="D27" s="440">
        <v>0.67689999999999995</v>
      </c>
      <c r="E27" s="441">
        <v>0.1336</v>
      </c>
      <c r="F27" s="352">
        <v>0</v>
      </c>
      <c r="G27" s="352">
        <v>0</v>
      </c>
      <c r="H27" s="442">
        <v>0</v>
      </c>
      <c r="I27" s="442">
        <v>0.11609999999999999</v>
      </c>
      <c r="J27" s="442">
        <v>0.11609999999999999</v>
      </c>
      <c r="K27" s="442">
        <v>0</v>
      </c>
      <c r="L27" s="442">
        <v>0</v>
      </c>
      <c r="M27" s="442">
        <v>1.9199999999999998E-2</v>
      </c>
      <c r="N27" s="443" t="s">
        <v>304</v>
      </c>
      <c r="O27" s="439" t="s">
        <v>304</v>
      </c>
      <c r="P27" s="444" t="s">
        <v>201</v>
      </c>
      <c r="T27" s="444" t="s">
        <v>305</v>
      </c>
      <c r="U27" s="445"/>
    </row>
    <row r="28" spans="1:21" s="444" customFormat="1">
      <c r="A28" s="438" t="s">
        <v>306</v>
      </c>
      <c r="B28" s="439" t="s">
        <v>160</v>
      </c>
      <c r="C28" s="440">
        <v>4.7890000000000002E-2</v>
      </c>
      <c r="D28" s="440">
        <v>0.64607999999999999</v>
      </c>
      <c r="E28" s="441">
        <v>0.13125999999999999</v>
      </c>
      <c r="F28" s="352">
        <v>0</v>
      </c>
      <c r="G28" s="352">
        <v>0</v>
      </c>
      <c r="H28" s="442">
        <v>0</v>
      </c>
      <c r="I28" s="442">
        <v>0.155</v>
      </c>
      <c r="J28" s="442">
        <v>0.155</v>
      </c>
      <c r="K28" s="442">
        <v>0</v>
      </c>
      <c r="L28" s="442">
        <v>0</v>
      </c>
      <c r="M28" s="442">
        <v>1.9769999999999999E-2</v>
      </c>
      <c r="N28" s="443" t="s">
        <v>304</v>
      </c>
      <c r="O28" s="439" t="s">
        <v>304</v>
      </c>
      <c r="P28" s="444" t="s">
        <v>201</v>
      </c>
      <c r="T28" s="444" t="s">
        <v>306</v>
      </c>
      <c r="U28" s="445"/>
    </row>
    <row r="29" spans="1:21" s="444" customFormat="1">
      <c r="A29" s="438" t="s">
        <v>307</v>
      </c>
      <c r="B29" s="439" t="s">
        <v>161</v>
      </c>
      <c r="C29" s="440">
        <v>4.2700000000000002E-2</v>
      </c>
      <c r="D29" s="440">
        <v>0.61199999999999999</v>
      </c>
      <c r="E29" s="441">
        <v>0.14960000000000001</v>
      </c>
      <c r="F29" s="352">
        <v>0</v>
      </c>
      <c r="G29" s="352">
        <v>0</v>
      </c>
      <c r="H29" s="442">
        <v>0</v>
      </c>
      <c r="I29" s="442">
        <v>0.1671</v>
      </c>
      <c r="J29" s="442">
        <v>0.1671</v>
      </c>
      <c r="K29" s="442">
        <v>0</v>
      </c>
      <c r="L29" s="442">
        <v>0</v>
      </c>
      <c r="M29" s="442">
        <v>2.86E-2</v>
      </c>
      <c r="N29" s="443" t="s">
        <v>304</v>
      </c>
      <c r="O29" s="439" t="s">
        <v>304</v>
      </c>
      <c r="P29" s="444" t="s">
        <v>201</v>
      </c>
      <c r="T29" s="444" t="s">
        <v>307</v>
      </c>
      <c r="U29" s="445"/>
    </row>
    <row r="30" spans="1:21" s="444" customFormat="1">
      <c r="A30" s="438" t="s">
        <v>308</v>
      </c>
      <c r="B30" s="439" t="s">
        <v>162</v>
      </c>
      <c r="C30" s="440">
        <v>4.8806000000000002E-2</v>
      </c>
      <c r="D30" s="440">
        <v>0.563558</v>
      </c>
      <c r="E30" s="441">
        <v>0.15268799999999999</v>
      </c>
      <c r="F30" s="352">
        <v>0</v>
      </c>
      <c r="G30" s="352">
        <v>0</v>
      </c>
      <c r="H30" s="442">
        <v>0</v>
      </c>
      <c r="I30" s="442">
        <v>0.20677599999999999</v>
      </c>
      <c r="J30" s="442">
        <v>0.20677599999999999</v>
      </c>
      <c r="K30" s="442">
        <v>0</v>
      </c>
      <c r="L30" s="442">
        <v>0</v>
      </c>
      <c r="M30" s="442">
        <v>2.8171999999999999E-2</v>
      </c>
      <c r="N30" s="443" t="s">
        <v>304</v>
      </c>
      <c r="O30" s="439" t="s">
        <v>304</v>
      </c>
      <c r="P30" s="444" t="s">
        <v>201</v>
      </c>
      <c r="T30" s="444" t="s">
        <v>308</v>
      </c>
      <c r="U30" s="445"/>
    </row>
    <row r="31" spans="1:21" s="444" customFormat="1">
      <c r="A31" s="1340" t="s">
        <v>309</v>
      </c>
      <c r="B31" s="439" t="s">
        <v>163</v>
      </c>
      <c r="C31" s="440">
        <v>1.5047E-2</v>
      </c>
      <c r="D31" s="440">
        <v>0.159356</v>
      </c>
      <c r="E31" s="441">
        <v>3.9132E-2</v>
      </c>
      <c r="F31" s="352">
        <v>0.46935500000000002</v>
      </c>
      <c r="G31" s="352">
        <v>0.13981499999999999</v>
      </c>
      <c r="H31" s="442">
        <v>0.135384</v>
      </c>
      <c r="I31" s="442">
        <v>3.8051000000000001E-2</v>
      </c>
      <c r="J31" s="442">
        <v>0.17343500000000001</v>
      </c>
      <c r="K31" s="442">
        <v>0</v>
      </c>
      <c r="L31" s="442">
        <v>0</v>
      </c>
      <c r="M31" s="442">
        <v>3.8600000000000001E-3</v>
      </c>
      <c r="N31" s="443" t="s">
        <v>304</v>
      </c>
      <c r="O31" s="439" t="s">
        <v>304</v>
      </c>
      <c r="P31" s="444" t="s">
        <v>201</v>
      </c>
      <c r="T31" s="444" t="s">
        <v>309</v>
      </c>
      <c r="U31" s="445"/>
    </row>
    <row r="32" spans="1:21" s="444" customFormat="1">
      <c r="A32" s="438" t="s">
        <v>310</v>
      </c>
      <c r="B32" s="439" t="s">
        <v>164</v>
      </c>
      <c r="C32" s="440">
        <v>0</v>
      </c>
      <c r="D32" s="440">
        <v>0</v>
      </c>
      <c r="E32" s="441">
        <v>0</v>
      </c>
      <c r="F32" s="352">
        <v>0</v>
      </c>
      <c r="G32" s="352">
        <v>0</v>
      </c>
      <c r="H32" s="442">
        <v>0</v>
      </c>
      <c r="I32" s="442">
        <v>0</v>
      </c>
      <c r="J32" s="442">
        <v>0</v>
      </c>
      <c r="K32" s="442">
        <v>0</v>
      </c>
      <c r="L32" s="442">
        <v>1</v>
      </c>
      <c r="M32" s="442">
        <v>0</v>
      </c>
      <c r="N32" s="443" t="s">
        <v>142</v>
      </c>
      <c r="O32" s="439" t="s">
        <v>142</v>
      </c>
      <c r="P32" s="444" t="s">
        <v>201</v>
      </c>
      <c r="T32" s="444" t="s">
        <v>310</v>
      </c>
      <c r="U32" s="445"/>
    </row>
    <row r="33" spans="1:21" s="444" customFormat="1">
      <c r="A33" s="438" t="s">
        <v>311</v>
      </c>
      <c r="B33" s="439" t="s">
        <v>165</v>
      </c>
      <c r="C33" s="440">
        <v>0</v>
      </c>
      <c r="D33" s="440">
        <v>0</v>
      </c>
      <c r="E33" s="441">
        <v>0</v>
      </c>
      <c r="F33" s="352">
        <v>0</v>
      </c>
      <c r="G33" s="352">
        <v>0</v>
      </c>
      <c r="H33" s="442">
        <v>0</v>
      </c>
      <c r="I33" s="442">
        <v>0</v>
      </c>
      <c r="J33" s="442">
        <v>0</v>
      </c>
      <c r="K33" s="442">
        <v>0</v>
      </c>
      <c r="L33" s="442">
        <v>0</v>
      </c>
      <c r="M33" s="442">
        <v>1</v>
      </c>
      <c r="N33" s="443" t="s">
        <v>142</v>
      </c>
      <c r="O33" s="439" t="s">
        <v>142</v>
      </c>
      <c r="P33" s="444" t="s">
        <v>201</v>
      </c>
      <c r="T33" s="444" t="s">
        <v>311</v>
      </c>
      <c r="U33" s="445"/>
    </row>
    <row r="34" spans="1:21" s="444" customFormat="1">
      <c r="A34" s="438" t="s">
        <v>312</v>
      </c>
      <c r="B34" s="439" t="s">
        <v>166</v>
      </c>
      <c r="C34" s="440">
        <v>9.1324903786741997E-3</v>
      </c>
      <c r="D34" s="440">
        <v>0.1499650643410893</v>
      </c>
      <c r="E34" s="446">
        <v>4.7750511864879989E-2</v>
      </c>
      <c r="F34" s="352">
        <v>0.52941993306755752</v>
      </c>
      <c r="G34" s="352">
        <v>7.1616957660465413E-2</v>
      </c>
      <c r="H34" s="442">
        <v>3.2719252642102181E-2</v>
      </c>
      <c r="I34" s="442">
        <v>0.15466180452581832</v>
      </c>
      <c r="J34" s="442">
        <v>0.1873810571679205</v>
      </c>
      <c r="K34" s="442">
        <v>4.7339855194130512E-3</v>
      </c>
      <c r="L34" s="442">
        <v>0</v>
      </c>
      <c r="M34" s="442">
        <v>0</v>
      </c>
      <c r="N34" s="443">
        <v>10.119999999999999</v>
      </c>
      <c r="O34" s="439">
        <v>10.119999999999999</v>
      </c>
      <c r="P34" s="444" t="s">
        <v>201</v>
      </c>
      <c r="T34" s="444" t="s">
        <v>312</v>
      </c>
      <c r="U34" s="445"/>
    </row>
    <row r="35" spans="1:21" s="444" customFormat="1">
      <c r="A35" s="438" t="s">
        <v>313</v>
      </c>
      <c r="B35" s="439" t="s">
        <v>167</v>
      </c>
      <c r="C35" s="440">
        <v>4.4321953642344092E-2</v>
      </c>
      <c r="D35" s="440">
        <v>0.725351011970228</v>
      </c>
      <c r="E35" s="441">
        <v>0.23032703438742769</v>
      </c>
      <c r="F35" s="352">
        <v>0</v>
      </c>
      <c r="G35" s="352">
        <v>0</v>
      </c>
      <c r="H35" s="442">
        <v>0</v>
      </c>
      <c r="I35" s="442">
        <v>0</v>
      </c>
      <c r="J35" s="442">
        <v>0</v>
      </c>
      <c r="K35" s="442">
        <v>0</v>
      </c>
      <c r="L35" s="442">
        <v>0</v>
      </c>
      <c r="M35" s="442">
        <v>0</v>
      </c>
      <c r="N35" s="443">
        <v>10.130000000000001</v>
      </c>
      <c r="O35" s="439">
        <v>10.14</v>
      </c>
      <c r="P35" s="444" t="s">
        <v>201</v>
      </c>
      <c r="T35" s="444" t="s">
        <v>313</v>
      </c>
      <c r="U35" s="445"/>
    </row>
    <row r="36" spans="1:21" s="444" customFormat="1">
      <c r="A36" s="438" t="s">
        <v>314</v>
      </c>
      <c r="B36" s="439" t="s">
        <v>168</v>
      </c>
      <c r="C36" s="440">
        <v>4.4352268991966613E-2</v>
      </c>
      <c r="D36" s="440">
        <v>0.72541286094623647</v>
      </c>
      <c r="E36" s="446">
        <v>0.23023487006179677</v>
      </c>
      <c r="F36" s="352">
        <v>0</v>
      </c>
      <c r="G36" s="352">
        <v>0</v>
      </c>
      <c r="H36" s="442">
        <v>0</v>
      </c>
      <c r="I36" s="442">
        <v>0</v>
      </c>
      <c r="J36" s="442">
        <v>0</v>
      </c>
      <c r="K36" s="442">
        <v>0</v>
      </c>
      <c r="L36" s="442">
        <v>0</v>
      </c>
      <c r="M36" s="442">
        <v>0</v>
      </c>
      <c r="N36" s="443">
        <v>10.130000000000001</v>
      </c>
      <c r="O36" s="439">
        <v>10.15</v>
      </c>
      <c r="P36" s="444" t="s">
        <v>201</v>
      </c>
      <c r="T36" s="444" t="s">
        <v>314</v>
      </c>
      <c r="U36" s="445"/>
    </row>
    <row r="37" spans="1:21" s="444" customFormat="1">
      <c r="A37" s="438" t="s">
        <v>280</v>
      </c>
      <c r="B37" s="439" t="s">
        <v>156</v>
      </c>
      <c r="C37" s="440">
        <v>1.9141955588282758E-2</v>
      </c>
      <c r="D37" s="440">
        <v>0.27398036455512026</v>
      </c>
      <c r="E37" s="441">
        <v>3.2100059840287035E-2</v>
      </c>
      <c r="F37" s="352">
        <v>0.41769949533400635</v>
      </c>
      <c r="G37" s="352">
        <v>4.9355006141802826E-2</v>
      </c>
      <c r="H37" s="442">
        <v>2.6508898015263672E-2</v>
      </c>
      <c r="I37" s="442">
        <v>0.12117948257707835</v>
      </c>
      <c r="J37" s="442">
        <v>0.14768838059234202</v>
      </c>
      <c r="K37" s="442">
        <v>3.2247311804357438E-3</v>
      </c>
      <c r="L37" s="442">
        <v>0</v>
      </c>
      <c r="M37" s="442">
        <v>5.6810006767722993E-2</v>
      </c>
      <c r="N37" s="443">
        <v>10.14</v>
      </c>
      <c r="O37" s="439">
        <v>10.130000000000001</v>
      </c>
      <c r="P37" s="444" t="s">
        <v>201</v>
      </c>
      <c r="T37" s="444" t="s">
        <v>280</v>
      </c>
      <c r="U37" s="445"/>
    </row>
    <row r="38" spans="1:21" s="444" customFormat="1">
      <c r="A38" s="438" t="s">
        <v>315</v>
      </c>
      <c r="B38" s="439" t="s">
        <v>157</v>
      </c>
      <c r="C38" s="440">
        <v>2.1964447137454598E-2</v>
      </c>
      <c r="D38" s="440">
        <v>0.2694866159577109</v>
      </c>
      <c r="E38" s="441">
        <v>6.0534878324491039E-2</v>
      </c>
      <c r="F38" s="352">
        <v>0.43300335525850536</v>
      </c>
      <c r="G38" s="352">
        <v>5.6219459201840398E-2</v>
      </c>
      <c r="H38" s="442">
        <v>2.4406945145812743E-2</v>
      </c>
      <c r="I38" s="442">
        <v>0.11606394525021634</v>
      </c>
      <c r="J38" s="442">
        <v>0.14047089039602909</v>
      </c>
      <c r="K38" s="442">
        <v>2.8637111529326575E-3</v>
      </c>
      <c r="L38" s="442">
        <v>0</v>
      </c>
      <c r="M38" s="442">
        <v>1.5456642571035972E-2</v>
      </c>
      <c r="N38" s="443">
        <v>10.15</v>
      </c>
      <c r="O38" s="439">
        <v>10.14</v>
      </c>
      <c r="P38" s="444" t="s">
        <v>201</v>
      </c>
      <c r="T38" s="444" t="s">
        <v>315</v>
      </c>
      <c r="U38" s="445"/>
    </row>
    <row r="39" spans="1:21" s="444" customFormat="1">
      <c r="A39" s="438" t="s">
        <v>266</v>
      </c>
      <c r="B39" s="439" t="s">
        <v>154</v>
      </c>
      <c r="C39" s="440">
        <v>2.0617129421201887E-2</v>
      </c>
      <c r="D39" s="440">
        <v>0.25843484855325471</v>
      </c>
      <c r="E39" s="441">
        <v>4.8301318201646348E-2</v>
      </c>
      <c r="F39" s="352">
        <v>0.44212381532613826</v>
      </c>
      <c r="G39" s="352">
        <v>5.5840257545198342E-2</v>
      </c>
      <c r="H39" s="442">
        <v>2.5091147289045518E-2</v>
      </c>
      <c r="I39" s="442">
        <v>0.11944648027473974</v>
      </c>
      <c r="J39" s="442">
        <v>0.14453762756378524</v>
      </c>
      <c r="K39" s="442">
        <v>2.9807495238077333E-3</v>
      </c>
      <c r="L39" s="442">
        <v>0</v>
      </c>
      <c r="M39" s="442">
        <v>2.7164253864967475E-2</v>
      </c>
      <c r="N39" s="443">
        <v>10.15</v>
      </c>
      <c r="O39" s="439">
        <v>10.15</v>
      </c>
      <c r="P39" s="444" t="s">
        <v>201</v>
      </c>
      <c r="T39" s="444" t="s">
        <v>266</v>
      </c>
      <c r="U39" s="445"/>
    </row>
    <row r="40" spans="1:21" s="444" customFormat="1">
      <c r="A40" s="438" t="s">
        <v>316</v>
      </c>
      <c r="B40" s="439" t="s">
        <v>169</v>
      </c>
      <c r="C40" s="440">
        <v>2.1557473774207744E-2</v>
      </c>
      <c r="D40" s="440">
        <v>0.24758459906611191</v>
      </c>
      <c r="E40" s="441">
        <v>7.3040782778297522E-2</v>
      </c>
      <c r="F40" s="352">
        <v>0.44437752867183572</v>
      </c>
      <c r="G40" s="352">
        <v>5.890713786058533E-2</v>
      </c>
      <c r="H40" s="442">
        <v>2.62450311171172E-2</v>
      </c>
      <c r="I40" s="442">
        <v>0.12539005062984135</v>
      </c>
      <c r="J40" s="442">
        <v>0.15163508174695856</v>
      </c>
      <c r="K40" s="442">
        <v>2.8973961020029916E-3</v>
      </c>
      <c r="L40" s="442">
        <v>0</v>
      </c>
      <c r="M40" s="442">
        <v>0</v>
      </c>
      <c r="N40" s="443">
        <v>10.15</v>
      </c>
      <c r="O40" s="439">
        <v>10.15</v>
      </c>
      <c r="P40" s="444" t="s">
        <v>201</v>
      </c>
      <c r="T40" s="444" t="s">
        <v>316</v>
      </c>
      <c r="U40" s="445"/>
    </row>
    <row r="41" spans="1:21" s="444" customFormat="1">
      <c r="A41" s="438" t="s">
        <v>440</v>
      </c>
      <c r="B41" s="438" t="s">
        <v>441</v>
      </c>
      <c r="C41" s="352">
        <v>2.7415387839264244E-2</v>
      </c>
      <c r="D41" s="352">
        <v>0.33133137419819325</v>
      </c>
      <c r="E41" s="448">
        <v>8.8954870577216141E-2</v>
      </c>
      <c r="F41" s="352">
        <v>0</v>
      </c>
      <c r="G41" s="352">
        <v>0.11276317344781031</v>
      </c>
      <c r="H41" s="352">
        <v>0.36801411184202137</v>
      </c>
      <c r="I41" s="352">
        <v>4.7233957535790266E-2</v>
      </c>
      <c r="J41" s="352">
        <v>2.1006552634362435E-2</v>
      </c>
      <c r="K41" s="352">
        <f>G41+J41</f>
        <v>0.13376972608217275</v>
      </c>
      <c r="L41" s="352">
        <v>2.3631039566528356E-3</v>
      </c>
      <c r="M41" s="352">
        <v>9.1746796868945248E-4</v>
      </c>
      <c r="N41" s="352">
        <v>0</v>
      </c>
      <c r="O41" s="439">
        <v>1.0000000000000004</v>
      </c>
      <c r="P41" s="444" t="s">
        <v>201</v>
      </c>
      <c r="T41" s="444" t="s">
        <v>440</v>
      </c>
      <c r="U41" s="445"/>
    </row>
    <row r="42" spans="1:21" s="444" customFormat="1">
      <c r="A42" s="438" t="s">
        <v>442</v>
      </c>
      <c r="B42" s="438" t="s">
        <v>443</v>
      </c>
      <c r="C42" s="352">
        <v>1.7014453950307894E-2</v>
      </c>
      <c r="D42" s="352">
        <v>0.2643175523340916</v>
      </c>
      <c r="E42" s="448">
        <v>8.1728459911446033E-2</v>
      </c>
      <c r="F42" s="352">
        <v>0</v>
      </c>
      <c r="G42" s="352">
        <v>0.13077017816440101</v>
      </c>
      <c r="H42" s="352">
        <v>0.41975548932448564</v>
      </c>
      <c r="I42" s="352">
        <v>5.7368120544152079E-2</v>
      </c>
      <c r="J42" s="352">
        <v>2.9045745771115732E-2</v>
      </c>
      <c r="K42" s="352">
        <f>G42+J42</f>
        <v>0.15981592393551675</v>
      </c>
      <c r="L42" s="352">
        <v>0</v>
      </c>
      <c r="M42" s="352">
        <v>0</v>
      </c>
      <c r="N42" s="352">
        <v>0</v>
      </c>
      <c r="O42" s="439">
        <v>1</v>
      </c>
      <c r="P42" s="444" t="s">
        <v>201</v>
      </c>
      <c r="T42" s="444" t="s">
        <v>442</v>
      </c>
      <c r="U42" s="445"/>
    </row>
  </sheetData>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CZ92"/>
  <sheetViews>
    <sheetView topLeftCell="A46" workbookViewId="0">
      <selection activeCell="F16" sqref="F16"/>
    </sheetView>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1.28515625" style="4"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7" t="str">
        <f>RevReqSummary!A1</f>
        <v>PacifiCorp General Rate Case UE-140617</v>
      </c>
      <c r="C1" s="8"/>
      <c r="E1" s="8"/>
      <c r="F1" s="1394"/>
      <c r="G1" s="1394"/>
      <c r="H1" s="1394"/>
      <c r="I1" s="1394"/>
      <c r="J1" s="1302"/>
      <c r="K1" s="1302"/>
      <c r="L1" s="1302"/>
    </row>
    <row r="2" spans="1:104">
      <c r="A2" s="17" t="str">
        <f>RevReqSummary!A2</f>
        <v>For The Twelve Months Ended December 2013 - Staff Revenue Requirement</v>
      </c>
      <c r="C2" s="8"/>
      <c r="D2" s="1089"/>
      <c r="E2" s="8"/>
      <c r="F2" s="1394"/>
      <c r="G2" s="1394"/>
      <c r="H2" s="1394"/>
      <c r="I2" s="1394"/>
      <c r="J2" s="1302"/>
      <c r="K2" s="1302"/>
      <c r="L2" s="1302"/>
    </row>
    <row r="3" spans="1:104">
      <c r="A3" s="17" t="s">
        <v>1096</v>
      </c>
      <c r="C3" s="8"/>
      <c r="D3" s="1089"/>
      <c r="E3" s="8"/>
      <c r="F3" s="1302"/>
      <c r="G3" s="1302"/>
      <c r="H3" s="1302"/>
      <c r="I3" s="1302"/>
      <c r="J3" s="1302"/>
      <c r="K3" s="1302"/>
      <c r="L3" s="1302"/>
    </row>
    <row r="4" spans="1:104" s="1090" customFormat="1">
      <c r="C4" s="1091" t="s">
        <v>380</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150000000000006" customHeight="1">
      <c r="B5" s="1111"/>
      <c r="C5" s="1304"/>
      <c r="D5" s="1307" t="str">
        <f>'Adj - Total'!D5</f>
        <v>Temperature Normalization</v>
      </c>
      <c r="E5" s="1307" t="str">
        <f>'Adj - Total'!E5</f>
        <v>Revenue Normalization</v>
      </c>
      <c r="F5" s="1307" t="str">
        <f>'Adj - Total'!F5</f>
        <v>Effective Price Change</v>
      </c>
      <c r="G5" s="1307" t="str">
        <f>'Adj - Total'!G5</f>
        <v>SO2 Emission Allowance Sales</v>
      </c>
      <c r="H5" s="1308" t="str">
        <f>'Adj - Total'!H5</f>
        <v>REC &amp; REA Revenue</v>
      </c>
      <c r="I5" s="1304" t="str">
        <f>'Adj - Total'!I5</f>
        <v>Wheeling Revenue</v>
      </c>
      <c r="J5" s="1304" t="str">
        <f>'Adj - Total'!J5</f>
        <v>Ancillary Revenue</v>
      </c>
      <c r="K5" s="1304" t="str">
        <f>'Adj - Total'!K5</f>
        <v>Schedule 300 Fee Change</v>
      </c>
      <c r="L5" s="1304" t="str">
        <f>'Adj - Total'!L5</f>
        <v>Wind Wake Loss Revenues</v>
      </c>
      <c r="M5" s="1304" t="str">
        <f>'Adj - Total'!M5</f>
        <v>Miscellaneous General Expense Adj.</v>
      </c>
      <c r="N5" s="1304" t="str">
        <f>'Adj - Total'!N5</f>
        <v>Gen Wage Increase Restating.</v>
      </c>
      <c r="O5" s="1304" t="str">
        <f>'Adj - Total'!O5</f>
        <v>Gen Wage Increase
Pro Forma</v>
      </c>
      <c r="P5" s="1304" t="str">
        <f>'Adj - Total'!P5</f>
        <v>Irrigation Load Control Program</v>
      </c>
      <c r="Q5" s="1304" t="str">
        <f>'Adj - Total'!Q5</f>
        <v>Remove Non-Recurring Entries</v>
      </c>
      <c r="R5" s="1303" t="str">
        <f>'Adj - Total'!R5</f>
        <v>DSM Removal Adjustment</v>
      </c>
      <c r="S5" s="1304" t="str">
        <f>'Adj - Total'!S5</f>
        <v>Insurance Expense</v>
      </c>
      <c r="T5" s="1303" t="str">
        <f>'Adj - Total'!T5</f>
        <v>Advertising</v>
      </c>
      <c r="U5" s="1304" t="str">
        <f>'Adj - Total'!U5</f>
        <v>Memberships &amp; Subscriptions</v>
      </c>
      <c r="V5" s="1304" t="str">
        <f>'Adj - Total'!V5</f>
        <v>Uncollectible Expense</v>
      </c>
      <c r="W5" s="1303" t="str">
        <f>'Adj - Total'!W5</f>
        <v>Legal Expense</v>
      </c>
      <c r="X5" s="1304" t="str">
        <f>'Adj - Total'!X5</f>
        <v>Collection Agency Fees</v>
      </c>
      <c r="Y5" s="1304" t="str">
        <f>'Adj - Total'!Y5</f>
        <v>IHS Global Insight Escalation</v>
      </c>
      <c r="Z5" s="1308" t="str">
        <f>'Adj - Total'!Z5</f>
        <v>Net Power Costs
Restating</v>
      </c>
      <c r="AA5" s="1308" t="str">
        <f>'Adj - Total'!AA5</f>
        <v>Net Power Costs
Pro Forma</v>
      </c>
      <c r="AB5" s="1308" t="str">
        <f>'Adj - Total'!AB5</f>
        <v>James River Royalty Offset</v>
      </c>
      <c r="AC5" s="1304" t="str">
        <f>'Adj - Total'!AC5</f>
        <v>Removal of Colstrip #3</v>
      </c>
      <c r="AD5" s="1303" t="str">
        <f>'Adj - Total'!AD5</f>
        <v>Hydro Decommissioning</v>
      </c>
      <c r="AE5" s="1304" t="str">
        <f>'Adj - Total'!AE5</f>
        <v>Deprec. &amp; Amort. Reserve to Dec 2013 Balance</v>
      </c>
      <c r="AF5" s="1304" t="str">
        <f>'Adj - Total'!AF5</f>
        <v>Proposed Depreciation Rates - Expense</v>
      </c>
      <c r="AG5" s="1304" t="str">
        <f>'Adj - Total'!AG5</f>
        <v>Vehicle Depreication Study</v>
      </c>
      <c r="AH5" s="1303" t="str">
        <f>'Adj - Total'!AH5</f>
        <v>Interest True-up</v>
      </c>
      <c r="AI5" s="1304" t="str">
        <f>'Adj - Total'!AI5</f>
        <v>Property Tax Expense</v>
      </c>
      <c r="AJ5" s="1304" t="str">
        <f>'Adj - Total'!AJ5</f>
        <v>Renewable Energy Tax Credit</v>
      </c>
      <c r="AK5" s="1304" t="str">
        <f>'Adj - Total'!AK5</f>
        <v>Power Tax ADIT Balance</v>
      </c>
      <c r="AL5" s="1304" t="str">
        <f>'Adj - Total'!AL5</f>
        <v>WA Low Income Tax Credit</v>
      </c>
      <c r="AM5" s="1304" t="str">
        <f>'Adj - Total'!AM5</f>
        <v>WA 
Flow-through</v>
      </c>
      <c r="AN5" s="1304" t="str">
        <f>'Adj - Total'!AN5</f>
        <v>Remove Deferred State Tax &amp; Expense Balance</v>
      </c>
      <c r="AO5" s="1304" t="str">
        <f>'Adj - Total'!AO5</f>
        <v>WA Public Utility Tax Adjustment</v>
      </c>
      <c r="AP5" s="1303" t="str">
        <f>'Adj - Total'!AP5</f>
        <v>JimBridger Mine Rate Base</v>
      </c>
      <c r="AQ5" s="1303" t="str">
        <f>'Adj - Total'!AQ5</f>
        <v>Environmental Remediation</v>
      </c>
      <c r="AR5" s="1304" t="str">
        <f>'Adj - Total'!AR5</f>
        <v>Customer Advances for Construction</v>
      </c>
      <c r="AS5" s="1303" t="str">
        <f>'Adj - Total'!AS5</f>
        <v>Major Plant Additions</v>
      </c>
      <c r="AT5" s="1304" t="str">
        <f>'Adj - Total'!AT5</f>
        <v>Miscellaneous 
Rate Base</v>
      </c>
      <c r="AU5" s="1303" t="str">
        <f>'Adj - Total'!AU5</f>
        <v>Powerdale Hydro Removal</v>
      </c>
      <c r="AV5" s="1304" t="str">
        <f>'Adj - Total'!AV5</f>
        <v>Removal of 
Colstrip #4 AFUDC</v>
      </c>
      <c r="AW5" s="1304" t="str">
        <f>'Adj - Total'!AW5</f>
        <v>Trojan Unrecovered Plant</v>
      </c>
      <c r="AX5" s="1304" t="str">
        <f>'Adj - Total'!AX5</f>
        <v>Customer Service Deposits</v>
      </c>
      <c r="AY5" s="1304" t="str">
        <f>'Adj - Total'!AY5</f>
        <v>Regulatory Aasset Amortization</v>
      </c>
      <c r="AZ5" s="1304" t="str">
        <f>'Adj - Total'!AZ5</f>
        <v>Miscellaneous Asset Sales and Removals</v>
      </c>
      <c r="BA5" s="1306" t="str">
        <f>'Adj - Total'!BA5</f>
        <v>Adjust June 2012 AMA Plant Balances to June 2012 Balance</v>
      </c>
      <c r="BB5" s="1306" t="str">
        <f>'Adj - Total'!BB5</f>
        <v>Investor Supplied Working Capital</v>
      </c>
      <c r="BC5" s="1305" t="str">
        <f>'Adj - Total'!BC5</f>
        <v>Production Factor</v>
      </c>
      <c r="BD5" s="1305"/>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 3.1 Temp Norm'!D14</f>
        <v>-5692761.2699999996</v>
      </c>
      <c r="E7" s="1080">
        <f>'Adj 3.2 Rev Norm'!G14</f>
        <v>-7427584.4312790008</v>
      </c>
      <c r="F7" s="1080">
        <f>'Adj 3.3 Effec. Price Change'!G13</f>
        <v>17025824.820802085</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c r="Y7" s="1080">
        <v>0</v>
      </c>
      <c r="Z7" s="1080">
        <v>0</v>
      </c>
      <c r="AA7" s="1080">
        <v>0</v>
      </c>
      <c r="AB7" s="1080">
        <v>0</v>
      </c>
      <c r="AC7" s="1080">
        <v>0</v>
      </c>
      <c r="AD7" s="1080">
        <v>0</v>
      </c>
      <c r="AE7" s="1080">
        <v>0</v>
      </c>
      <c r="AF7" s="1080"/>
      <c r="AG7" s="1080">
        <v>0</v>
      </c>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2</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c r="Y8" s="1080">
        <v>0</v>
      </c>
      <c r="Z8" s="1080">
        <v>0</v>
      </c>
      <c r="AA8" s="1080">
        <v>0</v>
      </c>
      <c r="AB8" s="1080">
        <v>0</v>
      </c>
      <c r="AC8" s="1080">
        <v>0</v>
      </c>
      <c r="AD8" s="1080">
        <v>0</v>
      </c>
      <c r="AE8" s="1080">
        <v>0</v>
      </c>
      <c r="AF8" s="1080"/>
      <c r="AG8" s="1080">
        <v>0</v>
      </c>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3</v>
      </c>
      <c r="B9" s="8" t="s">
        <v>13</v>
      </c>
      <c r="C9" s="1083">
        <f>SUM(D9:BC9)</f>
        <v>49115714.281319283</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c r="Y9" s="1080">
        <v>0</v>
      </c>
      <c r="Z9" s="1080">
        <f>'Adj 5.1 NPC- Restating'!G12</f>
        <v>49115714.281319283</v>
      </c>
      <c r="AA9" s="1080">
        <v>0</v>
      </c>
      <c r="AB9" s="1080">
        <v>0</v>
      </c>
      <c r="AC9" s="1080">
        <v>0</v>
      </c>
      <c r="AD9" s="1080">
        <v>0</v>
      </c>
      <c r="AE9" s="1080">
        <v>0</v>
      </c>
      <c r="AF9" s="1080"/>
      <c r="AG9" s="1080">
        <v>0</v>
      </c>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v>0</v>
      </c>
      <c r="BD9" s="1053"/>
      <c r="CZ9" s="10"/>
    </row>
    <row r="10" spans="1:104">
      <c r="A10" s="4">
        <v>4</v>
      </c>
      <c r="B10" s="8" t="s">
        <v>14</v>
      </c>
      <c r="C10" s="1083">
        <f>SUM(D10:BC10)</f>
        <v>-5636806.9866822474</v>
      </c>
      <c r="D10" s="1080">
        <v>0</v>
      </c>
      <c r="E10" s="1080">
        <v>0</v>
      </c>
      <c r="F10" s="1080">
        <v>0</v>
      </c>
      <c r="G10" s="1080">
        <v>0</v>
      </c>
      <c r="H10" s="1080">
        <f>'Adj 3.5 Rec Rev'!G9+'Adj 3.5 Rec Rev'!G11</f>
        <v>-2253339.1310724937</v>
      </c>
      <c r="I10" s="1080">
        <f>'Adj 3.6 Wheeling Rev'!G9</f>
        <v>-213923</v>
      </c>
      <c r="J10" s="1080">
        <v>0</v>
      </c>
      <c r="K10" s="1080">
        <v>0</v>
      </c>
      <c r="L10" s="1080">
        <f>'Adj 3.9 Wind Wake Loss'!G10</f>
        <v>-11430.308529090542</v>
      </c>
      <c r="M10" s="1080"/>
      <c r="N10" s="1080">
        <v>0</v>
      </c>
      <c r="O10" s="1080">
        <v>0</v>
      </c>
      <c r="P10" s="1080">
        <v>0</v>
      </c>
      <c r="Q10" s="1080">
        <f>'Adj 4.5 Remove Non-Recurring En'!G10</f>
        <v>-158114.54708066303</v>
      </c>
      <c r="R10" s="1080"/>
      <c r="S10" s="1080">
        <v>0</v>
      </c>
      <c r="T10" s="1080">
        <v>0</v>
      </c>
      <c r="U10" s="1080">
        <v>0</v>
      </c>
      <c r="V10" s="1080">
        <v>0</v>
      </c>
      <c r="W10" s="1080">
        <v>0</v>
      </c>
      <c r="X10" s="1080"/>
      <c r="Y10" s="1080">
        <v>0</v>
      </c>
      <c r="Z10" s="1080">
        <v>0</v>
      </c>
      <c r="AA10" s="1080">
        <v>0</v>
      </c>
      <c r="AB10" s="1080">
        <v>0</v>
      </c>
      <c r="AC10" s="1080">
        <v>0</v>
      </c>
      <c r="AD10" s="1080">
        <v>0</v>
      </c>
      <c r="AE10" s="1080">
        <v>0</v>
      </c>
      <c r="AF10" s="1080"/>
      <c r="AG10" s="1080">
        <v>0</v>
      </c>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080">
        <f>'Adj 8.10 Reg Asset Amort '!D9</f>
        <v>-3000000</v>
      </c>
      <c r="AZ10" s="1080">
        <v>0</v>
      </c>
      <c r="BA10" s="1080">
        <v>0</v>
      </c>
      <c r="BB10" s="1080">
        <v>0</v>
      </c>
      <c r="BC10" s="1080">
        <v>0</v>
      </c>
      <c r="BD10" s="1053"/>
      <c r="CZ10" s="10"/>
    </row>
    <row r="11" spans="1:104">
      <c r="A11" s="4">
        <v>5</v>
      </c>
      <c r="B11" s="1283" t="s">
        <v>15</v>
      </c>
      <c r="C11" s="1286">
        <f t="shared" ref="C11:L11" si="0">SUM(C7:C10)</f>
        <v>47384386.414160118</v>
      </c>
      <c r="D11" s="1082">
        <f t="shared" si="0"/>
        <v>-5692761.2699999996</v>
      </c>
      <c r="E11" s="1082">
        <f t="shared" si="0"/>
        <v>-7427584.4312790008</v>
      </c>
      <c r="F11" s="1082">
        <f t="shared" si="0"/>
        <v>17025824.820802085</v>
      </c>
      <c r="G11" s="1082">
        <f t="shared" si="0"/>
        <v>0</v>
      </c>
      <c r="H11" s="1082">
        <f t="shared" si="0"/>
        <v>-2253339.1310724937</v>
      </c>
      <c r="I11" s="1082">
        <f t="shared" si="0"/>
        <v>-213923</v>
      </c>
      <c r="J11" s="1082">
        <f t="shared" si="0"/>
        <v>0</v>
      </c>
      <c r="K11" s="1082">
        <f t="shared" si="0"/>
        <v>0</v>
      </c>
      <c r="L11" s="1082">
        <f t="shared" si="0"/>
        <v>-11430.308529090542</v>
      </c>
      <c r="M11" s="1082">
        <f t="shared" ref="M11:W11" si="1">SUM(M7:M10)</f>
        <v>0</v>
      </c>
      <c r="N11" s="1082">
        <f t="shared" si="1"/>
        <v>0</v>
      </c>
      <c r="O11" s="1082">
        <f t="shared" si="1"/>
        <v>0</v>
      </c>
      <c r="P11" s="1082">
        <f t="shared" si="1"/>
        <v>0</v>
      </c>
      <c r="Q11" s="1082">
        <f t="shared" si="1"/>
        <v>-158114.54708066303</v>
      </c>
      <c r="R11" s="1082">
        <f t="shared" si="1"/>
        <v>0</v>
      </c>
      <c r="S11" s="1082">
        <f t="shared" si="1"/>
        <v>0</v>
      </c>
      <c r="T11" s="1082">
        <f t="shared" si="1"/>
        <v>0</v>
      </c>
      <c r="U11" s="1082">
        <f t="shared" si="1"/>
        <v>0</v>
      </c>
      <c r="V11" s="1082">
        <f t="shared" si="1"/>
        <v>0</v>
      </c>
      <c r="W11" s="1082">
        <f t="shared" si="1"/>
        <v>0</v>
      </c>
      <c r="X11" s="1082"/>
      <c r="Y11" s="1082">
        <f t="shared" ref="Y11:AD11" si="2">SUM(Y7:Y10)</f>
        <v>0</v>
      </c>
      <c r="Z11" s="1082">
        <f t="shared" si="2"/>
        <v>49115714.281319283</v>
      </c>
      <c r="AA11" s="1082">
        <f t="shared" si="2"/>
        <v>0</v>
      </c>
      <c r="AB11" s="1082">
        <f t="shared" si="2"/>
        <v>0</v>
      </c>
      <c r="AC11" s="1082">
        <f t="shared" si="2"/>
        <v>0</v>
      </c>
      <c r="AD11" s="1082">
        <f t="shared" si="2"/>
        <v>0</v>
      </c>
      <c r="AE11" s="1082">
        <f>SUM(AE7:AE10)</f>
        <v>0</v>
      </c>
      <c r="AF11" s="1082"/>
      <c r="AG11" s="1082">
        <f>SUM(AG7:AG10)</f>
        <v>0</v>
      </c>
      <c r="AH11" s="1082">
        <f t="shared" ref="AH11:BC11" si="3">SUM(AH7:AH10)</f>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si="3"/>
        <v>0</v>
      </c>
      <c r="AU11" s="1082">
        <f t="shared" si="3"/>
        <v>0</v>
      </c>
      <c r="AV11" s="1082">
        <f t="shared" si="3"/>
        <v>0</v>
      </c>
      <c r="AW11" s="1082">
        <f t="shared" si="3"/>
        <v>0</v>
      </c>
      <c r="AX11" s="1082">
        <f t="shared" si="3"/>
        <v>0</v>
      </c>
      <c r="AY11" s="1082">
        <f>SUM(AY7:AY10)</f>
        <v>-3000000</v>
      </c>
      <c r="AZ11" s="1082">
        <f t="shared" si="3"/>
        <v>0</v>
      </c>
      <c r="BA11" s="1082">
        <f t="shared" si="3"/>
        <v>0</v>
      </c>
      <c r="BB11" s="1082">
        <f t="shared" si="3"/>
        <v>0</v>
      </c>
      <c r="BC11" s="1082">
        <f t="shared" si="3"/>
        <v>0</v>
      </c>
      <c r="BD11" s="1053"/>
      <c r="CZ11" s="10"/>
    </row>
    <row r="12" spans="1:104">
      <c r="A12" s="4">
        <v>6</v>
      </c>
      <c r="B12" s="8"/>
      <c r="C12" s="975"/>
      <c r="D12" s="1080"/>
      <c r="E12" s="1080"/>
      <c r="F12" s="1080">
        <v>0</v>
      </c>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v>0</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4">SUM(D14:BC14)</f>
        <v>2343666.6061982932</v>
      </c>
      <c r="D14" s="1080">
        <v>0</v>
      </c>
      <c r="E14" s="1080">
        <v>0</v>
      </c>
      <c r="F14" s="1080">
        <v>0</v>
      </c>
      <c r="G14" s="1080">
        <v>0</v>
      </c>
      <c r="H14" s="1080">
        <v>0</v>
      </c>
      <c r="I14" s="1080">
        <v>0</v>
      </c>
      <c r="J14" s="1080">
        <v>0</v>
      </c>
      <c r="K14" s="1080">
        <v>0</v>
      </c>
      <c r="L14" s="1080">
        <v>0</v>
      </c>
      <c r="M14" s="1080">
        <v>0</v>
      </c>
      <c r="N14" s="1080">
        <f>'Adj 4.2 Gen Wage Inc-Restating'!G18</f>
        <v>-8712.2506004676943</v>
      </c>
      <c r="O14" s="1080">
        <v>0</v>
      </c>
      <c r="P14" s="1080">
        <v>0</v>
      </c>
      <c r="Q14" s="1080">
        <f>'Adj 4.5 Remove Non-Recurring En'!G9</f>
        <v>-2677.954313646268</v>
      </c>
      <c r="R14" s="1080"/>
      <c r="S14" s="1080">
        <v>0</v>
      </c>
      <c r="T14" s="1080">
        <v>0</v>
      </c>
      <c r="U14" s="1080">
        <v>0</v>
      </c>
      <c r="V14" s="1080">
        <v>0</v>
      </c>
      <c r="W14" s="1080">
        <f>'Adj 4.11 Legal Exp'!G14</f>
        <v>8569.2274704591728</v>
      </c>
      <c r="X14" s="1080"/>
      <c r="Y14" s="1080">
        <v>0</v>
      </c>
      <c r="Z14" s="1080">
        <f>'Adj 5.1 NPC- Restating'!G29</f>
        <v>2396809.2475024615</v>
      </c>
      <c r="AA14" s="1080">
        <v>0</v>
      </c>
      <c r="AB14" s="1080">
        <v>0</v>
      </c>
      <c r="AC14" s="1080">
        <v>0</v>
      </c>
      <c r="AD14" s="1080">
        <v>0</v>
      </c>
      <c r="AE14" s="1080">
        <v>0</v>
      </c>
      <c r="AF14" s="1080"/>
      <c r="AG14" s="1080">
        <f>SUM('Adj 6.4 Vehicle Depreciation'!G9:G20)</f>
        <v>-50321.66386051404</v>
      </c>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v>0</v>
      </c>
      <c r="BD14" s="1053"/>
      <c r="CZ14" s="10"/>
    </row>
    <row r="15" spans="1:104">
      <c r="A15" s="4">
        <v>9</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c r="R15" s="1080"/>
      <c r="S15" s="1080">
        <v>0</v>
      </c>
      <c r="T15" s="1080">
        <v>0</v>
      </c>
      <c r="U15" s="1080">
        <v>0</v>
      </c>
      <c r="V15" s="1080">
        <v>0</v>
      </c>
      <c r="W15" s="1080">
        <v>0</v>
      </c>
      <c r="X15" s="1080"/>
      <c r="Y15" s="1080">
        <v>0</v>
      </c>
      <c r="Z15" s="1080">
        <v>0</v>
      </c>
      <c r="AA15" s="1080">
        <v>0</v>
      </c>
      <c r="AB15" s="1080">
        <v>0</v>
      </c>
      <c r="AC15" s="1080">
        <v>0</v>
      </c>
      <c r="AD15" s="1080">
        <v>0</v>
      </c>
      <c r="AE15" s="1080">
        <v>0</v>
      </c>
      <c r="AF15" s="1080"/>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10</v>
      </c>
      <c r="B16" s="8" t="s">
        <v>19</v>
      </c>
      <c r="C16" s="1083">
        <f t="shared" si="4"/>
        <v>-28190.057298298911</v>
      </c>
      <c r="D16" s="1080">
        <v>0</v>
      </c>
      <c r="E16" s="1080">
        <v>0</v>
      </c>
      <c r="F16" s="1080">
        <v>0</v>
      </c>
      <c r="G16" s="1080">
        <v>0</v>
      </c>
      <c r="H16" s="1080">
        <v>0</v>
      </c>
      <c r="I16" s="1080">
        <v>0</v>
      </c>
      <c r="J16" s="1080">
        <v>0</v>
      </c>
      <c r="K16" s="1080">
        <v>0</v>
      </c>
      <c r="L16" s="1080">
        <v>0</v>
      </c>
      <c r="M16" s="1080">
        <v>0</v>
      </c>
      <c r="N16" s="1080">
        <f>'Adj 4.2 Gen Wage Inc-Restating'!G24</f>
        <v>-4029.4565351827396</v>
      </c>
      <c r="O16" s="1080">
        <v>0</v>
      </c>
      <c r="P16" s="1080">
        <v>0</v>
      </c>
      <c r="Q16" s="1080">
        <v>0</v>
      </c>
      <c r="R16" s="1080"/>
      <c r="S16" s="1080">
        <v>0</v>
      </c>
      <c r="T16" s="1080">
        <v>0</v>
      </c>
      <c r="U16" s="1080">
        <v>0</v>
      </c>
      <c r="V16" s="1080">
        <v>0</v>
      </c>
      <c r="W16" s="1080">
        <f>'Adj 4.11 Legal Exp'!G19</f>
        <v>-343.38767399739129</v>
      </c>
      <c r="X16" s="1080"/>
      <c r="Y16" s="1080">
        <v>0</v>
      </c>
      <c r="Z16" s="1080">
        <v>0</v>
      </c>
      <c r="AA16" s="1080">
        <v>0</v>
      </c>
      <c r="AB16" s="1080">
        <v>0</v>
      </c>
      <c r="AC16" s="1080">
        <v>0</v>
      </c>
      <c r="AD16" s="1080">
        <v>0</v>
      </c>
      <c r="AE16" s="1080">
        <v>0</v>
      </c>
      <c r="AF16" s="1080"/>
      <c r="AG16" s="1080">
        <f>SUM('Adj 6.4 Vehicle Depreciation'!G21:G26)</f>
        <v>-16832.98251015104</v>
      </c>
      <c r="AH16" s="1080">
        <v>0</v>
      </c>
      <c r="AI16" s="1080">
        <v>0</v>
      </c>
      <c r="AJ16" s="1080">
        <v>0</v>
      </c>
      <c r="AK16" s="1080">
        <v>0</v>
      </c>
      <c r="AL16" s="1080">
        <v>0</v>
      </c>
      <c r="AM16" s="1080">
        <v>0</v>
      </c>
      <c r="AN16" s="1080">
        <v>0</v>
      </c>
      <c r="AO16" s="1080">
        <v>0</v>
      </c>
      <c r="AP16" s="1080">
        <v>0</v>
      </c>
      <c r="AQ16" s="1080">
        <v>0</v>
      </c>
      <c r="AR16" s="1080">
        <v>0</v>
      </c>
      <c r="AS16" s="1080">
        <v>0</v>
      </c>
      <c r="AT16" s="1080">
        <v>0</v>
      </c>
      <c r="AU16" s="1080">
        <v>0</v>
      </c>
      <c r="AV16" s="1080">
        <v>0</v>
      </c>
      <c r="AW16" s="1080">
        <v>0</v>
      </c>
      <c r="AX16" s="1080">
        <v>0</v>
      </c>
      <c r="AY16" s="1080">
        <v>0</v>
      </c>
      <c r="AZ16" s="1080">
        <f>'Adj 8.11 Misc Asset Sales &amp; Rem'!G28</f>
        <v>-6984.2305789677403</v>
      </c>
      <c r="BA16" s="1080">
        <v>0</v>
      </c>
      <c r="BB16" s="1080">
        <v>0</v>
      </c>
      <c r="BC16" s="1080">
        <v>0</v>
      </c>
      <c r="BD16" s="1053"/>
      <c r="CZ16" s="10"/>
    </row>
    <row r="17" spans="1:104">
      <c r="A17" s="4">
        <v>11</v>
      </c>
      <c r="B17" s="8" t="s">
        <v>20</v>
      </c>
      <c r="C17" s="1083">
        <f t="shared" si="4"/>
        <v>34773731.224899374</v>
      </c>
      <c r="D17" s="1080">
        <v>0</v>
      </c>
      <c r="E17" s="1080">
        <v>0</v>
      </c>
      <c r="F17" s="1080">
        <v>0</v>
      </c>
      <c r="G17" s="1080">
        <v>0</v>
      </c>
      <c r="H17" s="1080">
        <v>0</v>
      </c>
      <c r="I17" s="1080">
        <v>0</v>
      </c>
      <c r="J17" s="1080">
        <v>0</v>
      </c>
      <c r="K17" s="1080">
        <v>0</v>
      </c>
      <c r="L17" s="1080">
        <v>0</v>
      </c>
      <c r="M17" s="1080">
        <f>'Adj 4.1 Misc Gen Exp'!G22</f>
        <v>-571.03068678181455</v>
      </c>
      <c r="N17" s="1080">
        <f>'Adj 4.2 Gen Wage Inc-Restating'!G36</f>
        <v>-4861.784858658717</v>
      </c>
      <c r="O17" s="1080">
        <v>0</v>
      </c>
      <c r="P17" s="1080">
        <f>'Adj 4.4 Irrig. Load Control'!G8</f>
        <v>-5011.1464766640465</v>
      </c>
      <c r="Q17" s="1080">
        <v>0</v>
      </c>
      <c r="R17" s="1080"/>
      <c r="S17" s="1080">
        <f>'Adj 4.7 Insurance Exp'!G18</f>
        <v>-39319.478067078089</v>
      </c>
      <c r="T17" s="1080">
        <v>0</v>
      </c>
      <c r="U17" s="1080">
        <v>0</v>
      </c>
      <c r="V17" s="1080">
        <v>0</v>
      </c>
      <c r="W17" s="1080">
        <f>'Adj 4.11 Legal Exp'!G28</f>
        <v>-61551.156267190818</v>
      </c>
      <c r="X17" s="1080"/>
      <c r="Y17" s="1080">
        <v>0</v>
      </c>
      <c r="Z17" s="1080">
        <f>'Adj 5.1 NPC- Restating'!G20+'Adj 5.1 NPC- Restating'!G30</f>
        <v>34894112.577853382</v>
      </c>
      <c r="AA17" s="1080">
        <v>0</v>
      </c>
      <c r="AB17" s="1080">
        <v>0</v>
      </c>
      <c r="AC17" s="1080">
        <v>0</v>
      </c>
      <c r="AD17" s="1080">
        <v>0</v>
      </c>
      <c r="AE17" s="1080">
        <v>0</v>
      </c>
      <c r="AF17" s="1080"/>
      <c r="AG17" s="1080">
        <f>SUM('Adj 6.4 Vehicle Depreciation'!G27:G36)</f>
        <v>-9066.7565976280148</v>
      </c>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c r="AZ17" s="1080">
        <v>0</v>
      </c>
      <c r="BA17" s="1080">
        <v>0</v>
      </c>
      <c r="BB17" s="1080">
        <v>0</v>
      </c>
      <c r="BC17" s="1080">
        <v>0</v>
      </c>
      <c r="BD17" s="1053"/>
      <c r="CZ17" s="10"/>
    </row>
    <row r="18" spans="1:104">
      <c r="A18" s="4">
        <v>12</v>
      </c>
      <c r="B18" s="8" t="s">
        <v>21</v>
      </c>
      <c r="C18" s="1083">
        <f t="shared" si="4"/>
        <v>303885.44285197707</v>
      </c>
      <c r="D18" s="1080">
        <v>0</v>
      </c>
      <c r="E18" s="1080">
        <v>0</v>
      </c>
      <c r="F18" s="1080">
        <v>0</v>
      </c>
      <c r="G18" s="1080">
        <v>0</v>
      </c>
      <c r="H18" s="1080">
        <v>0</v>
      </c>
      <c r="I18" s="1080">
        <f>'Adj 3.6 Wheeling Rev'!G15</f>
        <v>-112130</v>
      </c>
      <c r="J18" s="1080">
        <v>0</v>
      </c>
      <c r="K18" s="1080">
        <v>0</v>
      </c>
      <c r="L18" s="1080">
        <v>0</v>
      </c>
      <c r="M18" s="1080">
        <v>0</v>
      </c>
      <c r="N18" s="1080">
        <f>'Adj 4.2 Gen Wage Inc-Restating'!G46</f>
        <v>-2511.5814009299925</v>
      </c>
      <c r="O18" s="1080">
        <v>0</v>
      </c>
      <c r="P18" s="1080">
        <v>0</v>
      </c>
      <c r="Q18" s="1080">
        <v>0</v>
      </c>
      <c r="R18" s="1080"/>
      <c r="S18" s="1080">
        <f>'Adj 4.7 Insurance Exp'!G16</f>
        <v>118385.44187176228</v>
      </c>
      <c r="T18" s="1080">
        <v>0</v>
      </c>
      <c r="U18" s="1080">
        <v>0</v>
      </c>
      <c r="V18" s="1080">
        <v>0</v>
      </c>
      <c r="W18" s="1080">
        <f>'Adj 4.11 Legal Exp'!G34</f>
        <v>-5247.3435211022797</v>
      </c>
      <c r="X18" s="1080"/>
      <c r="Y18" s="1080">
        <v>0</v>
      </c>
      <c r="Z18" s="1080">
        <f>'Adj 5.1 NPC- Restating'!G26</f>
        <v>310072.78129679535</v>
      </c>
      <c r="AA18" s="1080">
        <v>0</v>
      </c>
      <c r="AB18" s="1080">
        <v>0</v>
      </c>
      <c r="AC18" s="1080">
        <v>0</v>
      </c>
      <c r="AD18" s="1080">
        <v>0</v>
      </c>
      <c r="AE18" s="1080">
        <v>0</v>
      </c>
      <c r="AF18" s="1080"/>
      <c r="AG18" s="1080">
        <f>SUM('Adj 6.4 Vehicle Depreciation'!G37:G44)</f>
        <v>-4683.855394548289</v>
      </c>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v>0</v>
      </c>
      <c r="BD18" s="1053"/>
      <c r="CZ18" s="10"/>
    </row>
    <row r="19" spans="1:104">
      <c r="A19" s="4">
        <v>13</v>
      </c>
      <c r="B19" s="8" t="s">
        <v>22</v>
      </c>
      <c r="C19" s="1083">
        <f t="shared" si="4"/>
        <v>-371809.29202738922</v>
      </c>
      <c r="D19" s="1080">
        <v>0</v>
      </c>
      <c r="E19" s="1080">
        <v>0</v>
      </c>
      <c r="F19" s="1080">
        <v>0</v>
      </c>
      <c r="G19" s="1080">
        <v>0</v>
      </c>
      <c r="H19" s="1080"/>
      <c r="I19" s="1080">
        <v>0</v>
      </c>
      <c r="J19" s="1080">
        <v>0</v>
      </c>
      <c r="K19" s="1080">
        <v>0</v>
      </c>
      <c r="L19" s="1080">
        <v>0</v>
      </c>
      <c r="M19" s="1080">
        <f>'Adj 4.1 Misc Gen Exp'!G24</f>
        <v>-124.97292981134815</v>
      </c>
      <c r="N19" s="1080">
        <f>'Adj 4.2 Gen Wage Inc-Restating'!G53</f>
        <v>-9991.9518611297044</v>
      </c>
      <c r="O19" s="1080">
        <v>0</v>
      </c>
      <c r="P19" s="1080">
        <v>0</v>
      </c>
      <c r="Q19" s="1080">
        <v>0</v>
      </c>
      <c r="R19" s="1080"/>
      <c r="S19" s="1080">
        <f>'Adj 4.7 Insurance Exp'!G17</f>
        <v>-313797.34437002521</v>
      </c>
      <c r="T19" s="1080">
        <v>0</v>
      </c>
      <c r="U19" s="1080">
        <v>0</v>
      </c>
      <c r="V19" s="1080">
        <v>0</v>
      </c>
      <c r="W19" s="1080">
        <f>'Adj 4.11 Legal Exp'!G39</f>
        <v>-29261.329006115837</v>
      </c>
      <c r="X19" s="1080"/>
      <c r="Y19" s="1080">
        <v>0</v>
      </c>
      <c r="Z19" s="1080">
        <v>0</v>
      </c>
      <c r="AA19" s="1080">
        <v>0</v>
      </c>
      <c r="AB19" s="1080">
        <v>0</v>
      </c>
      <c r="AC19" s="1080">
        <v>0</v>
      </c>
      <c r="AD19" s="1080">
        <v>0</v>
      </c>
      <c r="AE19" s="1080">
        <v>0</v>
      </c>
      <c r="AF19" s="1080"/>
      <c r="AG19" s="1080">
        <f>SUM('Adj 6.4 Vehicle Depreciation'!G45:G48)</f>
        <v>-18633.693860307107</v>
      </c>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14</v>
      </c>
      <c r="B20" s="8" t="s">
        <v>23</v>
      </c>
      <c r="C20" s="1083">
        <f t="shared" si="4"/>
        <v>402258.48389767006</v>
      </c>
      <c r="D20" s="1080"/>
      <c r="E20" s="1080"/>
      <c r="F20" s="1080">
        <v>0</v>
      </c>
      <c r="G20" s="1080">
        <v>0</v>
      </c>
      <c r="H20" s="1080">
        <v>0</v>
      </c>
      <c r="I20" s="1080">
        <v>0</v>
      </c>
      <c r="J20" s="1080">
        <v>0</v>
      </c>
      <c r="K20" s="1080">
        <v>0</v>
      </c>
      <c r="L20" s="1080">
        <v>0</v>
      </c>
      <c r="M20" s="1080">
        <f>'Adj 4.1 Misc Gen Exp'!G28</f>
        <v>-1703.490610626937</v>
      </c>
      <c r="N20" s="1080">
        <f>'Adj 4.2 Gen Wage Inc-Restating'!G57</f>
        <v>-5409.3940757339369</v>
      </c>
      <c r="O20" s="1080">
        <v>0</v>
      </c>
      <c r="P20" s="1080">
        <v>0</v>
      </c>
      <c r="Q20" s="1080">
        <v>0</v>
      </c>
      <c r="R20" s="1080"/>
      <c r="S20" s="1080">
        <v>0</v>
      </c>
      <c r="T20" s="1080">
        <v>0</v>
      </c>
      <c r="U20" s="1080">
        <v>0</v>
      </c>
      <c r="V20" s="1080">
        <f>+'Adj 4.10 Uncollectible Exp'!G9</f>
        <v>422425.00651124539</v>
      </c>
      <c r="W20" s="1080">
        <f>'Adj 4.11 Legal Exp'!G44</f>
        <v>-2949.2486031032072</v>
      </c>
      <c r="X20" s="1080"/>
      <c r="Y20" s="1080">
        <v>0</v>
      </c>
      <c r="Z20" s="1080">
        <v>0</v>
      </c>
      <c r="AA20" s="1080">
        <v>0</v>
      </c>
      <c r="AB20" s="1080">
        <v>0</v>
      </c>
      <c r="AC20" s="1080">
        <v>0</v>
      </c>
      <c r="AD20" s="1080">
        <v>0</v>
      </c>
      <c r="AE20" s="1080">
        <v>0</v>
      </c>
      <c r="AF20" s="1080"/>
      <c r="AG20" s="1080">
        <f>SUM('Adj 6.4 Vehicle Depreciation'!G49:G51)</f>
        <v>-10104.389324111222</v>
      </c>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15</v>
      </c>
      <c r="B21" s="8" t="s">
        <v>24</v>
      </c>
      <c r="C21" s="1083">
        <f t="shared" si="4"/>
        <v>-10683512.888207437</v>
      </c>
      <c r="D21" s="1080">
        <v>0</v>
      </c>
      <c r="E21" s="1080">
        <v>0</v>
      </c>
      <c r="F21" s="1080">
        <v>0</v>
      </c>
      <c r="G21" s="1080">
        <v>0</v>
      </c>
      <c r="H21" s="1080">
        <v>0</v>
      </c>
      <c r="I21" s="1080">
        <v>0</v>
      </c>
      <c r="J21" s="1080">
        <v>0</v>
      </c>
      <c r="K21" s="1080">
        <v>0</v>
      </c>
      <c r="L21" s="1080">
        <v>0</v>
      </c>
      <c r="M21" s="1080">
        <f>'Adj 4.1 Misc Gen Exp'!G34</f>
        <v>-2911.3712282595038</v>
      </c>
      <c r="N21" s="1080">
        <f>'Adj 4.2 Gen Wage Inc-Restating'!G62</f>
        <v>-830.05033790862353</v>
      </c>
      <c r="O21" s="1080">
        <v>0</v>
      </c>
      <c r="P21" s="1080">
        <f>'Adj 4.4 Irrig. Load Control'!G11</f>
        <v>-329.60724603979043</v>
      </c>
      <c r="Q21" s="1080"/>
      <c r="R21" s="1080">
        <f>'Adj 4.6 DSM Rev-Exp Remove'!G14</f>
        <v>-10677588.59</v>
      </c>
      <c r="S21" s="1080">
        <v>0</v>
      </c>
      <c r="T21" s="1080">
        <f>'Adj 4.8 Advertising'!G10+'Adj 4.8 Advertising'!G12+'Adj 4.8 Advertising'!G13</f>
        <v>-305.30612733818725</v>
      </c>
      <c r="U21" s="1080">
        <v>0</v>
      </c>
      <c r="V21" s="1080">
        <v>0</v>
      </c>
      <c r="W21" s="1080">
        <v>0</v>
      </c>
      <c r="X21" s="1080"/>
      <c r="Y21" s="1080">
        <v>0</v>
      </c>
      <c r="Z21" s="1080">
        <v>0</v>
      </c>
      <c r="AA21" s="1080">
        <v>0</v>
      </c>
      <c r="AB21" s="1080">
        <v>0</v>
      </c>
      <c r="AC21" s="1080">
        <v>0</v>
      </c>
      <c r="AD21" s="1080">
        <v>0</v>
      </c>
      <c r="AE21" s="1080">
        <v>0</v>
      </c>
      <c r="AF21" s="1080"/>
      <c r="AG21" s="1080">
        <f>SUM('Adj 6.4 Vehicle Depreciation'!G52:G53)</f>
        <v>-1547.9632678918319</v>
      </c>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16</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v>0</v>
      </c>
      <c r="W22" s="1080">
        <v>0</v>
      </c>
      <c r="X22" s="1080"/>
      <c r="Y22" s="1080">
        <v>0</v>
      </c>
      <c r="Z22" s="1080">
        <v>0</v>
      </c>
      <c r="AA22" s="1080">
        <v>0</v>
      </c>
      <c r="AB22" s="1080">
        <v>0</v>
      </c>
      <c r="AC22" s="1080">
        <v>0</v>
      </c>
      <c r="AD22" s="1080">
        <v>0</v>
      </c>
      <c r="AE22" s="1080">
        <v>0</v>
      </c>
      <c r="AF22" s="1080"/>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17</v>
      </c>
      <c r="B23" s="8" t="s">
        <v>26</v>
      </c>
      <c r="C23" s="1083">
        <f t="shared" si="4"/>
        <v>-1360415.8439035986</v>
      </c>
      <c r="D23" s="1080">
        <v>0</v>
      </c>
      <c r="E23" s="1080">
        <v>0</v>
      </c>
      <c r="F23" s="1080">
        <v>0</v>
      </c>
      <c r="G23" s="1080">
        <v>0</v>
      </c>
      <c r="H23" s="1080">
        <v>0</v>
      </c>
      <c r="I23" s="1080">
        <v>0</v>
      </c>
      <c r="J23" s="1080">
        <v>0</v>
      </c>
      <c r="K23" s="1080">
        <v>0</v>
      </c>
      <c r="L23" s="1080">
        <v>0</v>
      </c>
      <c r="M23" s="1080">
        <f>'Adj 4.1 Misc Gen Exp'!G45</f>
        <v>-9143.570824686507</v>
      </c>
      <c r="N23" s="1080">
        <f>'Adj 4.2 Gen Wage Inc-Restating'!G68</f>
        <v>-11242.511462546512</v>
      </c>
      <c r="O23" s="1080">
        <v>0</v>
      </c>
      <c r="P23" s="1080">
        <v>0</v>
      </c>
      <c r="Q23" s="1080"/>
      <c r="R23" s="1080">
        <v>0</v>
      </c>
      <c r="S23" s="1080">
        <f>'Adj 4.7 Insurance Exp'!G9</f>
        <v>-1795364.6966860599</v>
      </c>
      <c r="T23" s="1080">
        <f>'Adj 4.8 Advertising'!G11</f>
        <v>-96.640490930986942</v>
      </c>
      <c r="U23" s="1080">
        <f>'Adj 4.9 Memberships &amp; Subscip.'!G19</f>
        <v>1496.5274180481501</v>
      </c>
      <c r="V23" s="1080">
        <v>0</v>
      </c>
      <c r="W23" s="1080">
        <f>'Adj 4.11 Legal Exp'!G68</f>
        <v>306135.44787366805</v>
      </c>
      <c r="X23" s="1080"/>
      <c r="Y23" s="1080">
        <v>0</v>
      </c>
      <c r="Z23" s="1080">
        <v>0</v>
      </c>
      <c r="AA23" s="1080">
        <v>0</v>
      </c>
      <c r="AB23" s="1080">
        <v>0</v>
      </c>
      <c r="AC23" s="1080">
        <v>0</v>
      </c>
      <c r="AD23" s="1080">
        <v>0</v>
      </c>
      <c r="AE23" s="1080">
        <v>0</v>
      </c>
      <c r="AF23" s="1080"/>
      <c r="AG23" s="1080">
        <f>SUM('Adj 6.4 Vehicle Depreciation'!G54:G57)</f>
        <v>-20966.275033748134</v>
      </c>
      <c r="AH23" s="1080">
        <v>0</v>
      </c>
      <c r="AI23" s="1080">
        <v>0</v>
      </c>
      <c r="AJ23" s="1080">
        <v>0</v>
      </c>
      <c r="AK23" s="1080">
        <v>0</v>
      </c>
      <c r="AL23" s="1080">
        <v>0</v>
      </c>
      <c r="AM23" s="1080">
        <v>0</v>
      </c>
      <c r="AN23" s="1080">
        <v>0</v>
      </c>
      <c r="AO23" s="1080">
        <v>0</v>
      </c>
      <c r="AP23" s="1080">
        <v>0</v>
      </c>
      <c r="AQ23" s="1080">
        <f>'Adj 8.2 Environ Settlement'!G12</f>
        <v>168765.87530265757</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A24" s="4">
        <v>18</v>
      </c>
      <c r="B24" s="1282" t="s">
        <v>27</v>
      </c>
      <c r="C24" s="1287">
        <f>SUM(C14:C23)</f>
        <v>25379613.676410589</v>
      </c>
      <c r="D24" s="1084">
        <f>SUM(D14:D23)</f>
        <v>0</v>
      </c>
      <c r="E24" s="1084">
        <f>SUM(E14:E23)</f>
        <v>0</v>
      </c>
      <c r="F24" s="1084">
        <f>SUM(F14:F23)</f>
        <v>0</v>
      </c>
      <c r="G24" s="1084">
        <f t="shared" ref="G24:P24" si="5">SUM(G14:G23)</f>
        <v>0</v>
      </c>
      <c r="H24" s="1084">
        <f t="shared" si="5"/>
        <v>0</v>
      </c>
      <c r="I24" s="1084">
        <f t="shared" si="5"/>
        <v>-112130</v>
      </c>
      <c r="J24" s="1084">
        <f>SUM(J14:J23)</f>
        <v>0</v>
      </c>
      <c r="K24" s="1084">
        <f>SUM(K14:K23)</f>
        <v>0</v>
      </c>
      <c r="L24" s="1084">
        <f>SUM(L14:L23)</f>
        <v>0</v>
      </c>
      <c r="M24" s="1084">
        <f t="shared" si="5"/>
        <v>-14454.43628016611</v>
      </c>
      <c r="N24" s="1084">
        <f t="shared" si="5"/>
        <v>-47588.981132557921</v>
      </c>
      <c r="O24" s="1084">
        <f t="shared" si="5"/>
        <v>0</v>
      </c>
      <c r="P24" s="1084">
        <f t="shared" si="5"/>
        <v>-5340.7537227038374</v>
      </c>
      <c r="Q24" s="1084">
        <f t="shared" ref="Q24:V24" si="6">SUM(Q14:Q23)</f>
        <v>-2677.954313646268</v>
      </c>
      <c r="R24" s="1084">
        <f t="shared" si="6"/>
        <v>-10677588.59</v>
      </c>
      <c r="S24" s="1084">
        <f t="shared" si="6"/>
        <v>-2030096.077251401</v>
      </c>
      <c r="T24" s="1084">
        <f t="shared" si="6"/>
        <v>-401.94661826917422</v>
      </c>
      <c r="U24" s="1084">
        <f t="shared" si="6"/>
        <v>1496.5274180481501</v>
      </c>
      <c r="V24" s="1084">
        <f t="shared" si="6"/>
        <v>422425.00651124539</v>
      </c>
      <c r="W24" s="1084">
        <f t="shared" ref="W24:AB24" si="7">SUM(W14:W23)</f>
        <v>215352.2102726177</v>
      </c>
      <c r="X24" s="1084">
        <f t="shared" si="7"/>
        <v>0</v>
      </c>
      <c r="Y24" s="1084">
        <f t="shared" si="7"/>
        <v>0</v>
      </c>
      <c r="Z24" s="1084">
        <f t="shared" si="7"/>
        <v>37600994.60665264</v>
      </c>
      <c r="AA24" s="1084">
        <f t="shared" si="7"/>
        <v>0</v>
      </c>
      <c r="AB24" s="1084">
        <f t="shared" si="7"/>
        <v>0</v>
      </c>
      <c r="AC24" s="1084">
        <f t="shared" ref="AC24:AY24" si="8">SUM(AC14:AC23)</f>
        <v>0</v>
      </c>
      <c r="AD24" s="1084">
        <f t="shared" si="8"/>
        <v>0</v>
      </c>
      <c r="AE24" s="1084">
        <f t="shared" si="8"/>
        <v>0</v>
      </c>
      <c r="AF24" s="1084"/>
      <c r="AG24" s="1084">
        <f>SUM(AG14:AG23)</f>
        <v>-132157.57984889968</v>
      </c>
      <c r="AH24" s="1084">
        <f t="shared" si="8"/>
        <v>0</v>
      </c>
      <c r="AI24" s="1084">
        <f t="shared" si="8"/>
        <v>0</v>
      </c>
      <c r="AJ24" s="1084">
        <f t="shared" si="8"/>
        <v>0</v>
      </c>
      <c r="AK24" s="1084">
        <f t="shared" si="8"/>
        <v>0</v>
      </c>
      <c r="AL24" s="1084">
        <f t="shared" si="8"/>
        <v>0</v>
      </c>
      <c r="AM24" s="1084">
        <f t="shared" si="8"/>
        <v>0</v>
      </c>
      <c r="AN24" s="1084">
        <f>SUM(AN14:AN23)</f>
        <v>0</v>
      </c>
      <c r="AO24" s="1084">
        <f t="shared" si="8"/>
        <v>0</v>
      </c>
      <c r="AP24" s="1084">
        <f t="shared" si="8"/>
        <v>0</v>
      </c>
      <c r="AQ24" s="1084">
        <f t="shared" si="8"/>
        <v>168765.87530265757</v>
      </c>
      <c r="AR24" s="1084">
        <f t="shared" si="8"/>
        <v>0</v>
      </c>
      <c r="AS24" s="1084">
        <f t="shared" si="8"/>
        <v>0</v>
      </c>
      <c r="AT24" s="1084">
        <f>SUM(AT14:AT23)</f>
        <v>0</v>
      </c>
      <c r="AU24" s="1084">
        <f>SUM(AU14:AU23)</f>
        <v>0</v>
      </c>
      <c r="AV24" s="1084">
        <f t="shared" si="8"/>
        <v>0</v>
      </c>
      <c r="AW24" s="1084">
        <f>SUM(AW14:AW23)</f>
        <v>0</v>
      </c>
      <c r="AX24" s="1084">
        <f t="shared" si="8"/>
        <v>0</v>
      </c>
      <c r="AY24" s="1084">
        <f t="shared" si="8"/>
        <v>0</v>
      </c>
      <c r="AZ24" s="1084">
        <f>SUM(AZ14:AZ23)</f>
        <v>-6984.2305789677403</v>
      </c>
      <c r="BA24" s="1084">
        <f>SUM(BA14:BA23)</f>
        <v>0</v>
      </c>
      <c r="BB24" s="1084">
        <f>SUM(BB14:BB23)</f>
        <v>0</v>
      </c>
      <c r="BC24" s="1084">
        <f>SUM(BC14:BC23)</f>
        <v>0</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9">SUM(D26:BC26)</f>
        <v>1209605.8285510486</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f>'Adj 5.3 Colstrip #3 Removal'!G8+'Adj 5.3 Colstrip #3 Removal'!G9</f>
        <v>-428046.01728697837</v>
      </c>
      <c r="AD26" s="1080">
        <v>0</v>
      </c>
      <c r="AE26" s="1080"/>
      <c r="AF26" s="1080">
        <f>'Adj 6.3 Proposed Deprec Rates E'!G41</f>
        <v>2013215.9657142847</v>
      </c>
      <c r="AG26" s="1080">
        <v>0</v>
      </c>
      <c r="AH26" s="1080">
        <v>0</v>
      </c>
      <c r="AI26" s="1080">
        <v>0</v>
      </c>
      <c r="AJ26" s="1080">
        <v>0</v>
      </c>
      <c r="AK26" s="1080">
        <v>0</v>
      </c>
      <c r="AL26" s="1080">
        <v>0</v>
      </c>
      <c r="AM26" s="1080">
        <v>0</v>
      </c>
      <c r="AN26" s="1080">
        <v>0</v>
      </c>
      <c r="AO26" s="1080">
        <v>0</v>
      </c>
      <c r="AP26" s="1080">
        <v>0</v>
      </c>
      <c r="AQ26" s="1080">
        <v>0</v>
      </c>
      <c r="AR26" s="1080">
        <v>0</v>
      </c>
      <c r="AS26" s="1080">
        <v>0</v>
      </c>
      <c r="AT26" s="1080">
        <v>0</v>
      </c>
      <c r="AU26" s="1080">
        <v>0</v>
      </c>
      <c r="AV26" s="1080">
        <f>'Adj 8.7 Removal of Colstrip #4'!G9</f>
        <v>-17990.552800000001</v>
      </c>
      <c r="AW26" s="1080">
        <v>0</v>
      </c>
      <c r="AX26" s="1080">
        <v>0</v>
      </c>
      <c r="AY26" s="1080">
        <v>0</v>
      </c>
      <c r="AZ26" s="1080">
        <f>'Adj 8.11 Misc Asset Sales &amp; Rem'!G25</f>
        <v>-357573.5670762576</v>
      </c>
      <c r="BA26" s="1080">
        <v>0</v>
      </c>
      <c r="BB26" s="1080">
        <v>0</v>
      </c>
      <c r="BC26" s="1080">
        <v>0</v>
      </c>
      <c r="BD26" s="1053"/>
      <c r="CZ26" s="10"/>
    </row>
    <row r="27" spans="1:104" ht="13.5" thickBot="1">
      <c r="A27" s="4">
        <v>20</v>
      </c>
      <c r="B27" s="8" t="s">
        <v>8</v>
      </c>
      <c r="C27" s="1083">
        <f t="shared" si="9"/>
        <v>0</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c r="AF27" s="1080">
        <v>0</v>
      </c>
      <c r="AG27" s="1080">
        <v>0</v>
      </c>
      <c r="AH27" s="1080">
        <v>0</v>
      </c>
      <c r="AI27" s="1080">
        <v>0</v>
      </c>
      <c r="AJ27" s="1080">
        <v>0</v>
      </c>
      <c r="AK27" s="1080">
        <v>0</v>
      </c>
      <c r="AL27" s="1080">
        <v>0</v>
      </c>
      <c r="AM27" s="1080">
        <v>0</v>
      </c>
      <c r="AN27" s="1080">
        <v>0</v>
      </c>
      <c r="AO27" s="1080">
        <v>0</v>
      </c>
      <c r="AP27" s="1080">
        <v>0</v>
      </c>
      <c r="AQ27" s="1080">
        <v>0</v>
      </c>
      <c r="AR27" s="1080">
        <v>0</v>
      </c>
      <c r="AS27" s="1080">
        <v>0</v>
      </c>
      <c r="AT27" s="1080"/>
      <c r="AU27" s="1080">
        <v>0</v>
      </c>
      <c r="AV27" s="1080">
        <v>0</v>
      </c>
      <c r="AW27" s="1080">
        <v>0</v>
      </c>
      <c r="AX27" s="1080">
        <v>0</v>
      </c>
      <c r="AY27" s="1080">
        <v>0</v>
      </c>
      <c r="AZ27" s="1080">
        <v>0</v>
      </c>
      <c r="BA27" s="1080">
        <v>0</v>
      </c>
      <c r="BB27" s="1080">
        <v>0</v>
      </c>
      <c r="BC27" s="1080">
        <v>0</v>
      </c>
      <c r="BD27" s="1053"/>
      <c r="CZ27" s="10"/>
    </row>
    <row r="28" spans="1:104">
      <c r="A28" s="1095">
        <v>21</v>
      </c>
      <c r="B28" s="1094" t="s">
        <v>29</v>
      </c>
      <c r="C28" s="1288">
        <f t="shared" si="9"/>
        <v>-41073.316515808037</v>
      </c>
      <c r="D28" s="1289">
        <v>0</v>
      </c>
      <c r="E28" s="1289">
        <v>0</v>
      </c>
      <c r="F28" s="1289">
        <v>0</v>
      </c>
      <c r="G28" s="1289">
        <v>0</v>
      </c>
      <c r="H28" s="1289">
        <v>0</v>
      </c>
      <c r="I28" s="1289">
        <v>0</v>
      </c>
      <c r="J28" s="1289">
        <v>0</v>
      </c>
      <c r="K28" s="1289">
        <v>0</v>
      </c>
      <c r="L28" s="1289">
        <v>0</v>
      </c>
      <c r="M28" s="1289">
        <v>0</v>
      </c>
      <c r="N28" s="1289">
        <v>0</v>
      </c>
      <c r="O28" s="1289">
        <v>0</v>
      </c>
      <c r="P28" s="1289">
        <v>0</v>
      </c>
      <c r="Q28" s="1289">
        <v>0</v>
      </c>
      <c r="R28" s="1289">
        <v>0</v>
      </c>
      <c r="S28" s="1289">
        <v>0</v>
      </c>
      <c r="T28" s="1289">
        <v>0</v>
      </c>
      <c r="U28" s="1289">
        <v>0</v>
      </c>
      <c r="V28" s="1289">
        <v>0</v>
      </c>
      <c r="W28" s="1289">
        <v>0</v>
      </c>
      <c r="X28" s="1289">
        <v>0</v>
      </c>
      <c r="Y28" s="1289">
        <v>0</v>
      </c>
      <c r="Z28" s="1289">
        <v>0</v>
      </c>
      <c r="AA28" s="1289">
        <v>0</v>
      </c>
      <c r="AB28" s="1289">
        <v>0</v>
      </c>
      <c r="AC28" s="1289">
        <f>'Adj 5.3 Colstrip #3 Removal'!G10</f>
        <v>-41073.316515808037</v>
      </c>
      <c r="AD28" s="1289">
        <v>0</v>
      </c>
      <c r="AE28" s="1289">
        <v>0</v>
      </c>
      <c r="AF28" s="1289">
        <v>0</v>
      </c>
      <c r="AG28" s="1289">
        <v>0</v>
      </c>
      <c r="AH28" s="1289">
        <v>0</v>
      </c>
      <c r="AI28" s="1289">
        <v>0</v>
      </c>
      <c r="AJ28" s="1289">
        <v>0</v>
      </c>
      <c r="AK28" s="1289">
        <v>0</v>
      </c>
      <c r="AL28" s="1289">
        <v>0</v>
      </c>
      <c r="AM28" s="1289">
        <v>0</v>
      </c>
      <c r="AN28" s="1289">
        <v>0</v>
      </c>
      <c r="AO28" s="1289"/>
      <c r="AP28" s="1289">
        <v>0</v>
      </c>
      <c r="AQ28" s="1289">
        <v>0</v>
      </c>
      <c r="AR28" s="1289">
        <v>0</v>
      </c>
      <c r="AS28" s="1289">
        <v>0</v>
      </c>
      <c r="AT28" s="1289"/>
      <c r="AU28" s="1289">
        <v>0</v>
      </c>
      <c r="AV28" s="1289">
        <v>0</v>
      </c>
      <c r="AW28" s="1289">
        <v>0</v>
      </c>
      <c r="AX28" s="1289">
        <v>0</v>
      </c>
      <c r="AY28" s="1289">
        <v>0</v>
      </c>
      <c r="AZ28" s="1289">
        <v>0</v>
      </c>
      <c r="BA28" s="1289">
        <v>0</v>
      </c>
      <c r="BB28" s="1289">
        <v>0</v>
      </c>
      <c r="BC28" s="1290">
        <v>0</v>
      </c>
      <c r="BD28" s="1053"/>
      <c r="CZ28" s="10"/>
    </row>
    <row r="29" spans="1:104" ht="13.5" thickBot="1">
      <c r="A29" s="1236">
        <v>22</v>
      </c>
      <c r="B29" s="1098" t="s">
        <v>30</v>
      </c>
      <c r="C29" s="1291">
        <f t="shared" si="9"/>
        <v>7624348</v>
      </c>
      <c r="D29" s="1292">
        <f>D80</f>
        <v>-1992466</v>
      </c>
      <c r="E29" s="1292">
        <f t="shared" ref="E29:BC29" si="10">E80</f>
        <v>-2599655</v>
      </c>
      <c r="F29" s="1292">
        <f t="shared" si="10"/>
        <v>5959039</v>
      </c>
      <c r="G29" s="1292">
        <f t="shared" si="10"/>
        <v>0</v>
      </c>
      <c r="H29" s="1292">
        <f t="shared" si="10"/>
        <v>-788669</v>
      </c>
      <c r="I29" s="1292">
        <f t="shared" si="10"/>
        <v>-35628</v>
      </c>
      <c r="J29" s="1292">
        <f t="shared" si="10"/>
        <v>0</v>
      </c>
      <c r="K29" s="1292">
        <f t="shared" si="10"/>
        <v>0</v>
      </c>
      <c r="L29" s="1292">
        <f t="shared" si="10"/>
        <v>-4001</v>
      </c>
      <c r="M29" s="1292">
        <f t="shared" si="10"/>
        <v>7740</v>
      </c>
      <c r="N29" s="1292">
        <f t="shared" si="10"/>
        <v>16656</v>
      </c>
      <c r="O29" s="1292">
        <f t="shared" si="10"/>
        <v>0</v>
      </c>
      <c r="P29" s="1292">
        <f t="shared" si="10"/>
        <v>1869</v>
      </c>
      <c r="Q29" s="1292">
        <f t="shared" si="10"/>
        <v>-54403</v>
      </c>
      <c r="R29" s="1292">
        <f t="shared" si="10"/>
        <v>3753899</v>
      </c>
      <c r="S29" s="1292">
        <f t="shared" si="10"/>
        <v>271101</v>
      </c>
      <c r="T29" s="1292">
        <f t="shared" si="10"/>
        <v>141</v>
      </c>
      <c r="U29" s="1292">
        <f t="shared" si="10"/>
        <v>-524</v>
      </c>
      <c r="V29" s="1292">
        <f t="shared" si="10"/>
        <v>-147849</v>
      </c>
      <c r="W29" s="1292">
        <f t="shared" si="10"/>
        <v>-75373</v>
      </c>
      <c r="X29" s="1292">
        <f t="shared" si="10"/>
        <v>0</v>
      </c>
      <c r="Y29" s="1292">
        <f t="shared" si="10"/>
        <v>0</v>
      </c>
      <c r="Z29" s="1292">
        <f t="shared" si="10"/>
        <v>4030152</v>
      </c>
      <c r="AA29" s="1292">
        <f t="shared" si="10"/>
        <v>0</v>
      </c>
      <c r="AB29" s="1292">
        <f t="shared" si="10"/>
        <v>0</v>
      </c>
      <c r="AC29" s="1292">
        <f t="shared" si="10"/>
        <v>41616</v>
      </c>
      <c r="AD29" s="1292">
        <f t="shared" si="10"/>
        <v>0</v>
      </c>
      <c r="AE29" s="1292">
        <f t="shared" si="10"/>
        <v>0</v>
      </c>
      <c r="AF29" s="1292">
        <f t="shared" si="10"/>
        <v>0</v>
      </c>
      <c r="AG29" s="1292">
        <f t="shared" si="10"/>
        <v>-86330</v>
      </c>
      <c r="AH29" s="1292">
        <f t="shared" si="10"/>
        <v>62215</v>
      </c>
      <c r="AI29" s="1292">
        <f t="shared" si="10"/>
        <v>0</v>
      </c>
      <c r="AJ29" s="1292">
        <f t="shared" si="10"/>
        <v>0</v>
      </c>
      <c r="AK29" s="1292">
        <f t="shared" si="10"/>
        <v>0</v>
      </c>
      <c r="AL29" s="1292">
        <f t="shared" si="10"/>
        <v>0</v>
      </c>
      <c r="AM29" s="1292">
        <f t="shared" si="10"/>
        <v>0</v>
      </c>
      <c r="AN29" s="1292">
        <f t="shared" si="10"/>
        <v>0</v>
      </c>
      <c r="AO29" s="1292">
        <f t="shared" si="10"/>
        <v>0</v>
      </c>
      <c r="AP29" s="1292">
        <f t="shared" si="10"/>
        <v>138615</v>
      </c>
      <c r="AQ29" s="1292">
        <f t="shared" si="10"/>
        <v>-49695</v>
      </c>
      <c r="AR29" s="1292">
        <f t="shared" si="10"/>
        <v>0</v>
      </c>
      <c r="AS29" s="1292">
        <f t="shared" si="10"/>
        <v>0</v>
      </c>
      <c r="AT29" s="1292">
        <f t="shared" si="10"/>
        <v>0</v>
      </c>
      <c r="AU29" s="1292">
        <f t="shared" si="10"/>
        <v>0</v>
      </c>
      <c r="AV29" s="1292">
        <f t="shared" si="10"/>
        <v>0</v>
      </c>
      <c r="AW29" s="1292">
        <f t="shared" si="10"/>
        <v>99762</v>
      </c>
      <c r="AX29" s="1292">
        <f t="shared" si="10"/>
        <v>-1459</v>
      </c>
      <c r="AY29" s="1292">
        <f t="shared" si="10"/>
        <v>-1050000</v>
      </c>
      <c r="AZ29" s="1292">
        <f t="shared" si="10"/>
        <v>127595</v>
      </c>
      <c r="BA29" s="1292">
        <f t="shared" si="10"/>
        <v>0</v>
      </c>
      <c r="BB29" s="1292">
        <f t="shared" si="10"/>
        <v>0</v>
      </c>
      <c r="BC29" s="1293">
        <f t="shared" si="10"/>
        <v>0</v>
      </c>
      <c r="BD29" s="1053"/>
      <c r="CZ29" s="10"/>
    </row>
    <row r="30" spans="1:104">
      <c r="A30" s="4">
        <v>23</v>
      </c>
      <c r="B30" s="8" t="s">
        <v>31</v>
      </c>
      <c r="C30" s="1083">
        <f t="shared" si="9"/>
        <v>0</v>
      </c>
      <c r="D30" s="1080">
        <f>D76</f>
        <v>0</v>
      </c>
      <c r="E30" s="1080">
        <f>E76</f>
        <v>0</v>
      </c>
      <c r="F30" s="1080">
        <v>0</v>
      </c>
      <c r="G30" s="1080">
        <f t="shared" ref="G30:N30" si="11">G76</f>
        <v>0</v>
      </c>
      <c r="H30" s="1080">
        <f t="shared" si="11"/>
        <v>0</v>
      </c>
      <c r="I30" s="1080">
        <f t="shared" si="11"/>
        <v>0</v>
      </c>
      <c r="J30" s="1080">
        <f>J76</f>
        <v>0</v>
      </c>
      <c r="K30" s="1080">
        <f>K76</f>
        <v>0</v>
      </c>
      <c r="L30" s="1080">
        <f>L76</f>
        <v>0</v>
      </c>
      <c r="M30" s="1080">
        <f t="shared" si="11"/>
        <v>0</v>
      </c>
      <c r="N30" s="1080">
        <f t="shared" si="11"/>
        <v>0</v>
      </c>
      <c r="O30" s="1080">
        <v>0</v>
      </c>
      <c r="P30" s="1080">
        <v>0</v>
      </c>
      <c r="Q30" s="1080">
        <f>Q76</f>
        <v>0</v>
      </c>
      <c r="R30" s="1080">
        <f>R76</f>
        <v>0</v>
      </c>
      <c r="S30" s="1080">
        <v>0</v>
      </c>
      <c r="T30" s="1080">
        <v>0</v>
      </c>
      <c r="U30" s="1080">
        <v>0</v>
      </c>
      <c r="V30" s="1080">
        <v>0</v>
      </c>
      <c r="W30" s="1080">
        <v>0</v>
      </c>
      <c r="X30" s="1080">
        <v>0</v>
      </c>
      <c r="Y30" s="1080">
        <v>0</v>
      </c>
      <c r="Z30" s="1080">
        <v>0</v>
      </c>
      <c r="AA30" s="1080">
        <v>0</v>
      </c>
      <c r="AB30" s="1080">
        <v>0</v>
      </c>
      <c r="AC30" s="1080">
        <f t="shared" ref="AC30:AT30" si="12">AC76</f>
        <v>0</v>
      </c>
      <c r="AD30" s="1080">
        <f t="shared" si="12"/>
        <v>0</v>
      </c>
      <c r="AE30" s="1080">
        <v>0</v>
      </c>
      <c r="AF30" s="1080">
        <f>AF76</f>
        <v>0</v>
      </c>
      <c r="AG30" s="1080">
        <f>AG76</f>
        <v>0</v>
      </c>
      <c r="AH30" s="1080">
        <v>0</v>
      </c>
      <c r="AI30" s="1080">
        <f t="shared" si="12"/>
        <v>0</v>
      </c>
      <c r="AJ30" s="1080">
        <f t="shared" si="12"/>
        <v>0</v>
      </c>
      <c r="AK30" s="1080">
        <f t="shared" si="12"/>
        <v>0</v>
      </c>
      <c r="AL30" s="1080">
        <f t="shared" si="12"/>
        <v>0</v>
      </c>
      <c r="AM30" s="1080">
        <f t="shared" si="12"/>
        <v>0</v>
      </c>
      <c r="AN30" s="1080">
        <f>AN76</f>
        <v>0</v>
      </c>
      <c r="AO30" s="1080">
        <f t="shared" si="12"/>
        <v>0</v>
      </c>
      <c r="AP30" s="1080">
        <f t="shared" si="12"/>
        <v>0</v>
      </c>
      <c r="AQ30" s="1080">
        <f t="shared" si="12"/>
        <v>0</v>
      </c>
      <c r="AR30" s="1080">
        <f t="shared" si="12"/>
        <v>0</v>
      </c>
      <c r="AS30" s="1080">
        <f t="shared" si="12"/>
        <v>0</v>
      </c>
      <c r="AT30" s="1080">
        <f t="shared" si="12"/>
        <v>0</v>
      </c>
      <c r="AU30" s="1080">
        <f>AU76</f>
        <v>0</v>
      </c>
      <c r="AV30" s="1080">
        <f>AV76</f>
        <v>0</v>
      </c>
      <c r="AW30" s="1080">
        <f>AW76</f>
        <v>0</v>
      </c>
      <c r="AX30" s="1080">
        <f>AX76</f>
        <v>0</v>
      </c>
      <c r="AY30" s="1080">
        <v>0</v>
      </c>
      <c r="AZ30" s="1080">
        <v>0</v>
      </c>
      <c r="BA30" s="1080">
        <v>0</v>
      </c>
      <c r="BB30" s="1080">
        <v>0</v>
      </c>
      <c r="BC30" s="1080">
        <v>0</v>
      </c>
      <c r="BD30" s="1053"/>
      <c r="CZ30" s="10"/>
    </row>
    <row r="31" spans="1:104">
      <c r="A31" s="4">
        <v>24</v>
      </c>
      <c r="B31" s="8" t="s">
        <v>32</v>
      </c>
      <c r="C31" s="1083">
        <f t="shared" si="9"/>
        <v>-1356096.5790122841</v>
      </c>
      <c r="D31" s="1080">
        <v>0</v>
      </c>
      <c r="E31" s="1080">
        <v>0</v>
      </c>
      <c r="F31" s="1080">
        <v>0</v>
      </c>
      <c r="G31" s="1080">
        <v>0</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f>'Adj 5.3 Colstrip #3 Removal'!G12+'Adj 5.3 Colstrip #3 Removal'!G24</f>
        <v>113105.10250531929</v>
      </c>
      <c r="AD31" s="1080">
        <v>0</v>
      </c>
      <c r="AE31" s="1080">
        <v>0</v>
      </c>
      <c r="AF31" s="1080">
        <f>'Adj 6.3 Proposed Deprec Rates E'!G109</f>
        <v>-764035.59114822827</v>
      </c>
      <c r="AG31" s="1080">
        <f>'Adj 6.4 Vehicle Depreciation'!G90</f>
        <v>143763.74042216278</v>
      </c>
      <c r="AH31" s="1080">
        <v>0</v>
      </c>
      <c r="AI31" s="1080">
        <v>0</v>
      </c>
      <c r="AJ31" s="1080">
        <v>0</v>
      </c>
      <c r="AK31" s="1080">
        <v>0</v>
      </c>
      <c r="AL31" s="1080">
        <v>0</v>
      </c>
      <c r="AM31" s="1080">
        <f>'Adj 7.6 WA Flow-through Adj'!G89</f>
        <v>-407648.85953784268</v>
      </c>
      <c r="AN31" s="1080">
        <f>'Adj 7.7 Remove Def State Tax E'!G10</f>
        <v>-493727</v>
      </c>
      <c r="AO31" s="1080">
        <v>0</v>
      </c>
      <c r="AP31" s="1080">
        <v>0</v>
      </c>
      <c r="AQ31" s="1080">
        <f>'Adj 8.2 Environ Settlement'!G23+'Adj 8.2 Environ Settlement'!G26</f>
        <v>52446.028746304786</v>
      </c>
      <c r="AR31" s="1080">
        <v>0</v>
      </c>
      <c r="AS31" s="1080">
        <v>0</v>
      </c>
      <c r="AT31" s="1080"/>
      <c r="AU31" s="1080">
        <v>0</v>
      </c>
      <c r="AV31" s="1080">
        <v>0</v>
      </c>
      <c r="AW31" s="1080">
        <v>0</v>
      </c>
      <c r="AX31" s="1080">
        <v>0</v>
      </c>
      <c r="AY31" s="1080"/>
      <c r="AZ31" s="1080">
        <v>0</v>
      </c>
      <c r="BA31" s="1080">
        <v>0</v>
      </c>
      <c r="BB31" s="1080">
        <v>0</v>
      </c>
      <c r="BC31" s="1080">
        <v>0</v>
      </c>
      <c r="BD31" s="1053"/>
      <c r="CZ31" s="10"/>
    </row>
    <row r="32" spans="1:104">
      <c r="A32" s="4">
        <v>25</v>
      </c>
      <c r="B32" s="8" t="s">
        <v>33</v>
      </c>
      <c r="C32" s="1083">
        <f t="shared" si="9"/>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v>0</v>
      </c>
      <c r="AH32" s="1080">
        <v>0</v>
      </c>
      <c r="AI32" s="1080">
        <v>0</v>
      </c>
      <c r="AJ32" s="1080">
        <v>0</v>
      </c>
      <c r="AK32" s="1080">
        <v>0</v>
      </c>
      <c r="AL32" s="1080">
        <v>0</v>
      </c>
      <c r="AM32" s="1080">
        <v>0</v>
      </c>
      <c r="AN32" s="1080">
        <v>0</v>
      </c>
      <c r="AO32" s="1080">
        <v>0</v>
      </c>
      <c r="AP32" s="1080">
        <v>0</v>
      </c>
      <c r="AQ32" s="1080">
        <v>0</v>
      </c>
      <c r="AR32" s="1080">
        <v>0</v>
      </c>
      <c r="AS32" s="1080">
        <v>0</v>
      </c>
      <c r="AT32" s="1080"/>
      <c r="AU32" s="1080">
        <v>0</v>
      </c>
      <c r="AV32" s="1080">
        <v>0</v>
      </c>
      <c r="AW32" s="1080">
        <v>0</v>
      </c>
      <c r="AX32" s="1080">
        <v>0</v>
      </c>
      <c r="AY32" s="1080">
        <v>0</v>
      </c>
      <c r="AZ32" s="1080">
        <v>0</v>
      </c>
      <c r="BA32" s="1080">
        <v>0</v>
      </c>
      <c r="BB32" s="1080">
        <v>0</v>
      </c>
      <c r="BC32" s="1080">
        <v>0</v>
      </c>
      <c r="BD32" s="1053"/>
      <c r="CZ32" s="10"/>
    </row>
    <row r="33" spans="1:104">
      <c r="A33" s="4">
        <v>26</v>
      </c>
      <c r="B33" s="8" t="s">
        <v>34</v>
      </c>
      <c r="C33" s="1083">
        <f t="shared" si="9"/>
        <v>-3490.1945226639618</v>
      </c>
      <c r="D33" s="1080">
        <v>0</v>
      </c>
      <c r="E33" s="1080">
        <v>0</v>
      </c>
      <c r="F33" s="1080">
        <v>0</v>
      </c>
      <c r="G33" s="1080">
        <v>0</v>
      </c>
      <c r="H33" s="1080">
        <v>0</v>
      </c>
      <c r="I33" s="1080">
        <v>0</v>
      </c>
      <c r="J33" s="1080">
        <v>0</v>
      </c>
      <c r="K33" s="1080">
        <v>0</v>
      </c>
      <c r="L33" s="1080">
        <v>0</v>
      </c>
      <c r="M33" s="1080">
        <f>'Adj 4.1 Misc Gen Exp'!G12+'Adj 4.1 Misc Gen Exp'!G19</f>
        <v>-7659.5617953912351</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v>0</v>
      </c>
      <c r="AH33" s="1080">
        <v>0</v>
      </c>
      <c r="AI33" s="1080">
        <v>0</v>
      </c>
      <c r="AJ33" s="1080">
        <v>0</v>
      </c>
      <c r="AK33" s="1080">
        <v>0</v>
      </c>
      <c r="AL33" s="1080">
        <v>0</v>
      </c>
      <c r="AM33" s="1080">
        <v>0</v>
      </c>
      <c r="AN33" s="1080">
        <v>0</v>
      </c>
      <c r="AO33" s="1080">
        <v>0</v>
      </c>
      <c r="AP33" s="1080">
        <v>0</v>
      </c>
      <c r="AQ33" s="1080">
        <v>0</v>
      </c>
      <c r="AR33" s="1080">
        <v>0</v>
      </c>
      <c r="AS33" s="1080">
        <v>0</v>
      </c>
      <c r="AT33" s="1080"/>
      <c r="AU33" s="1080">
        <v>0</v>
      </c>
      <c r="AV33" s="1080">
        <v>0</v>
      </c>
      <c r="AW33" s="1080">
        <v>0</v>
      </c>
      <c r="AX33" s="1080">
        <f>'Adj 8.9 Cust Svc Deposits'!G9</f>
        <v>4169.3672727272733</v>
      </c>
      <c r="AY33" s="1080">
        <v>0</v>
      </c>
      <c r="AZ33" s="1080">
        <v>0</v>
      </c>
      <c r="BA33" s="1080">
        <v>0</v>
      </c>
      <c r="BB33" s="1080">
        <v>0</v>
      </c>
      <c r="BC33" s="1080">
        <v>0</v>
      </c>
      <c r="BD33" s="1053"/>
      <c r="CZ33" s="10"/>
    </row>
    <row r="34" spans="1:104">
      <c r="A34" s="4">
        <v>27</v>
      </c>
      <c r="B34" s="1284" t="s">
        <v>35</v>
      </c>
      <c r="C34" s="1294">
        <f>SUM(C24:C33)</f>
        <v>32812907.41491089</v>
      </c>
      <c r="D34" s="1082">
        <f>SUM(D24:D33)</f>
        <v>-1992466</v>
      </c>
      <c r="E34" s="1082">
        <f>SUM(E24:E33)</f>
        <v>-2599655</v>
      </c>
      <c r="F34" s="1082">
        <f>SUM(F24:F33)</f>
        <v>5959039</v>
      </c>
      <c r="G34" s="1082">
        <f t="shared" ref="G34:P34" si="13">SUM(G24:G33)</f>
        <v>0</v>
      </c>
      <c r="H34" s="1082">
        <f t="shared" si="13"/>
        <v>-788669</v>
      </c>
      <c r="I34" s="1082">
        <f t="shared" si="13"/>
        <v>-147758</v>
      </c>
      <c r="J34" s="1082">
        <f>SUM(J24:J33)</f>
        <v>0</v>
      </c>
      <c r="K34" s="1082">
        <f>SUM(K24:K33)</f>
        <v>0</v>
      </c>
      <c r="L34" s="1082">
        <f>SUM(L24:L33)</f>
        <v>-4001</v>
      </c>
      <c r="M34" s="1082">
        <f t="shared" si="13"/>
        <v>-14373.998075557345</v>
      </c>
      <c r="N34" s="1082">
        <f t="shared" si="13"/>
        <v>-30932.981132557921</v>
      </c>
      <c r="O34" s="1082">
        <f t="shared" si="13"/>
        <v>0</v>
      </c>
      <c r="P34" s="1082">
        <f t="shared" si="13"/>
        <v>-3471.7537227038374</v>
      </c>
      <c r="Q34" s="1082">
        <f t="shared" ref="Q34:W34" si="14">SUM(Q24:Q33)</f>
        <v>-57080.954313646267</v>
      </c>
      <c r="R34" s="1082">
        <f t="shared" si="14"/>
        <v>-6923689.5899999999</v>
      </c>
      <c r="S34" s="1082">
        <f t="shared" si="14"/>
        <v>-1758995.077251401</v>
      </c>
      <c r="T34" s="1082">
        <f t="shared" si="14"/>
        <v>-260.94661826917422</v>
      </c>
      <c r="U34" s="1082">
        <f t="shared" si="14"/>
        <v>972.52741804815014</v>
      </c>
      <c r="V34" s="1082">
        <f t="shared" si="14"/>
        <v>274576.00651124539</v>
      </c>
      <c r="W34" s="1082">
        <f t="shared" si="14"/>
        <v>139979.2102726177</v>
      </c>
      <c r="X34" s="1082">
        <f>SUM(X24:X33)</f>
        <v>0</v>
      </c>
      <c r="Y34" s="1082">
        <f t="shared" ref="Y34:AF34" si="15">SUM(Y24:Y33)</f>
        <v>0</v>
      </c>
      <c r="Z34" s="1082">
        <f t="shared" si="15"/>
        <v>41631146.60665264</v>
      </c>
      <c r="AA34" s="1082">
        <f t="shared" si="15"/>
        <v>0</v>
      </c>
      <c r="AB34" s="1082">
        <f t="shared" si="15"/>
        <v>0</v>
      </c>
      <c r="AC34" s="1082">
        <f t="shared" si="15"/>
        <v>-314398.23129746714</v>
      </c>
      <c r="AD34" s="1082">
        <f t="shared" si="15"/>
        <v>0</v>
      </c>
      <c r="AE34" s="1082">
        <f t="shared" si="15"/>
        <v>0</v>
      </c>
      <c r="AF34" s="1082">
        <f t="shared" si="15"/>
        <v>1249180.3745660563</v>
      </c>
      <c r="AG34" s="1082">
        <f>SUM(AG24:AG33)</f>
        <v>-74723.8394267369</v>
      </c>
      <c r="AH34" s="1082">
        <f t="shared" ref="AH34:AY34" si="16">SUM(AH24:AH33)</f>
        <v>62215</v>
      </c>
      <c r="AI34" s="1082">
        <f t="shared" si="16"/>
        <v>0</v>
      </c>
      <c r="AJ34" s="1082">
        <f t="shared" si="16"/>
        <v>0</v>
      </c>
      <c r="AK34" s="1082">
        <f t="shared" si="16"/>
        <v>0</v>
      </c>
      <c r="AL34" s="1082">
        <f t="shared" si="16"/>
        <v>0</v>
      </c>
      <c r="AM34" s="1082">
        <f t="shared" si="16"/>
        <v>-407648.85953784268</v>
      </c>
      <c r="AN34" s="1082">
        <f t="shared" si="16"/>
        <v>-493727</v>
      </c>
      <c r="AO34" s="1082">
        <f t="shared" si="16"/>
        <v>0</v>
      </c>
      <c r="AP34" s="1082">
        <f t="shared" si="16"/>
        <v>138615</v>
      </c>
      <c r="AQ34" s="1082">
        <f t="shared" si="16"/>
        <v>171516.90404896234</v>
      </c>
      <c r="AR34" s="1082">
        <f t="shared" si="16"/>
        <v>0</v>
      </c>
      <c r="AS34" s="1082">
        <f t="shared" si="16"/>
        <v>0</v>
      </c>
      <c r="AT34" s="1082">
        <f t="shared" si="16"/>
        <v>0</v>
      </c>
      <c r="AU34" s="1082">
        <f t="shared" si="16"/>
        <v>0</v>
      </c>
      <c r="AV34" s="1082">
        <f t="shared" si="16"/>
        <v>-17990.552800000001</v>
      </c>
      <c r="AW34" s="1082">
        <f t="shared" si="16"/>
        <v>99762</v>
      </c>
      <c r="AX34" s="1082">
        <f t="shared" si="16"/>
        <v>2710.3672727272733</v>
      </c>
      <c r="AY34" s="1082">
        <f t="shared" si="16"/>
        <v>-1050000</v>
      </c>
      <c r="AZ34" s="1082">
        <f>SUM(AZ24:AZ33)</f>
        <v>-236962.79765522532</v>
      </c>
      <c r="BA34" s="1082">
        <f>SUM(BA24:BA33)</f>
        <v>0</v>
      </c>
      <c r="BB34" s="1082">
        <f>SUM(BB24:BB33)</f>
        <v>0</v>
      </c>
      <c r="BC34" s="1082">
        <f>SUM(BC24:BC33)</f>
        <v>0</v>
      </c>
      <c r="BD34" s="1053"/>
      <c r="CZ34" s="10"/>
    </row>
    <row r="35" spans="1:104">
      <c r="A35" s="4">
        <v>28</v>
      </c>
      <c r="B35" s="8"/>
      <c r="C35" s="1083"/>
      <c r="D35" s="1080"/>
      <c r="E35" s="1080"/>
      <c r="F35" s="1080">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29</v>
      </c>
      <c r="B36" s="22" t="s">
        <v>98</v>
      </c>
      <c r="C36" s="1295">
        <f>C11-C34</f>
        <v>14571478.999249227</v>
      </c>
      <c r="D36" s="1086">
        <f>D11-D34</f>
        <v>-3700295.2699999996</v>
      </c>
      <c r="E36" s="1086">
        <f>E11-E34</f>
        <v>-4827929.4312790008</v>
      </c>
      <c r="F36" s="1086">
        <f>F11-F34</f>
        <v>11066785.820802085</v>
      </c>
      <c r="G36" s="1086">
        <f t="shared" ref="G36:P36" si="17">G11-G34</f>
        <v>0</v>
      </c>
      <c r="H36" s="1086">
        <f t="shared" si="17"/>
        <v>-1464670.1310724937</v>
      </c>
      <c r="I36" s="1086">
        <f t="shared" si="17"/>
        <v>-66165</v>
      </c>
      <c r="J36" s="1086">
        <f>J11-J34</f>
        <v>0</v>
      </c>
      <c r="K36" s="1086">
        <f>K11-K34</f>
        <v>0</v>
      </c>
      <c r="L36" s="1086">
        <f>L11-L34</f>
        <v>-7429.3085290905419</v>
      </c>
      <c r="M36" s="1086">
        <f t="shared" si="17"/>
        <v>14373.998075557345</v>
      </c>
      <c r="N36" s="1086">
        <f t="shared" si="17"/>
        <v>30932.981132557921</v>
      </c>
      <c r="O36" s="1086">
        <f t="shared" si="17"/>
        <v>0</v>
      </c>
      <c r="P36" s="1086">
        <f t="shared" si="17"/>
        <v>3471.7537227038374</v>
      </c>
      <c r="Q36" s="1086">
        <f t="shared" ref="Q36:W36" si="18">Q11-Q34</f>
        <v>-101033.59276701676</v>
      </c>
      <c r="R36" s="1086">
        <f t="shared" si="18"/>
        <v>6923689.5899999999</v>
      </c>
      <c r="S36" s="1086">
        <f t="shared" si="18"/>
        <v>1758995.077251401</v>
      </c>
      <c r="T36" s="1086">
        <f t="shared" si="18"/>
        <v>260.94661826917422</v>
      </c>
      <c r="U36" s="1086">
        <f t="shared" si="18"/>
        <v>-972.52741804815014</v>
      </c>
      <c r="V36" s="1086">
        <f t="shared" si="18"/>
        <v>-274576.00651124539</v>
      </c>
      <c r="W36" s="1086">
        <f t="shared" si="18"/>
        <v>-139979.2102726177</v>
      </c>
      <c r="X36" s="1086">
        <f>X11-X34</f>
        <v>0</v>
      </c>
      <c r="Y36" s="1086">
        <f>Y11-Y34</f>
        <v>0</v>
      </c>
      <c r="Z36" s="1086">
        <f>Z11-Z34</f>
        <v>7484567.6746666431</v>
      </c>
      <c r="AA36" s="1086">
        <f>AA11-AA34</f>
        <v>0</v>
      </c>
      <c r="AB36" s="1086">
        <f>AB11-AB34</f>
        <v>0</v>
      </c>
      <c r="AC36" s="1086">
        <f t="shared" ref="AC36:BC36" si="19">AC11-AC34</f>
        <v>314398.23129746714</v>
      </c>
      <c r="AD36" s="1086">
        <f t="shared" si="19"/>
        <v>0</v>
      </c>
      <c r="AE36" s="1086">
        <f t="shared" si="19"/>
        <v>0</v>
      </c>
      <c r="AF36" s="1086">
        <f t="shared" si="19"/>
        <v>-1249180.3745660563</v>
      </c>
      <c r="AG36" s="1086">
        <f>AG11-AG34</f>
        <v>74723.8394267369</v>
      </c>
      <c r="AH36" s="1086">
        <f t="shared" si="19"/>
        <v>-62215</v>
      </c>
      <c r="AI36" s="1086">
        <f t="shared" si="19"/>
        <v>0</v>
      </c>
      <c r="AJ36" s="1086">
        <f t="shared" si="19"/>
        <v>0</v>
      </c>
      <c r="AK36" s="1086">
        <f t="shared" si="19"/>
        <v>0</v>
      </c>
      <c r="AL36" s="1086">
        <f t="shared" si="19"/>
        <v>0</v>
      </c>
      <c r="AM36" s="1086">
        <f t="shared" si="19"/>
        <v>407648.85953784268</v>
      </c>
      <c r="AN36" s="1086">
        <f t="shared" si="19"/>
        <v>493727</v>
      </c>
      <c r="AO36" s="1086">
        <f t="shared" si="19"/>
        <v>0</v>
      </c>
      <c r="AP36" s="1086">
        <f t="shared" si="19"/>
        <v>-138615</v>
      </c>
      <c r="AQ36" s="1086">
        <f t="shared" si="19"/>
        <v>-171516.90404896234</v>
      </c>
      <c r="AR36" s="1086">
        <f t="shared" si="19"/>
        <v>0</v>
      </c>
      <c r="AS36" s="1086">
        <f t="shared" si="19"/>
        <v>0</v>
      </c>
      <c r="AT36" s="1086">
        <f t="shared" si="19"/>
        <v>0</v>
      </c>
      <c r="AU36" s="1086">
        <f t="shared" si="19"/>
        <v>0</v>
      </c>
      <c r="AV36" s="1086">
        <f t="shared" si="19"/>
        <v>17990.552800000001</v>
      </c>
      <c r="AW36" s="1086">
        <f t="shared" si="19"/>
        <v>-99762</v>
      </c>
      <c r="AX36" s="1086">
        <f t="shared" si="19"/>
        <v>-2710.3672727272733</v>
      </c>
      <c r="AY36" s="1086">
        <f t="shared" si="19"/>
        <v>-1950000</v>
      </c>
      <c r="AZ36" s="1086">
        <f t="shared" si="19"/>
        <v>236962.79765522532</v>
      </c>
      <c r="BA36" s="1086">
        <f t="shared" si="19"/>
        <v>0</v>
      </c>
      <c r="BB36" s="1086">
        <f t="shared" si="19"/>
        <v>0</v>
      </c>
      <c r="BC36" s="1086">
        <f t="shared" si="19"/>
        <v>0</v>
      </c>
      <c r="BD36" s="1053"/>
      <c r="CZ36" s="10"/>
    </row>
    <row r="37" spans="1:104" ht="13.5"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20">SUM(D39:BC39)</f>
        <v>63205959.0172254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f>'Adj 5.3 Colstrip #3 Removal'!G15+'Adj 5.3 Colstrip #3 Removal'!G16</f>
        <v>-28327255.80891481</v>
      </c>
      <c r="AD39" s="1080">
        <v>0</v>
      </c>
      <c r="AE39" s="1080">
        <v>0</v>
      </c>
      <c r="AF39" s="1080">
        <v>0</v>
      </c>
      <c r="AG39" s="1080">
        <v>0</v>
      </c>
      <c r="AH39" s="1080">
        <v>0</v>
      </c>
      <c r="AI39" s="1080">
        <v>0</v>
      </c>
      <c r="AJ39" s="1080">
        <v>0</v>
      </c>
      <c r="AK39" s="1080">
        <v>0</v>
      </c>
      <c r="AL39" s="1080">
        <v>0</v>
      </c>
      <c r="AM39" s="1080">
        <v>0</v>
      </c>
      <c r="AN39" s="1080">
        <v>0</v>
      </c>
      <c r="AO39" s="1080">
        <v>0</v>
      </c>
      <c r="AP39" s="1080">
        <f>'Adj 8.1 Jim Bridger Mine RB'!G9+'Adj 8.1 Jim Bridger Mine RB'!G15</f>
        <v>69500552.513709083</v>
      </c>
      <c r="AQ39" s="1080">
        <v>0</v>
      </c>
      <c r="AR39" s="1080">
        <v>0</v>
      </c>
      <c r="AS39" s="1080">
        <v>0</v>
      </c>
      <c r="AT39" s="1080">
        <v>0</v>
      </c>
      <c r="AU39" s="1080">
        <v>0</v>
      </c>
      <c r="AV39" s="1080">
        <f>'Adj 8.7 Removal of Colstrip #4'!G17</f>
        <v>-360048.63899999904</v>
      </c>
      <c r="AW39" s="1080">
        <v>0</v>
      </c>
      <c r="AX39" s="1080">
        <v>0</v>
      </c>
      <c r="AY39" s="1080">
        <v>0</v>
      </c>
      <c r="AZ39" s="1080">
        <f>'Adj 8.11 Misc Asset Sales &amp; Rem'!G12</f>
        <v>0</v>
      </c>
      <c r="BA39" s="1080">
        <f>'Adj 8.12 Adjust June 2012 AMA P'!G286</f>
        <v>22392710.951431125</v>
      </c>
      <c r="BB39" s="1080"/>
      <c r="BC39" s="1080">
        <v>0</v>
      </c>
      <c r="BD39" s="1053"/>
      <c r="CZ39" s="10"/>
    </row>
    <row r="40" spans="1:104">
      <c r="A40" s="4">
        <v>33</v>
      </c>
      <c r="B40" s="8" t="s">
        <v>38</v>
      </c>
      <c r="C40" s="1083">
        <f t="shared" si="20"/>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v>0</v>
      </c>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34</v>
      </c>
      <c r="B41" s="8" t="s">
        <v>391</v>
      </c>
      <c r="C41" s="1083">
        <f t="shared" si="20"/>
        <v>-5468734.5442685261</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v>0</v>
      </c>
      <c r="AH41" s="1080">
        <v>0</v>
      </c>
      <c r="AI41" s="1080">
        <v>0</v>
      </c>
      <c r="AJ41" s="1080">
        <v>0</v>
      </c>
      <c r="AK41" s="1080">
        <v>0</v>
      </c>
      <c r="AL41" s="1080">
        <v>0</v>
      </c>
      <c r="AM41" s="1080">
        <v>0</v>
      </c>
      <c r="AN41" s="1080">
        <v>0</v>
      </c>
      <c r="AO41" s="1080">
        <v>0</v>
      </c>
      <c r="AP41" s="1080">
        <f>'Adj 8.1 Jim Bridger Mine RB'!G10+'Adj 8.1 Jim Bridger Mine RB'!G16</f>
        <v>98976.422746625845</v>
      </c>
      <c r="AQ41" s="1080">
        <f>'Adj 8.2 Environ Settlement'!G18</f>
        <v>130636.84776425855</v>
      </c>
      <c r="AR41" s="1080">
        <v>0</v>
      </c>
      <c r="AS41" s="1080">
        <v>0</v>
      </c>
      <c r="AT41" s="1080">
        <f>'Adj 8.5 Misc. Rate base'!G65+'Adj 8.5 Misc. Rate base'!G82</f>
        <v>-5698347.8147794101</v>
      </c>
      <c r="AU41" s="1080">
        <v>0</v>
      </c>
      <c r="AV41" s="1080">
        <v>0</v>
      </c>
      <c r="AW41" s="1080">
        <v>0</v>
      </c>
      <c r="AX41" s="1080">
        <v>0</v>
      </c>
      <c r="AY41" s="1080">
        <v>0</v>
      </c>
      <c r="AZ41" s="1080">
        <v>0</v>
      </c>
      <c r="BA41" s="1080">
        <v>0</v>
      </c>
      <c r="BB41" s="1080">
        <v>0</v>
      </c>
      <c r="BC41" s="1080">
        <v>0</v>
      </c>
      <c r="BD41" s="1053"/>
      <c r="CZ41" s="10"/>
    </row>
    <row r="42" spans="1:104">
      <c r="A42" s="4">
        <v>35</v>
      </c>
      <c r="B42" s="8" t="s">
        <v>40</v>
      </c>
      <c r="C42" s="1083">
        <f t="shared" si="20"/>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v>0</v>
      </c>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36</v>
      </c>
      <c r="B43" s="8" t="s">
        <v>41</v>
      </c>
      <c r="C43" s="1083">
        <f t="shared" si="20"/>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v>0</v>
      </c>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37</v>
      </c>
      <c r="B44" s="8" t="s">
        <v>42</v>
      </c>
      <c r="C44" s="1083">
        <f t="shared" si="20"/>
        <v>-1743278.7185106392</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v>0</v>
      </c>
      <c r="AH44" s="1080">
        <v>0</v>
      </c>
      <c r="AI44" s="1080">
        <v>0</v>
      </c>
      <c r="AJ44" s="1080">
        <v>0</v>
      </c>
      <c r="AK44" s="1080">
        <v>0</v>
      </c>
      <c r="AL44" s="1080">
        <v>0</v>
      </c>
      <c r="AM44" s="1080">
        <v>0</v>
      </c>
      <c r="AN44" s="1080">
        <v>0</v>
      </c>
      <c r="AO44" s="1080">
        <v>0</v>
      </c>
      <c r="AP44" s="1080">
        <v>0</v>
      </c>
      <c r="AQ44" s="1080">
        <v>0</v>
      </c>
      <c r="AR44" s="1080">
        <v>0</v>
      </c>
      <c r="AS44" s="1080">
        <v>0</v>
      </c>
      <c r="AT44" s="1080">
        <f>'Adj 8.5 Misc. Rate base'!G57</f>
        <v>-1743278.7185106392</v>
      </c>
      <c r="AU44" s="1080">
        <v>0</v>
      </c>
      <c r="AV44" s="1080">
        <v>0</v>
      </c>
      <c r="AW44" s="1080">
        <v>0</v>
      </c>
      <c r="AX44" s="1080">
        <v>0</v>
      </c>
      <c r="AY44" s="1080">
        <v>0</v>
      </c>
      <c r="AZ44" s="1080">
        <v>0</v>
      </c>
      <c r="BA44" s="1080">
        <v>0</v>
      </c>
      <c r="BB44" s="1080">
        <v>0</v>
      </c>
      <c r="BC44" s="1080">
        <v>0</v>
      </c>
      <c r="BD44" s="1053"/>
      <c r="CZ44" s="10"/>
    </row>
    <row r="45" spans="1:104">
      <c r="A45" s="4">
        <v>38</v>
      </c>
      <c r="B45" s="8" t="s">
        <v>43</v>
      </c>
      <c r="C45" s="1083">
        <f t="shared" si="20"/>
        <v>-6914148.5720945681</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v>0</v>
      </c>
      <c r="AH45" s="1080">
        <v>0</v>
      </c>
      <c r="AI45" s="1080">
        <v>0</v>
      </c>
      <c r="AJ45" s="1080">
        <v>0</v>
      </c>
      <c r="AK45" s="1080">
        <v>0</v>
      </c>
      <c r="AL45" s="1080">
        <v>0</v>
      </c>
      <c r="AM45" s="1080">
        <v>0</v>
      </c>
      <c r="AN45" s="1080">
        <v>0</v>
      </c>
      <c r="AO45" s="1080">
        <v>0</v>
      </c>
      <c r="AP45" s="1080">
        <v>0</v>
      </c>
      <c r="AQ45" s="1080">
        <v>0</v>
      </c>
      <c r="AR45" s="1080">
        <v>0</v>
      </c>
      <c r="AS45" s="1080">
        <v>0</v>
      </c>
      <c r="AT45" s="1080">
        <f>'Adj 8.5 Misc. Rate base'!G25</f>
        <v>-6914148.5720945681</v>
      </c>
      <c r="AU45" s="1080">
        <v>0</v>
      </c>
      <c r="AV45" s="1080">
        <v>0</v>
      </c>
      <c r="AW45" s="1080">
        <v>0</v>
      </c>
      <c r="AX45" s="1080">
        <v>0</v>
      </c>
      <c r="AY45" s="1080">
        <v>0</v>
      </c>
      <c r="AZ45" s="1080">
        <v>0</v>
      </c>
      <c r="BA45" s="1080">
        <v>0</v>
      </c>
      <c r="BB45" s="1080">
        <v>0</v>
      </c>
      <c r="BC45" s="1080">
        <v>0</v>
      </c>
      <c r="BD45" s="1053"/>
      <c r="CZ45" s="10"/>
    </row>
    <row r="46" spans="1:104">
      <c r="A46" s="4">
        <v>39</v>
      </c>
      <c r="B46" s="8" t="s">
        <v>44</v>
      </c>
      <c r="C46" s="1083">
        <f t="shared" si="20"/>
        <v>-6926884.9266495155</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v>0</v>
      </c>
      <c r="AH46" s="1080">
        <v>0</v>
      </c>
      <c r="AI46" s="1080">
        <v>0</v>
      </c>
      <c r="AJ46" s="1080">
        <v>0</v>
      </c>
      <c r="AK46" s="1080">
        <v>0</v>
      </c>
      <c r="AL46" s="1080">
        <v>0</v>
      </c>
      <c r="AM46" s="1080">
        <v>0</v>
      </c>
      <c r="AN46" s="1080">
        <v>0</v>
      </c>
      <c r="AO46" s="1080">
        <v>0</v>
      </c>
      <c r="AP46" s="1080">
        <v>0</v>
      </c>
      <c r="AQ46" s="1080">
        <v>0</v>
      </c>
      <c r="AR46" s="1080">
        <v>0</v>
      </c>
      <c r="AS46" s="1080">
        <v>0</v>
      </c>
      <c r="AT46" s="1080">
        <f>'Adj 8.5 Misc. Rate base'!G41</f>
        <v>-6926884.9266495155</v>
      </c>
      <c r="AU46" s="1080">
        <v>0</v>
      </c>
      <c r="AV46" s="1080">
        <v>0</v>
      </c>
      <c r="AW46" s="1080">
        <v>0</v>
      </c>
      <c r="AX46" s="1080">
        <v>0</v>
      </c>
      <c r="AY46" s="1080">
        <v>0</v>
      </c>
      <c r="AZ46" s="1080">
        <v>0</v>
      </c>
      <c r="BA46" s="1080">
        <v>0</v>
      </c>
      <c r="BB46" s="1080">
        <v>0</v>
      </c>
      <c r="BC46" s="1080">
        <v>0</v>
      </c>
      <c r="BD46" s="1053"/>
      <c r="CZ46" s="10"/>
    </row>
    <row r="47" spans="1:104">
      <c r="A47" s="4">
        <v>40</v>
      </c>
      <c r="B47" s="8" t="s">
        <v>9</v>
      </c>
      <c r="C47" s="1083">
        <f t="shared" si="20"/>
        <v>28579779.133268069</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v>0</v>
      </c>
      <c r="AH47" s="1080">
        <v>0</v>
      </c>
      <c r="AI47" s="1080">
        <v>0</v>
      </c>
      <c r="AJ47" s="1080">
        <v>0</v>
      </c>
      <c r="AK47" s="1080">
        <v>0</v>
      </c>
      <c r="AL47" s="1080">
        <v>0</v>
      </c>
      <c r="AM47" s="1080">
        <v>0</v>
      </c>
      <c r="AN47" s="1080">
        <v>0</v>
      </c>
      <c r="AO47" s="1080">
        <v>0</v>
      </c>
      <c r="AP47" s="1080">
        <v>0</v>
      </c>
      <c r="AQ47" s="1080">
        <v>0</v>
      </c>
      <c r="AR47" s="1080">
        <v>0</v>
      </c>
      <c r="AS47" s="1080">
        <v>0</v>
      </c>
      <c r="AT47" s="1080">
        <f>'Adj 8.5 Misc. Rate base'!G18</f>
        <v>-2438703.9515725183</v>
      </c>
      <c r="AU47" s="1080">
        <v>0</v>
      </c>
      <c r="AV47" s="1080">
        <v>0</v>
      </c>
      <c r="AW47" s="1080">
        <v>0</v>
      </c>
      <c r="AX47" s="1080">
        <v>0</v>
      </c>
      <c r="AY47" s="1080">
        <v>0</v>
      </c>
      <c r="AZ47" s="1080">
        <v>0</v>
      </c>
      <c r="BA47" s="1080">
        <v>0</v>
      </c>
      <c r="BB47" s="1080">
        <f>'Adj 8.13 ISWC'!G10</f>
        <v>31018483.084840588</v>
      </c>
      <c r="BC47" s="1080">
        <v>0</v>
      </c>
      <c r="BD47" s="1053"/>
      <c r="CZ47" s="10"/>
    </row>
    <row r="48" spans="1:104">
      <c r="A48" s="4">
        <v>41</v>
      </c>
      <c r="B48" s="8" t="s">
        <v>45</v>
      </c>
      <c r="C48" s="1083">
        <f t="shared" si="20"/>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v>0</v>
      </c>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42</v>
      </c>
      <c r="B49" s="8" t="s">
        <v>46</v>
      </c>
      <c r="C49" s="1083">
        <f t="shared" si="20"/>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v>0</v>
      </c>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43</v>
      </c>
      <c r="B50" s="1285" t="s">
        <v>47</v>
      </c>
      <c r="C50" s="1088">
        <f>SUM(C39:C49)</f>
        <v>70732691.388970211</v>
      </c>
      <c r="D50" s="1082">
        <f>SUM(D39:D49)</f>
        <v>0</v>
      </c>
      <c r="E50" s="1082">
        <f>SUM(E39:E49)</f>
        <v>0</v>
      </c>
      <c r="F50" s="1082">
        <v>0</v>
      </c>
      <c r="G50" s="1082">
        <f t="shared" ref="G50:P50" si="21">SUM(G39:G49)</f>
        <v>0</v>
      </c>
      <c r="H50" s="1082">
        <f t="shared" si="21"/>
        <v>0</v>
      </c>
      <c r="I50" s="1082">
        <f t="shared" si="21"/>
        <v>0</v>
      </c>
      <c r="J50" s="1082">
        <f>SUM(J39:J49)</f>
        <v>0</v>
      </c>
      <c r="K50" s="1082">
        <f>SUM(K39:K49)</f>
        <v>0</v>
      </c>
      <c r="L50" s="1082">
        <f>SUM(L39:L49)</f>
        <v>0</v>
      </c>
      <c r="M50" s="1082">
        <f t="shared" si="21"/>
        <v>0</v>
      </c>
      <c r="N50" s="1082">
        <f t="shared" si="21"/>
        <v>0</v>
      </c>
      <c r="O50" s="1082">
        <f t="shared" si="21"/>
        <v>0</v>
      </c>
      <c r="P50" s="1082">
        <f t="shared" si="21"/>
        <v>0</v>
      </c>
      <c r="Q50" s="1082">
        <f t="shared" ref="Q50:W50" si="22">SUM(Q39:Q49)</f>
        <v>0</v>
      </c>
      <c r="R50" s="1082">
        <f t="shared" si="22"/>
        <v>0</v>
      </c>
      <c r="S50" s="1082">
        <f t="shared" si="22"/>
        <v>0</v>
      </c>
      <c r="T50" s="1082">
        <f t="shared" si="22"/>
        <v>0</v>
      </c>
      <c r="U50" s="1082">
        <f t="shared" si="22"/>
        <v>0</v>
      </c>
      <c r="V50" s="1082">
        <f t="shared" si="22"/>
        <v>0</v>
      </c>
      <c r="W50" s="1082">
        <f t="shared" si="22"/>
        <v>0</v>
      </c>
      <c r="X50" s="1082">
        <f>SUM(X39:X49)</f>
        <v>0</v>
      </c>
      <c r="Y50" s="1082">
        <f>SUM(Y39:Y49)</f>
        <v>0</v>
      </c>
      <c r="Z50" s="1082">
        <f>SUM(Z39:Z49)</f>
        <v>0</v>
      </c>
      <c r="AA50" s="1082">
        <f>SUM(AA39:AA49)</f>
        <v>0</v>
      </c>
      <c r="AB50" s="1082">
        <f>SUM(AB39:AB49)</f>
        <v>0</v>
      </c>
      <c r="AC50" s="1082">
        <f t="shared" ref="AC50:AY50" si="23">SUM(AC39:AC49)</f>
        <v>-28327255.80891481</v>
      </c>
      <c r="AD50" s="1082">
        <f t="shared" si="23"/>
        <v>0</v>
      </c>
      <c r="AE50" s="1082">
        <f>SUM(AE39:AE49)</f>
        <v>0</v>
      </c>
      <c r="AF50" s="1082">
        <f>SUM(AF39:AF49)</f>
        <v>0</v>
      </c>
      <c r="AG50" s="1082">
        <f>SUM(AG39:AG49)</f>
        <v>0</v>
      </c>
      <c r="AH50" s="1082">
        <f t="shared" si="23"/>
        <v>0</v>
      </c>
      <c r="AI50" s="1082">
        <f t="shared" si="23"/>
        <v>0</v>
      </c>
      <c r="AJ50" s="1082">
        <f t="shared" si="23"/>
        <v>0</v>
      </c>
      <c r="AK50" s="1082">
        <f t="shared" si="23"/>
        <v>0</v>
      </c>
      <c r="AL50" s="1082">
        <f t="shared" si="23"/>
        <v>0</v>
      </c>
      <c r="AM50" s="1082">
        <f t="shared" si="23"/>
        <v>0</v>
      </c>
      <c r="AN50" s="1082">
        <f>SUM(AN39:AN49)</f>
        <v>0</v>
      </c>
      <c r="AO50" s="1082">
        <f t="shared" si="23"/>
        <v>0</v>
      </c>
      <c r="AP50" s="1082">
        <f t="shared" si="23"/>
        <v>69599528.936455712</v>
      </c>
      <c r="AQ50" s="1082">
        <f t="shared" si="23"/>
        <v>130636.84776425855</v>
      </c>
      <c r="AR50" s="1082">
        <f t="shared" si="23"/>
        <v>0</v>
      </c>
      <c r="AS50" s="1082">
        <f t="shared" si="23"/>
        <v>0</v>
      </c>
      <c r="AT50" s="1082">
        <f>SUM(AT39:AT49)</f>
        <v>-23721363.983606651</v>
      </c>
      <c r="AU50" s="1082">
        <f>SUM(AU39:AU49)</f>
        <v>0</v>
      </c>
      <c r="AV50" s="1082">
        <f t="shared" si="23"/>
        <v>-360048.63899999904</v>
      </c>
      <c r="AW50" s="1082">
        <f>SUM(AW39:AW49)</f>
        <v>0</v>
      </c>
      <c r="AX50" s="1082">
        <f t="shared" si="23"/>
        <v>0</v>
      </c>
      <c r="AY50" s="1082">
        <f t="shared" si="23"/>
        <v>0</v>
      </c>
      <c r="AZ50" s="1082">
        <f>SUM(AZ39:AZ49)</f>
        <v>0</v>
      </c>
      <c r="BA50" s="1082">
        <f>SUM(BA39:BA49)</f>
        <v>22392710.951431125</v>
      </c>
      <c r="BB50" s="1082">
        <f>SUM(BB39:BB49)</f>
        <v>31018483.084840588</v>
      </c>
      <c r="BC50" s="1082">
        <f>SUM(BC39:BC49)</f>
        <v>0</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24">SUM(D53:BC53)</f>
        <v>-29125685.574347764</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f>'Adj 5.3 Colstrip #3 Removal'!G17+'Adj 5.3 Colstrip #3 Removal'!G18</f>
        <v>18631294.304746002</v>
      </c>
      <c r="AD53" s="1080">
        <v>0</v>
      </c>
      <c r="AE53" s="1080">
        <f>'Adj 6.2 Deprec &amp; Amort Reserve '!G93+'Adj 6.2 Deprec &amp; Amort Reserve '!G99+'Adj 6.2 Deprec &amp; Amort Reserve '!G112</f>
        <v>-6488165.3237502482</v>
      </c>
      <c r="AF53" s="1080">
        <f>'Adj 6.3 Proposed Deprec Rates E'!G76</f>
        <v>-2013215.9657142847</v>
      </c>
      <c r="AG53" s="1080">
        <v>0</v>
      </c>
      <c r="AH53" s="1080">
        <v>0</v>
      </c>
      <c r="AI53" s="1080">
        <v>0</v>
      </c>
      <c r="AJ53" s="1080">
        <v>0</v>
      </c>
      <c r="AK53" s="1080">
        <v>0</v>
      </c>
      <c r="AL53" s="1080">
        <v>0</v>
      </c>
      <c r="AM53" s="1080">
        <v>0</v>
      </c>
      <c r="AN53" s="1080">
        <v>0</v>
      </c>
      <c r="AO53" s="1080">
        <v>0</v>
      </c>
      <c r="AP53" s="1080">
        <f>'Adj 8.1 Jim Bridger Mine RB'!G11+'Adj 8.1 Jim Bridger Mine RB'!G17</f>
        <v>-39255598.589629233</v>
      </c>
      <c r="AQ53" s="1080">
        <v>0</v>
      </c>
      <c r="AR53" s="1080">
        <v>0</v>
      </c>
      <c r="AS53" s="1080">
        <v>0</v>
      </c>
      <c r="AT53" s="1080">
        <v>0</v>
      </c>
      <c r="AU53" s="1080">
        <v>0</v>
      </c>
      <c r="AV53" s="1080">
        <v>0</v>
      </c>
      <c r="AW53" s="1080">
        <v>0</v>
      </c>
      <c r="AX53" s="1080">
        <v>0</v>
      </c>
      <c r="AY53" s="1080">
        <v>0</v>
      </c>
      <c r="AZ53" s="1080"/>
      <c r="BA53" s="1080">
        <v>0</v>
      </c>
      <c r="BB53" s="1080">
        <v>0</v>
      </c>
      <c r="BC53" s="1080">
        <v>0</v>
      </c>
      <c r="BD53" s="1053"/>
      <c r="CZ53" s="10"/>
    </row>
    <row r="54" spans="1:104">
      <c r="A54" s="4">
        <v>47</v>
      </c>
      <c r="B54" s="8" t="s">
        <v>50</v>
      </c>
      <c r="C54" s="1083">
        <f t="shared" si="24"/>
        <v>-38827.45374999987</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f>'Adj 6.2 Deprec &amp; Amort Reserve '!G132</f>
        <v>-38827.45374999987</v>
      </c>
      <c r="AF54" s="1080"/>
      <c r="AG54" s="1080">
        <v>0</v>
      </c>
      <c r="AH54" s="1080">
        <v>0</v>
      </c>
      <c r="AI54" s="1080">
        <v>0</v>
      </c>
      <c r="AJ54" s="1080">
        <v>0</v>
      </c>
      <c r="AK54" s="1080">
        <v>0</v>
      </c>
      <c r="AL54" s="1080">
        <v>0</v>
      </c>
      <c r="AM54" s="1080">
        <v>0</v>
      </c>
      <c r="AN54" s="1080">
        <v>0</v>
      </c>
      <c r="AO54" s="1080">
        <v>0</v>
      </c>
      <c r="AP54" s="1080">
        <v>0</v>
      </c>
      <c r="AQ54" s="1080">
        <v>0</v>
      </c>
      <c r="AR54" s="1080">
        <v>0</v>
      </c>
      <c r="AS54" s="1080">
        <v>0</v>
      </c>
      <c r="AT54" s="1080">
        <v>0</v>
      </c>
      <c r="AU54" s="1080">
        <v>0</v>
      </c>
      <c r="AV54" s="1080">
        <v>0</v>
      </c>
      <c r="AW54" s="1080">
        <v>0</v>
      </c>
      <c r="AX54" s="1080">
        <v>0</v>
      </c>
      <c r="AY54" s="1080">
        <v>0</v>
      </c>
      <c r="AZ54" s="1080">
        <v>0</v>
      </c>
      <c r="BA54" s="1080">
        <v>0</v>
      </c>
      <c r="BB54" s="1080">
        <v>0</v>
      </c>
      <c r="BC54" s="1080">
        <v>0</v>
      </c>
      <c r="BD54" s="1053"/>
      <c r="CZ54" s="10"/>
    </row>
    <row r="55" spans="1:104">
      <c r="A55" s="4">
        <v>48</v>
      </c>
      <c r="B55" s="8" t="s">
        <v>392</v>
      </c>
      <c r="C55" s="1083">
        <f t="shared" si="24"/>
        <v>-13295615.908060301</v>
      </c>
      <c r="D55" s="1080">
        <v>0</v>
      </c>
      <c r="E55" s="1080">
        <v>0</v>
      </c>
      <c r="F55" s="1080">
        <v>0</v>
      </c>
      <c r="G55" s="1080">
        <v>0</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f>'Adj 5.3 Colstrip #3 Removal'!G19+'Adj 5.3 Colstrip #3 Removal'!G25</f>
        <v>1126970.5347474767</v>
      </c>
      <c r="AD55" s="1080">
        <v>0</v>
      </c>
      <c r="AE55" s="1080">
        <v>0</v>
      </c>
      <c r="AF55" s="1080">
        <f>'Adj 6.3 Proposed Deprec Rates E'!G125</f>
        <v>764035.59114822827</v>
      </c>
      <c r="AG55" s="1080">
        <f>'Adj 6.4 Vehicle Depreciation'!G106</f>
        <v>-143763.74042216278</v>
      </c>
      <c r="AH55" s="1080">
        <v>0</v>
      </c>
      <c r="AI55" s="1080">
        <v>0</v>
      </c>
      <c r="AJ55" s="1080">
        <v>0</v>
      </c>
      <c r="AK55" s="1080">
        <f>'Adj 7.4 ADIT Balance'!G26</f>
        <v>-1637024.1070903214</v>
      </c>
      <c r="AL55" s="1080">
        <v>0</v>
      </c>
      <c r="AM55" s="1080">
        <f>'Adj 7.6 WA Flow-through Adj'!G50</f>
        <v>-9662968.9592523444</v>
      </c>
      <c r="AN55" s="1080">
        <f>'Adj 7.7 Remove Def State Tax E'!G12</f>
        <v>246864</v>
      </c>
      <c r="AO55" s="1080">
        <v>0</v>
      </c>
      <c r="AP55" s="1080">
        <f>'Adj 8.1 Jim Bridger Mine RB'!G25</f>
        <v>-3609058.0436743628</v>
      </c>
      <c r="AQ55" s="1080">
        <f>'Adj 8.2 Environ Settlement'!G24+'Adj 8.2 Environ Settlement'!G27</f>
        <v>-380671.18351681437</v>
      </c>
      <c r="AR55" s="1080">
        <v>0</v>
      </c>
      <c r="AS55" s="1080">
        <v>0</v>
      </c>
      <c r="AT55" s="1080">
        <v>0</v>
      </c>
      <c r="AU55" s="1080">
        <v>0</v>
      </c>
      <c r="AV55" s="1080">
        <v>0</v>
      </c>
      <c r="AW55" s="1080">
        <v>0</v>
      </c>
      <c r="AX55" s="1080">
        <v>0</v>
      </c>
      <c r="AY55" s="1080"/>
      <c r="AZ55" s="1080">
        <v>0</v>
      </c>
      <c r="BA55" s="1080">
        <v>0</v>
      </c>
      <c r="BB55" s="1080">
        <v>0</v>
      </c>
      <c r="BC55" s="1080">
        <v>0</v>
      </c>
      <c r="BD55" s="1053"/>
      <c r="CZ55" s="10"/>
    </row>
    <row r="56" spans="1:104">
      <c r="A56" s="4">
        <v>49</v>
      </c>
      <c r="B56" s="8" t="s">
        <v>52</v>
      </c>
      <c r="C56" s="1083">
        <f t="shared" si="24"/>
        <v>1645.6848</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f>'Adj 5.3 Colstrip #3 Removal'!G20</f>
        <v>1645.6848</v>
      </c>
      <c r="AD56" s="1080">
        <v>0</v>
      </c>
      <c r="AE56" s="1080">
        <v>0</v>
      </c>
      <c r="AF56" s="1080">
        <v>0</v>
      </c>
      <c r="AG56" s="1080">
        <v>0</v>
      </c>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50</v>
      </c>
      <c r="B57" s="8" t="s">
        <v>53</v>
      </c>
      <c r="C57" s="1083">
        <f t="shared" si="24"/>
        <v>-481414.22831967159</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v>0</v>
      </c>
      <c r="AH57" s="1080">
        <v>0</v>
      </c>
      <c r="AI57" s="1080">
        <v>0</v>
      </c>
      <c r="AJ57" s="1080">
        <v>0</v>
      </c>
      <c r="AK57" s="1080">
        <v>0</v>
      </c>
      <c r="AL57" s="1080">
        <v>0</v>
      </c>
      <c r="AM57" s="1080">
        <v>0</v>
      </c>
      <c r="AN57" s="1080">
        <v>0</v>
      </c>
      <c r="AO57" s="1080">
        <v>0</v>
      </c>
      <c r="AP57" s="1080">
        <v>0</v>
      </c>
      <c r="AQ57" s="1080">
        <v>0</v>
      </c>
      <c r="AR57" s="1080">
        <f>'Adj 8.3 Cust Adv for Construct'!G19</f>
        <v>-481414.22831967159</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51</v>
      </c>
      <c r="B58" s="8" t="s">
        <v>54</v>
      </c>
      <c r="C58" s="1083">
        <f t="shared" si="24"/>
        <v>-3361133.729166666</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v>0</v>
      </c>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f>'Adj 8.9 Cust Svc Deposits'!G12</f>
        <v>-3361133.729166666</v>
      </c>
      <c r="AY58" s="1080">
        <v>0</v>
      </c>
      <c r="AZ58" s="1080">
        <v>0</v>
      </c>
      <c r="BA58" s="1080">
        <v>0</v>
      </c>
      <c r="BB58" s="1080">
        <v>0</v>
      </c>
      <c r="BC58" s="1080">
        <v>0</v>
      </c>
      <c r="BD58" s="1053"/>
      <c r="CZ58" s="10"/>
    </row>
    <row r="59" spans="1:104">
      <c r="A59" s="4">
        <v>52</v>
      </c>
      <c r="B59" s="8" t="s">
        <v>55</v>
      </c>
      <c r="C59" s="1083">
        <f t="shared" si="24"/>
        <v>-83642.64791666661</v>
      </c>
      <c r="D59" s="1080">
        <v>0</v>
      </c>
      <c r="E59" s="1080">
        <v>0</v>
      </c>
      <c r="F59" s="1080">
        <v>0</v>
      </c>
      <c r="G59" s="1080">
        <v>0</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v>0</v>
      </c>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f>'Adj 8.8 Trojan Removal Adj'!G10</f>
        <v>-83642.64791666661</v>
      </c>
      <c r="AX59" s="1080">
        <v>0</v>
      </c>
      <c r="AY59" s="1080">
        <v>0</v>
      </c>
      <c r="AZ59" s="1080">
        <v>0</v>
      </c>
      <c r="BA59" s="1080">
        <v>0</v>
      </c>
      <c r="BB59" s="1080">
        <v>0</v>
      </c>
      <c r="BC59" s="1080">
        <v>0</v>
      </c>
      <c r="BD59" s="1053"/>
      <c r="CZ59" s="10"/>
    </row>
    <row r="60" spans="1:104">
      <c r="A60" s="4">
        <v>53</v>
      </c>
      <c r="B60" s="8"/>
      <c r="C60" s="1083"/>
      <c r="D60" s="1080"/>
      <c r="E60" s="1080"/>
      <c r="F60" s="1080">
        <v>0</v>
      </c>
      <c r="G60" s="1080"/>
      <c r="H60" s="1080"/>
      <c r="I60" s="1080"/>
      <c r="J60" s="1080"/>
      <c r="K60" s="1080"/>
      <c r="L60" s="1080"/>
      <c r="M60" s="1080"/>
      <c r="N60" s="1080"/>
      <c r="O60" s="1080">
        <v>0</v>
      </c>
      <c r="P60" s="1080">
        <v>0</v>
      </c>
      <c r="Q60" s="1080"/>
      <c r="R60" s="1080"/>
      <c r="S60" s="1080"/>
      <c r="T60" s="1080"/>
      <c r="U60" s="1080"/>
      <c r="V60" s="1080"/>
      <c r="W60" s="1080"/>
      <c r="X60" s="1080"/>
      <c r="Y60" s="1080"/>
      <c r="Z60" s="1080"/>
      <c r="AA60" s="1080"/>
      <c r="AB60" s="1080">
        <v>0</v>
      </c>
      <c r="AC60" s="1080"/>
      <c r="AD60" s="1080">
        <v>0</v>
      </c>
      <c r="AE60" s="1080">
        <v>0</v>
      </c>
      <c r="AF60" s="1080">
        <v>0</v>
      </c>
      <c r="AG60" s="1080">
        <v>0</v>
      </c>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5" t="s">
        <v>56</v>
      </c>
      <c r="C61" s="1088">
        <f>SUM(C53:C60)</f>
        <v>-46384673.856761068</v>
      </c>
      <c r="D61" s="1082">
        <f>SUM(D53:D60)</f>
        <v>0</v>
      </c>
      <c r="E61" s="1082">
        <f>SUM(E53:E60)</f>
        <v>0</v>
      </c>
      <c r="F61" s="1082">
        <f>SUM(F53:F60)</f>
        <v>0</v>
      </c>
      <c r="G61" s="1082">
        <f t="shared" ref="G61:P61" si="25">SUM(G53:G60)</f>
        <v>0</v>
      </c>
      <c r="H61" s="1082">
        <f t="shared" si="25"/>
        <v>0</v>
      </c>
      <c r="I61" s="1082">
        <f t="shared" si="25"/>
        <v>0</v>
      </c>
      <c r="J61" s="1082">
        <f>SUM(J53:J60)</f>
        <v>0</v>
      </c>
      <c r="K61" s="1082">
        <f>SUM(K53:K60)</f>
        <v>0</v>
      </c>
      <c r="L61" s="1082">
        <f>SUM(L53:L60)</f>
        <v>0</v>
      </c>
      <c r="M61" s="1082">
        <f t="shared" si="25"/>
        <v>0</v>
      </c>
      <c r="N61" s="1082">
        <f t="shared" si="25"/>
        <v>0</v>
      </c>
      <c r="O61" s="1082">
        <f t="shared" si="25"/>
        <v>0</v>
      </c>
      <c r="P61" s="1082">
        <f t="shared" si="25"/>
        <v>0</v>
      </c>
      <c r="Q61" s="1082">
        <f t="shared" ref="Q61:W61" si="26">SUM(Q53:Q60)</f>
        <v>0</v>
      </c>
      <c r="R61" s="1082">
        <f t="shared" si="26"/>
        <v>0</v>
      </c>
      <c r="S61" s="1082">
        <f t="shared" si="26"/>
        <v>0</v>
      </c>
      <c r="T61" s="1082">
        <f t="shared" si="26"/>
        <v>0</v>
      </c>
      <c r="U61" s="1082">
        <f t="shared" si="26"/>
        <v>0</v>
      </c>
      <c r="V61" s="1082">
        <f t="shared" si="26"/>
        <v>0</v>
      </c>
      <c r="W61" s="1082">
        <f t="shared" si="26"/>
        <v>0</v>
      </c>
      <c r="X61" s="1082">
        <f>SUM(X53:X60)</f>
        <v>0</v>
      </c>
      <c r="Y61" s="1082">
        <f>SUM(Y53:Y60)</f>
        <v>0</v>
      </c>
      <c r="Z61" s="1082">
        <f>SUM(Z53:Z60)</f>
        <v>0</v>
      </c>
      <c r="AA61" s="1082">
        <f>SUM(AA53:AA60)</f>
        <v>0</v>
      </c>
      <c r="AB61" s="1082">
        <f>SUM(AB53:AB60)</f>
        <v>0</v>
      </c>
      <c r="AC61" s="1082">
        <f t="shared" ref="AC61:AY61" si="27">SUM(AC53:AC60)</f>
        <v>19759910.524293479</v>
      </c>
      <c r="AD61" s="1082">
        <f t="shared" si="27"/>
        <v>0</v>
      </c>
      <c r="AE61" s="1082">
        <f>SUM(AE53:AE60)</f>
        <v>-6526992.7775002476</v>
      </c>
      <c r="AF61" s="1082">
        <f>SUM(AF53:AF60)</f>
        <v>-1249180.3745660563</v>
      </c>
      <c r="AG61" s="1082">
        <f>SUM(AG53:AG60)</f>
        <v>-143763.74042216278</v>
      </c>
      <c r="AH61" s="1082">
        <f t="shared" si="27"/>
        <v>0</v>
      </c>
      <c r="AI61" s="1082">
        <f t="shared" si="27"/>
        <v>0</v>
      </c>
      <c r="AJ61" s="1082">
        <f t="shared" si="27"/>
        <v>0</v>
      </c>
      <c r="AK61" s="1082">
        <f t="shared" si="27"/>
        <v>-1637024.1070903214</v>
      </c>
      <c r="AL61" s="1082">
        <f t="shared" si="27"/>
        <v>0</v>
      </c>
      <c r="AM61" s="1082">
        <f t="shared" si="27"/>
        <v>-9662968.9592523444</v>
      </c>
      <c r="AN61" s="1082">
        <f>SUM(AN53:AN60)</f>
        <v>246864</v>
      </c>
      <c r="AO61" s="1082">
        <f t="shared" si="27"/>
        <v>0</v>
      </c>
      <c r="AP61" s="1082">
        <f t="shared" si="27"/>
        <v>-42864656.633303598</v>
      </c>
      <c r="AQ61" s="1082">
        <f t="shared" si="27"/>
        <v>-380671.18351681437</v>
      </c>
      <c r="AR61" s="1082">
        <f t="shared" si="27"/>
        <v>-481414.22831967159</v>
      </c>
      <c r="AS61" s="1082">
        <f t="shared" si="27"/>
        <v>0</v>
      </c>
      <c r="AT61" s="1082">
        <f>SUM(AT53:AT60)</f>
        <v>0</v>
      </c>
      <c r="AU61" s="1082">
        <f>SUM(AU53:AU60)</f>
        <v>0</v>
      </c>
      <c r="AV61" s="1082">
        <f t="shared" si="27"/>
        <v>0</v>
      </c>
      <c r="AW61" s="1082">
        <f>SUM(AW53:AW60)</f>
        <v>-83642.64791666661</v>
      </c>
      <c r="AX61" s="1082">
        <f t="shared" si="27"/>
        <v>-3361133.729166666</v>
      </c>
      <c r="AY61" s="1082">
        <f t="shared" si="27"/>
        <v>0</v>
      </c>
      <c r="AZ61" s="1082">
        <f>SUM(AZ53:AZ60)</f>
        <v>0</v>
      </c>
      <c r="BA61" s="1082">
        <f>SUM(BA53:BA60)</f>
        <v>0</v>
      </c>
      <c r="BB61" s="1082">
        <f>SUM(BB53:BB60)</f>
        <v>0</v>
      </c>
      <c r="BC61" s="1082">
        <f>SUM(BC53:BC60)</f>
        <v>0</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6">
        <f>C50+C61</f>
        <v>24348017.532209143</v>
      </c>
      <c r="D63" s="1080">
        <f>D50+D61</f>
        <v>0</v>
      </c>
      <c r="E63" s="1080">
        <f>E50+E61</f>
        <v>0</v>
      </c>
      <c r="F63" s="1080">
        <f>F50+F61</f>
        <v>0</v>
      </c>
      <c r="G63" s="1080">
        <f t="shared" ref="G63:P63" si="28">G50+G61</f>
        <v>0</v>
      </c>
      <c r="H63" s="1080">
        <f t="shared" si="28"/>
        <v>0</v>
      </c>
      <c r="I63" s="1080">
        <f t="shared" si="28"/>
        <v>0</v>
      </c>
      <c r="J63" s="1080">
        <f>J50+J61</f>
        <v>0</v>
      </c>
      <c r="K63" s="1080">
        <f>K50+K61</f>
        <v>0</v>
      </c>
      <c r="L63" s="1080">
        <f>L50+L61</f>
        <v>0</v>
      </c>
      <c r="M63" s="1080">
        <f t="shared" si="28"/>
        <v>0</v>
      </c>
      <c r="N63" s="1080">
        <f t="shared" si="28"/>
        <v>0</v>
      </c>
      <c r="O63" s="1080">
        <f t="shared" si="28"/>
        <v>0</v>
      </c>
      <c r="P63" s="1080">
        <f t="shared" si="28"/>
        <v>0</v>
      </c>
      <c r="Q63" s="1080">
        <f t="shared" ref="Q63:W63" si="29">Q50+Q61</f>
        <v>0</v>
      </c>
      <c r="R63" s="1080">
        <f t="shared" si="29"/>
        <v>0</v>
      </c>
      <c r="S63" s="1080">
        <f t="shared" si="29"/>
        <v>0</v>
      </c>
      <c r="T63" s="1080">
        <f t="shared" si="29"/>
        <v>0</v>
      </c>
      <c r="U63" s="1080">
        <f t="shared" si="29"/>
        <v>0</v>
      </c>
      <c r="V63" s="1080">
        <f t="shared" si="29"/>
        <v>0</v>
      </c>
      <c r="W63" s="1080">
        <f t="shared" si="29"/>
        <v>0</v>
      </c>
      <c r="X63" s="1080">
        <f>X50+X61</f>
        <v>0</v>
      </c>
      <c r="Y63" s="1080">
        <f>Y50+Y61</f>
        <v>0</v>
      </c>
      <c r="Z63" s="1080">
        <f>Z50+Z61</f>
        <v>0</v>
      </c>
      <c r="AA63" s="1080">
        <f>AA50+AA61</f>
        <v>0</v>
      </c>
      <c r="AB63" s="1080">
        <f>AB50+AB61</f>
        <v>0</v>
      </c>
      <c r="AC63" s="1080">
        <f t="shared" ref="AC63:AY63" si="30">AC50+AC61</f>
        <v>-8567345.2846213318</v>
      </c>
      <c r="AD63" s="1080">
        <f t="shared" si="30"/>
        <v>0</v>
      </c>
      <c r="AE63" s="1080">
        <f>AE50+AE61</f>
        <v>-6526992.7775002476</v>
      </c>
      <c r="AF63" s="1080">
        <f>AF50+AF61</f>
        <v>-1249180.3745660563</v>
      </c>
      <c r="AG63" s="1080">
        <f>AG50+AG61</f>
        <v>-143763.74042216278</v>
      </c>
      <c r="AH63" s="1080">
        <f t="shared" si="30"/>
        <v>0</v>
      </c>
      <c r="AI63" s="1080">
        <f t="shared" si="30"/>
        <v>0</v>
      </c>
      <c r="AJ63" s="1080">
        <f t="shared" si="30"/>
        <v>0</v>
      </c>
      <c r="AK63" s="1080">
        <f t="shared" si="30"/>
        <v>-1637024.1070903214</v>
      </c>
      <c r="AL63" s="1080">
        <f t="shared" si="30"/>
        <v>0</v>
      </c>
      <c r="AM63" s="1080">
        <f t="shared" si="30"/>
        <v>-9662968.9592523444</v>
      </c>
      <c r="AN63" s="1080">
        <f>AN50+AN61</f>
        <v>246864</v>
      </c>
      <c r="AO63" s="1080">
        <f t="shared" si="30"/>
        <v>0</v>
      </c>
      <c r="AP63" s="1080">
        <f t="shared" si="30"/>
        <v>26734872.303152114</v>
      </c>
      <c r="AQ63" s="1080">
        <f t="shared" si="30"/>
        <v>-250034.33575255581</v>
      </c>
      <c r="AR63" s="1080">
        <f t="shared" si="30"/>
        <v>-481414.22831967159</v>
      </c>
      <c r="AS63" s="1080">
        <f t="shared" si="30"/>
        <v>0</v>
      </c>
      <c r="AT63" s="1080">
        <f>AT50+AT61</f>
        <v>-23721363.983606651</v>
      </c>
      <c r="AU63" s="1080">
        <f>AU50+AU61</f>
        <v>0</v>
      </c>
      <c r="AV63" s="1080">
        <f t="shared" si="30"/>
        <v>-360048.63899999904</v>
      </c>
      <c r="AW63" s="1080">
        <f>AW50+AW61</f>
        <v>-83642.64791666661</v>
      </c>
      <c r="AX63" s="1080">
        <f t="shared" si="30"/>
        <v>-3361133.729166666</v>
      </c>
      <c r="AY63" s="1080">
        <f t="shared" si="30"/>
        <v>0</v>
      </c>
      <c r="AZ63" s="1080">
        <f>AZ50+AZ61</f>
        <v>0</v>
      </c>
      <c r="BA63" s="1080">
        <f>BA50+BA61</f>
        <v>22392710.951431125</v>
      </c>
      <c r="BB63" s="1080">
        <f>BB50+BB61</f>
        <v>31018483.084840588</v>
      </c>
      <c r="BC63" s="1080">
        <f>BC50+BC61</f>
        <v>0</v>
      </c>
      <c r="BD63" s="1053"/>
      <c r="CZ63" s="10"/>
    </row>
    <row r="64" spans="1:104" ht="13.5"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v>0</v>
      </c>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61</v>
      </c>
      <c r="B66" s="20" t="s">
        <v>2</v>
      </c>
      <c r="C66" s="1299"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v>0</v>
      </c>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20839730.420236949</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v>0</v>
      </c>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63</v>
      </c>
      <c r="B68" s="20" t="s">
        <v>61</v>
      </c>
      <c r="C68" s="1085">
        <f>C11-C24-C26-C27-C28-C33</f>
        <v>20839730.420236949</v>
      </c>
      <c r="D68" s="1085">
        <f>D11-D24-D26-D27-D28-D33</f>
        <v>-5692761.2699999996</v>
      </c>
      <c r="E68" s="1085">
        <f>E11-E24-E26-E27-E28-E33</f>
        <v>-7427584.4312790008</v>
      </c>
      <c r="F68" s="1085">
        <f>F11-F24-F26-F27-F28-F33</f>
        <v>17025824.820802085</v>
      </c>
      <c r="G68" s="1085">
        <f t="shared" ref="G68:P68" si="31">G11-G24-G26-G27-G28-G33</f>
        <v>0</v>
      </c>
      <c r="H68" s="1085">
        <f t="shared" si="31"/>
        <v>-2253339.1310724937</v>
      </c>
      <c r="I68" s="1085">
        <f t="shared" si="31"/>
        <v>-101793</v>
      </c>
      <c r="J68" s="1085">
        <f>J11-J24-J26-J27-J28-J33</f>
        <v>0</v>
      </c>
      <c r="K68" s="1085">
        <f>K11-K24-K26-K27-K28-K33</f>
        <v>0</v>
      </c>
      <c r="L68" s="1085">
        <f>L11-L24-L26-L27-L28-L33</f>
        <v>-11430.308529090542</v>
      </c>
      <c r="M68" s="1085">
        <f t="shared" si="31"/>
        <v>22113.998075557345</v>
      </c>
      <c r="N68" s="1085">
        <f t="shared" si="31"/>
        <v>47588.981132557921</v>
      </c>
      <c r="O68" s="1085">
        <f t="shared" si="31"/>
        <v>0</v>
      </c>
      <c r="P68" s="1085">
        <f t="shared" si="31"/>
        <v>5340.7537227038374</v>
      </c>
      <c r="Q68" s="1085">
        <f t="shared" ref="Q68:W68" si="32">Q11-Q24-Q26-Q27-Q28-Q33</f>
        <v>-155436.59276701676</v>
      </c>
      <c r="R68" s="1085">
        <f t="shared" si="32"/>
        <v>10677588.59</v>
      </c>
      <c r="S68" s="1085">
        <f t="shared" si="32"/>
        <v>2030096.077251401</v>
      </c>
      <c r="T68" s="1085">
        <f t="shared" si="32"/>
        <v>401.94661826917422</v>
      </c>
      <c r="U68" s="1085">
        <f t="shared" si="32"/>
        <v>-1496.5274180481501</v>
      </c>
      <c r="V68" s="1085">
        <f t="shared" si="32"/>
        <v>-422425.00651124539</v>
      </c>
      <c r="W68" s="1085">
        <f t="shared" si="32"/>
        <v>-215352.2102726177</v>
      </c>
      <c r="X68" s="1085">
        <f>X11-X24-X26-X27-X28-X33</f>
        <v>0</v>
      </c>
      <c r="Y68" s="1085">
        <f>Y11-Y24-Y26-Y27-Y28-Y33</f>
        <v>0</v>
      </c>
      <c r="Z68" s="1085">
        <f>Z11-Z24-Z26-Z27-Z28-Z33</f>
        <v>11514719.674666643</v>
      </c>
      <c r="AA68" s="1085">
        <f>AA11-AA24-AA26-AA27-AA28-AA33</f>
        <v>0</v>
      </c>
      <c r="AB68" s="1085">
        <v>0</v>
      </c>
      <c r="AC68" s="1085">
        <f t="shared" ref="AC68:AH68" si="33">AC11-AC24-AC26-AC27-AC28-AC33</f>
        <v>469119.33380278642</v>
      </c>
      <c r="AD68" s="1085">
        <f t="shared" si="33"/>
        <v>0</v>
      </c>
      <c r="AE68" s="1085">
        <f t="shared" si="33"/>
        <v>0</v>
      </c>
      <c r="AF68" s="1085">
        <f t="shared" si="33"/>
        <v>-2013215.9657142847</v>
      </c>
      <c r="AG68" s="1085">
        <f>AG11-AG24-AG26-AG27-AG28-AG33</f>
        <v>132157.57984889968</v>
      </c>
      <c r="AH68" s="1085">
        <f t="shared" si="33"/>
        <v>0</v>
      </c>
      <c r="AI68" s="1085">
        <v>0</v>
      </c>
      <c r="AJ68" s="1085">
        <v>0</v>
      </c>
      <c r="AK68" s="1085">
        <f t="shared" ref="AK68:AP68" si="34">AK11-AK24-AK26-AK27-AK28-AK33</f>
        <v>0</v>
      </c>
      <c r="AL68" s="1085">
        <f t="shared" si="34"/>
        <v>0</v>
      </c>
      <c r="AM68" s="1085">
        <f t="shared" si="34"/>
        <v>0</v>
      </c>
      <c r="AN68" s="1085">
        <f t="shared" si="34"/>
        <v>0</v>
      </c>
      <c r="AO68" s="1085">
        <f t="shared" si="34"/>
        <v>0</v>
      </c>
      <c r="AP68" s="1085">
        <f t="shared" si="34"/>
        <v>0</v>
      </c>
      <c r="AQ68" s="1085">
        <f t="shared" ref="AQ68:AY68" si="35">AQ11-AQ24-AQ26-AQ27-AQ28-AQ33</f>
        <v>-168765.87530265757</v>
      </c>
      <c r="AR68" s="1085">
        <f t="shared" si="35"/>
        <v>0</v>
      </c>
      <c r="AS68" s="1085">
        <f t="shared" si="35"/>
        <v>0</v>
      </c>
      <c r="AT68" s="1085">
        <f t="shared" si="35"/>
        <v>0</v>
      </c>
      <c r="AU68" s="1085">
        <f t="shared" si="35"/>
        <v>0</v>
      </c>
      <c r="AV68" s="1085">
        <f t="shared" si="35"/>
        <v>17990.552800000001</v>
      </c>
      <c r="AW68" s="1085">
        <f t="shared" si="35"/>
        <v>0</v>
      </c>
      <c r="AX68" s="1085">
        <f t="shared" si="35"/>
        <v>-4169.3672727272733</v>
      </c>
      <c r="AY68" s="1085">
        <f t="shared" si="35"/>
        <v>-3000000</v>
      </c>
      <c r="AZ68" s="1085">
        <f>AZ11-AZ24-AZ26-AZ27-AZ28-AZ33</f>
        <v>364557.79765522532</v>
      </c>
      <c r="BA68" s="1085">
        <f>BA11-BA24-BA26-BA27-BA28-BA33</f>
        <v>0</v>
      </c>
      <c r="BB68" s="1085">
        <f>BB11-BB24-BB26-BB27-BB28-BB33</f>
        <v>0</v>
      </c>
      <c r="BC68" s="1085">
        <f>BC11-BC24-BC26-BC27-BC28-BC33</f>
        <v>0</v>
      </c>
      <c r="BD68" s="1053"/>
      <c r="CZ68" s="10"/>
    </row>
    <row r="69" spans="1:104">
      <c r="A69" s="6">
        <v>64</v>
      </c>
      <c r="B69" s="20" t="s">
        <v>62</v>
      </c>
      <c r="C69" s="1300">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v>0</v>
      </c>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65</v>
      </c>
      <c r="B70" s="20" t="s">
        <v>63</v>
      </c>
      <c r="C70" s="1300">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v>0</v>
      </c>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66</v>
      </c>
      <c r="B71" s="20" t="s">
        <v>5</v>
      </c>
      <c r="C71" s="1300">
        <f>SUM(D71:BC71)</f>
        <v>-177756.65610742569</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v>0</v>
      </c>
      <c r="AH71" s="1080">
        <f>'Adj 7.1 Interest True-up'!G21</f>
        <v>-177756.65610742569</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67</v>
      </c>
      <c r="B72" s="20" t="s">
        <v>393</v>
      </c>
      <c r="C72" s="1300">
        <f>SUM(D72:BC72)</f>
        <v>1307442.0048251702</v>
      </c>
      <c r="D72" s="1080">
        <v>0</v>
      </c>
      <c r="E72" s="1080">
        <v>0</v>
      </c>
      <c r="F72" s="1080">
        <v>0</v>
      </c>
      <c r="G72" s="1080"/>
      <c r="H72" s="1080">
        <v>0</v>
      </c>
      <c r="I72" s="1080">
        <v>0</v>
      </c>
      <c r="J72" s="1080">
        <v>0</v>
      </c>
      <c r="K72" s="1080">
        <v>0</v>
      </c>
      <c r="L72" s="1080">
        <v>0</v>
      </c>
      <c r="M72" s="1080">
        <v>0</v>
      </c>
      <c r="N72" s="1080">
        <v>0</v>
      </c>
      <c r="O72" s="1080">
        <v>0</v>
      </c>
      <c r="P72" s="1080">
        <v>0</v>
      </c>
      <c r="Q72" s="1080">
        <v>0</v>
      </c>
      <c r="R72" s="1080">
        <f>'Adj 4.6 DSM Rev-Exp Remove'!G17</f>
        <v>47838.41379794394</v>
      </c>
      <c r="S72" s="1080"/>
      <c r="T72" s="1080">
        <v>0</v>
      </c>
      <c r="U72" s="1080">
        <f>'Adj 4.6 DSM Rev-Exp Remove'!I17</f>
        <v>0</v>
      </c>
      <c r="V72" s="1080">
        <v>0</v>
      </c>
      <c r="W72" s="1080">
        <f>'Adj 4.6 DSM Rev-Exp Remove'!L17</f>
        <v>0</v>
      </c>
      <c r="X72" s="1080">
        <f>'Adj 4.6 DSM Rev-Exp Remove'!N17</f>
        <v>0</v>
      </c>
      <c r="Y72" s="1080">
        <v>0</v>
      </c>
      <c r="Z72" s="1080">
        <v>0</v>
      </c>
      <c r="AA72" s="1080">
        <v>0</v>
      </c>
      <c r="AB72" s="1080">
        <v>0</v>
      </c>
      <c r="AC72" s="1080">
        <f>'Adj 5.3 Colstrip #3 Removal'!G23</f>
        <v>-52188</v>
      </c>
      <c r="AD72" s="1080">
        <v>0</v>
      </c>
      <c r="AE72" s="1080">
        <v>0</v>
      </c>
      <c r="AF72" s="1080">
        <f>'Adj 6.3 Proposed Deprec Rates E'!G93</f>
        <v>2013215.9657142849</v>
      </c>
      <c r="AG72" s="1080">
        <f>'Adj 6.4 Vehicle Depreciation'!G74</f>
        <v>-378814.10350758285</v>
      </c>
      <c r="AH72" s="1080">
        <v>0</v>
      </c>
      <c r="AI72" s="1080">
        <v>0</v>
      </c>
      <c r="AJ72" s="1080">
        <v>0</v>
      </c>
      <c r="AK72" s="1080">
        <v>0</v>
      </c>
      <c r="AL72" s="1080">
        <v>0</v>
      </c>
      <c r="AM72" s="1080">
        <v>0</v>
      </c>
      <c r="AN72" s="1080">
        <v>0</v>
      </c>
      <c r="AO72" s="1080">
        <v>0</v>
      </c>
      <c r="AP72" s="1080">
        <f>'Adj 8.1 Jim Bridger Mine RB'!G26</f>
        <v>-28035.211745422421</v>
      </c>
      <c r="AQ72" s="1080">
        <f>'Adj 8.2 Environ Settlement'!G21+'Adj 8.2 Environ Settlement'!G22+'Adj 8.2 Environ Settlement'!G25</f>
        <v>-294575.05943405337</v>
      </c>
      <c r="AR72" s="1080">
        <v>0</v>
      </c>
      <c r="AS72" s="1080">
        <v>0</v>
      </c>
      <c r="AT72" s="1080"/>
      <c r="AU72" s="1080">
        <v>0</v>
      </c>
      <c r="AV72" s="1080">
        <v>0</v>
      </c>
      <c r="AW72" s="1080">
        <v>0</v>
      </c>
      <c r="AX72" s="1080">
        <v>0</v>
      </c>
      <c r="AY72" s="1080">
        <v>0</v>
      </c>
      <c r="AZ72" s="1080">
        <v>0</v>
      </c>
      <c r="BA72" s="1080">
        <v>0</v>
      </c>
      <c r="BB72" s="1080">
        <v>0</v>
      </c>
      <c r="BC72" s="1080">
        <v>0</v>
      </c>
      <c r="BD72" s="1053"/>
      <c r="CZ72" s="10"/>
    </row>
    <row r="73" spans="1:104">
      <c r="A73" s="6">
        <v>68</v>
      </c>
      <c r="B73" s="20" t="s">
        <v>394</v>
      </c>
      <c r="C73" s="1301">
        <f>SUM(D73:BC73)</f>
        <v>541075.95803906047</v>
      </c>
      <c r="D73" s="1080">
        <v>0</v>
      </c>
      <c r="E73" s="1080">
        <v>0</v>
      </c>
      <c r="F73" s="1080">
        <v>0</v>
      </c>
      <c r="G73" s="1080">
        <v>0</v>
      </c>
      <c r="H73" s="1080">
        <v>0</v>
      </c>
      <c r="I73" s="1080">
        <v>0</v>
      </c>
      <c r="J73" s="1080">
        <v>0</v>
      </c>
      <c r="K73" s="1080">
        <v>0</v>
      </c>
      <c r="L73" s="1080">
        <v>0</v>
      </c>
      <c r="M73" s="1080">
        <v>0</v>
      </c>
      <c r="N73" s="1080">
        <v>0</v>
      </c>
      <c r="O73" s="1080">
        <v>0</v>
      </c>
      <c r="P73" s="1080">
        <v>0</v>
      </c>
      <c r="Q73" s="1080">
        <v>0</v>
      </c>
      <c r="R73" s="1080">
        <v>0</v>
      </c>
      <c r="S73" s="1080">
        <f>'Adj 4.7 Insurance Exp'!G24</f>
        <v>1255521.1132177606</v>
      </c>
      <c r="T73" s="1080">
        <v>0</v>
      </c>
      <c r="U73" s="1080">
        <v>0</v>
      </c>
      <c r="V73" s="1080">
        <v>0</v>
      </c>
      <c r="W73" s="1080">
        <v>0</v>
      </c>
      <c r="X73" s="1080">
        <v>0</v>
      </c>
      <c r="Y73" s="1080">
        <v>0</v>
      </c>
      <c r="Z73" s="1080">
        <v>0</v>
      </c>
      <c r="AA73" s="1080">
        <v>0</v>
      </c>
      <c r="AB73" s="1080">
        <v>0</v>
      </c>
      <c r="AC73" s="1080">
        <f>'Adj 5.3 Colstrip #3 Removal'!G11</f>
        <v>298029.30754214432</v>
      </c>
      <c r="AD73" s="1080">
        <v>0</v>
      </c>
      <c r="AE73" s="1080">
        <v>0</v>
      </c>
      <c r="AF73" s="1080">
        <v>0</v>
      </c>
      <c r="AG73" s="1080">
        <v>0</v>
      </c>
      <c r="AH73" s="1080">
        <v>0</v>
      </c>
      <c r="AI73" s="1080">
        <v>0</v>
      </c>
      <c r="AJ73" s="1080">
        <v>0</v>
      </c>
      <c r="AK73" s="1080">
        <v>0</v>
      </c>
      <c r="AL73" s="1080">
        <v>0</v>
      </c>
      <c r="AM73" s="1080">
        <v>0</v>
      </c>
      <c r="AN73" s="1080">
        <v>0</v>
      </c>
      <c r="AO73" s="1080">
        <v>0</v>
      </c>
      <c r="AP73" s="1080">
        <f>SUM('Adj 8.1 Jim Bridger Mine RB'!G27:G29)</f>
        <v>-424076.846086126</v>
      </c>
      <c r="AQ73" s="1080">
        <f>'Adj 8.2 Environ Settlement'!G20</f>
        <v>-321354.16943471832</v>
      </c>
      <c r="AR73" s="1080">
        <v>0</v>
      </c>
      <c r="AS73" s="1080">
        <v>0</v>
      </c>
      <c r="AT73" s="1080">
        <v>0</v>
      </c>
      <c r="AU73" s="1080">
        <v>0</v>
      </c>
      <c r="AV73" s="1080">
        <f>'Adj 8.7 Removal of Colstrip #4'!G13</f>
        <v>17990.552800000001</v>
      </c>
      <c r="AW73" s="1080">
        <f>'Adj 8.8 Trojan Removal Adj'!G14</f>
        <v>-285034</v>
      </c>
      <c r="AX73" s="1080">
        <v>0</v>
      </c>
      <c r="AY73" s="1080">
        <v>0</v>
      </c>
      <c r="AZ73" s="1080">
        <v>0</v>
      </c>
      <c r="BA73" s="1080">
        <v>0</v>
      </c>
      <c r="BB73" s="1080">
        <v>0</v>
      </c>
      <c r="BC73" s="1080">
        <v>0</v>
      </c>
      <c r="BD73" s="1053"/>
      <c r="CZ73" s="10"/>
    </row>
    <row r="74" spans="1:104">
      <c r="A74" s="6">
        <v>69</v>
      </c>
      <c r="B74" s="20"/>
      <c r="C74" s="1300"/>
      <c r="D74" s="1085"/>
      <c r="E74" s="1085"/>
      <c r="F74" s="1085"/>
      <c r="G74" s="1085"/>
      <c r="H74" s="1085"/>
      <c r="I74" s="1085"/>
      <c r="J74" s="1085"/>
      <c r="K74" s="1085"/>
      <c r="L74" s="1085"/>
      <c r="M74" s="1085"/>
      <c r="N74" s="1085"/>
      <c r="O74" s="1085">
        <v>0</v>
      </c>
      <c r="P74" s="1085">
        <v>0</v>
      </c>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9">
        <f>C68-C70-C71+C72-C73</f>
        <v>21783853.123130485</v>
      </c>
      <c r="D75" s="1299">
        <f>D68-D70-D71+D72-D73</f>
        <v>-5692761.2699999996</v>
      </c>
      <c r="E75" s="1299">
        <f>E68-E70-E71+E72-E73</f>
        <v>-7427584.4312790008</v>
      </c>
      <c r="F75" s="1299">
        <f>F68-F70-F71+F72-F73</f>
        <v>17025824.820802085</v>
      </c>
      <c r="G75" s="1299">
        <f t="shared" ref="G75:P75" si="36">G68-G70-G71+G72-G73</f>
        <v>0</v>
      </c>
      <c r="H75" s="1299">
        <f t="shared" si="36"/>
        <v>-2253339.1310724937</v>
      </c>
      <c r="I75" s="1299">
        <f t="shared" si="36"/>
        <v>-101793</v>
      </c>
      <c r="J75" s="1299">
        <f>J68-J70-J71+J72-J73</f>
        <v>0</v>
      </c>
      <c r="K75" s="1299">
        <f>K68-K70-K71+K72-K73</f>
        <v>0</v>
      </c>
      <c r="L75" s="1299">
        <f>L68-L70-L71+L72-L73</f>
        <v>-11430.308529090542</v>
      </c>
      <c r="M75" s="1299">
        <f t="shared" si="36"/>
        <v>22113.998075557345</v>
      </c>
      <c r="N75" s="1299">
        <f t="shared" si="36"/>
        <v>47588.981132557921</v>
      </c>
      <c r="O75" s="1299">
        <f t="shared" si="36"/>
        <v>0</v>
      </c>
      <c r="P75" s="1299">
        <f t="shared" si="36"/>
        <v>5340.7537227038374</v>
      </c>
      <c r="Q75" s="1299">
        <f t="shared" ref="Q75:W75" si="37">Q68-Q70-Q71+Q72-Q73</f>
        <v>-155436.59276701676</v>
      </c>
      <c r="R75" s="1299">
        <f t="shared" si="37"/>
        <v>10725427.003797945</v>
      </c>
      <c r="S75" s="1299">
        <f t="shared" si="37"/>
        <v>774574.96403364046</v>
      </c>
      <c r="T75" s="1299">
        <f t="shared" si="37"/>
        <v>401.94661826917422</v>
      </c>
      <c r="U75" s="1299">
        <f t="shared" si="37"/>
        <v>-1496.5274180481501</v>
      </c>
      <c r="V75" s="1299">
        <f t="shared" si="37"/>
        <v>-422425.00651124539</v>
      </c>
      <c r="W75" s="1299">
        <f t="shared" si="37"/>
        <v>-215352.2102726177</v>
      </c>
      <c r="X75" s="1299">
        <f>X68-X70-X71+X72-X73</f>
        <v>0</v>
      </c>
      <c r="Y75" s="1299">
        <f>Y68-Y70-Y71+Y72-Y73</f>
        <v>0</v>
      </c>
      <c r="Z75" s="1299">
        <f>Z68-Z70-Z71+Z72-Z73</f>
        <v>11514719.674666643</v>
      </c>
      <c r="AA75" s="1299">
        <f>AA68-AA70-AA71+AA72-AA73</f>
        <v>0</v>
      </c>
      <c r="AB75" s="1299">
        <f>AB68-AB70-AB71+AB72-AB73</f>
        <v>0</v>
      </c>
      <c r="AC75" s="1299">
        <f t="shared" ref="AC75:AT75" si="38">AC68-AC70-AC71+AC72-AC73</f>
        <v>118902.0262606421</v>
      </c>
      <c r="AD75" s="1299">
        <f t="shared" si="38"/>
        <v>0</v>
      </c>
      <c r="AE75" s="1299">
        <f>AE68-AE70-AE71+AE72-AE73</f>
        <v>0</v>
      </c>
      <c r="AF75" s="1299">
        <f>AF68-AF70-AF71+AF72-AF73</f>
        <v>2.3283064365386963E-10</v>
      </c>
      <c r="AG75" s="1299">
        <f>AG68-AG70-AG71+AG72-AG73</f>
        <v>-246656.52365868317</v>
      </c>
      <c r="AH75" s="1299">
        <f t="shared" si="38"/>
        <v>177756.65610742569</v>
      </c>
      <c r="AI75" s="1299">
        <f t="shared" si="38"/>
        <v>0</v>
      </c>
      <c r="AJ75" s="1299">
        <f t="shared" si="38"/>
        <v>0</v>
      </c>
      <c r="AK75" s="1299">
        <f t="shared" si="38"/>
        <v>0</v>
      </c>
      <c r="AL75" s="1299">
        <f t="shared" si="38"/>
        <v>0</v>
      </c>
      <c r="AM75" s="1299">
        <f t="shared" si="38"/>
        <v>0</v>
      </c>
      <c r="AN75" s="1299">
        <f>AN68-AN70-AN71+AN72-AN73</f>
        <v>0</v>
      </c>
      <c r="AO75" s="1299">
        <f t="shared" si="38"/>
        <v>0</v>
      </c>
      <c r="AP75" s="1299">
        <f>AP68-AP70-AP71+AP72-AP73</f>
        <v>396041.6343407036</v>
      </c>
      <c r="AQ75" s="1299">
        <f t="shared" si="38"/>
        <v>-141986.76530199265</v>
      </c>
      <c r="AR75" s="1299">
        <f t="shared" si="38"/>
        <v>0</v>
      </c>
      <c r="AS75" s="1299">
        <f t="shared" si="38"/>
        <v>0</v>
      </c>
      <c r="AT75" s="1299">
        <f t="shared" si="38"/>
        <v>0</v>
      </c>
      <c r="AU75" s="1299">
        <f t="shared" ref="AU75:AZ75" si="39">AU68-AU70-AU71+AU72-AU73</f>
        <v>0</v>
      </c>
      <c r="AV75" s="1299">
        <f t="shared" si="39"/>
        <v>0</v>
      </c>
      <c r="AW75" s="1299">
        <f>AW68-AW70-AW71+AW72-AW73</f>
        <v>285034</v>
      </c>
      <c r="AX75" s="1299">
        <f t="shared" si="39"/>
        <v>-4169.3672727272733</v>
      </c>
      <c r="AY75" s="1299">
        <f t="shared" si="39"/>
        <v>-3000000</v>
      </c>
      <c r="AZ75" s="1299">
        <f t="shared" si="39"/>
        <v>364557.79765522532</v>
      </c>
      <c r="BA75" s="1299">
        <f>BA68-BA70-BA71+BA72-BA73</f>
        <v>0</v>
      </c>
      <c r="BB75" s="1299">
        <f>BB68-BB70-BB71+BB72-BB73</f>
        <v>0</v>
      </c>
      <c r="BC75" s="1299">
        <f>BC68-BC70-BC71+BC72-BC73</f>
        <v>0</v>
      </c>
      <c r="BD75" s="1096"/>
      <c r="CZ75" s="10"/>
    </row>
    <row r="76" spans="1:104">
      <c r="A76" s="6">
        <v>71</v>
      </c>
      <c r="B76" s="20" t="s">
        <v>67</v>
      </c>
      <c r="C76" s="1300">
        <f>SUM(D76:BC76)</f>
        <v>0</v>
      </c>
      <c r="D76" s="1085">
        <f>D75*$E$65</f>
        <v>0</v>
      </c>
      <c r="E76" s="1085">
        <f>E75*$E$65</f>
        <v>0</v>
      </c>
      <c r="F76" s="1085">
        <f>F75*$E$65</f>
        <v>0</v>
      </c>
      <c r="G76" s="1085">
        <f t="shared" ref="G76:P76" si="40">G75*$E$65</f>
        <v>0</v>
      </c>
      <c r="H76" s="1085">
        <f t="shared" si="40"/>
        <v>0</v>
      </c>
      <c r="I76" s="1085">
        <f t="shared" si="40"/>
        <v>0</v>
      </c>
      <c r="J76" s="1085">
        <f>J75*$E$65</f>
        <v>0</v>
      </c>
      <c r="K76" s="1085">
        <f>K75*$E$65</f>
        <v>0</v>
      </c>
      <c r="L76" s="1085">
        <f>L75*$E$65</f>
        <v>0</v>
      </c>
      <c r="M76" s="1085">
        <f t="shared" si="40"/>
        <v>0</v>
      </c>
      <c r="N76" s="1085">
        <f t="shared" si="40"/>
        <v>0</v>
      </c>
      <c r="O76" s="1085">
        <f t="shared" si="40"/>
        <v>0</v>
      </c>
      <c r="P76" s="1085">
        <f t="shared" si="40"/>
        <v>0</v>
      </c>
      <c r="Q76" s="1085">
        <f t="shared" ref="Q76:W76" si="41">Q75*$E$65</f>
        <v>0</v>
      </c>
      <c r="R76" s="1085">
        <f t="shared" si="41"/>
        <v>0</v>
      </c>
      <c r="S76" s="1085">
        <f t="shared" si="41"/>
        <v>0</v>
      </c>
      <c r="T76" s="1085">
        <f t="shared" si="41"/>
        <v>0</v>
      </c>
      <c r="U76" s="1085">
        <f t="shared" si="41"/>
        <v>0</v>
      </c>
      <c r="V76" s="1085">
        <f t="shared" si="41"/>
        <v>0</v>
      </c>
      <c r="W76" s="1085">
        <f t="shared" si="41"/>
        <v>0</v>
      </c>
      <c r="X76" s="1085">
        <f>X75*$E$65</f>
        <v>0</v>
      </c>
      <c r="Y76" s="1085">
        <f>Y75*$E$65</f>
        <v>0</v>
      </c>
      <c r="Z76" s="1085">
        <f>Z75*$E$65</f>
        <v>0</v>
      </c>
      <c r="AA76" s="1085">
        <f>AA75*$E$65</f>
        <v>0</v>
      </c>
      <c r="AB76" s="1085">
        <f>AB75*$E$65</f>
        <v>0</v>
      </c>
      <c r="AC76" s="1085">
        <f t="shared" ref="AC76:AY76" si="42">AC75*$E$65</f>
        <v>0</v>
      </c>
      <c r="AD76" s="1085">
        <f t="shared" si="42"/>
        <v>0</v>
      </c>
      <c r="AE76" s="1085">
        <f>AE75*$E$65</f>
        <v>0</v>
      </c>
      <c r="AF76" s="1085">
        <f>AF75*$E$65</f>
        <v>0</v>
      </c>
      <c r="AG76" s="1085">
        <f>AG75*$E$65</f>
        <v>0</v>
      </c>
      <c r="AH76" s="1085">
        <f t="shared" si="42"/>
        <v>0</v>
      </c>
      <c r="AI76" s="1085">
        <f t="shared" si="42"/>
        <v>0</v>
      </c>
      <c r="AJ76" s="1085">
        <f t="shared" si="42"/>
        <v>0</v>
      </c>
      <c r="AK76" s="1085">
        <f t="shared" si="42"/>
        <v>0</v>
      </c>
      <c r="AL76" s="1085">
        <f t="shared" si="42"/>
        <v>0</v>
      </c>
      <c r="AM76" s="1085">
        <f t="shared" si="42"/>
        <v>0</v>
      </c>
      <c r="AN76" s="1085">
        <f>AN75*$E$65</f>
        <v>0</v>
      </c>
      <c r="AO76" s="1085">
        <f t="shared" si="42"/>
        <v>0</v>
      </c>
      <c r="AP76" s="1085">
        <f>AP75*$E$65</f>
        <v>0</v>
      </c>
      <c r="AQ76" s="1085">
        <f t="shared" si="42"/>
        <v>0</v>
      </c>
      <c r="AR76" s="1085">
        <f t="shared" si="42"/>
        <v>0</v>
      </c>
      <c r="AS76" s="1085">
        <f t="shared" si="42"/>
        <v>0</v>
      </c>
      <c r="AT76" s="1085">
        <f t="shared" si="42"/>
        <v>0</v>
      </c>
      <c r="AU76" s="1085">
        <f>AU75*$E$65</f>
        <v>0</v>
      </c>
      <c r="AV76" s="1085">
        <f t="shared" si="42"/>
        <v>0</v>
      </c>
      <c r="AW76" s="1085">
        <f>AW75*$E$65</f>
        <v>0</v>
      </c>
      <c r="AX76" s="1085">
        <f t="shared" si="42"/>
        <v>0</v>
      </c>
      <c r="AY76" s="1085">
        <f t="shared" si="42"/>
        <v>0</v>
      </c>
      <c r="AZ76" s="1085">
        <f>AZ75*$E$65</f>
        <v>0</v>
      </c>
      <c r="BA76" s="1085">
        <f>BA75*$E$65</f>
        <v>0</v>
      </c>
      <c r="BB76" s="1085">
        <f>BB75*$E$65</f>
        <v>0</v>
      </c>
      <c r="BC76" s="1085">
        <f>BC75*$E$65</f>
        <v>0</v>
      </c>
      <c r="BD76" s="1053"/>
      <c r="CZ76" s="10"/>
    </row>
    <row r="77" spans="1:104">
      <c r="A77" s="6">
        <v>72</v>
      </c>
      <c r="B77" s="20" t="s">
        <v>68</v>
      </c>
      <c r="C77" s="1088">
        <f>C75-C76</f>
        <v>21783853.123130485</v>
      </c>
      <c r="D77" s="1082">
        <f>D75-D76</f>
        <v>-5692761.2699999996</v>
      </c>
      <c r="E77" s="1082">
        <f>E75-E76</f>
        <v>-7427584.4312790008</v>
      </c>
      <c r="F77" s="1082">
        <f>F75-F76</f>
        <v>17025824.820802085</v>
      </c>
      <c r="G77" s="1082">
        <f t="shared" ref="G77:P77" si="43">G75-G76</f>
        <v>0</v>
      </c>
      <c r="H77" s="1082">
        <f t="shared" si="43"/>
        <v>-2253339.1310724937</v>
      </c>
      <c r="I77" s="1082">
        <f t="shared" si="43"/>
        <v>-101793</v>
      </c>
      <c r="J77" s="1082">
        <f>J75-J76</f>
        <v>0</v>
      </c>
      <c r="K77" s="1082">
        <f>K75-K76</f>
        <v>0</v>
      </c>
      <c r="L77" s="1082">
        <f>L75-L76</f>
        <v>-11430.308529090542</v>
      </c>
      <c r="M77" s="1082">
        <f t="shared" si="43"/>
        <v>22113.998075557345</v>
      </c>
      <c r="N77" s="1082">
        <f t="shared" si="43"/>
        <v>47588.981132557921</v>
      </c>
      <c r="O77" s="1082">
        <f t="shared" si="43"/>
        <v>0</v>
      </c>
      <c r="P77" s="1082">
        <f t="shared" si="43"/>
        <v>5340.7537227038374</v>
      </c>
      <c r="Q77" s="1082">
        <f t="shared" ref="Q77:W77" si="44">Q75-Q76</f>
        <v>-155436.59276701676</v>
      </c>
      <c r="R77" s="1082">
        <f t="shared" si="44"/>
        <v>10725427.003797945</v>
      </c>
      <c r="S77" s="1082">
        <f t="shared" si="44"/>
        <v>774574.96403364046</v>
      </c>
      <c r="T77" s="1082">
        <f t="shared" si="44"/>
        <v>401.94661826917422</v>
      </c>
      <c r="U77" s="1082">
        <f t="shared" si="44"/>
        <v>-1496.5274180481501</v>
      </c>
      <c r="V77" s="1082">
        <f t="shared" si="44"/>
        <v>-422425.00651124539</v>
      </c>
      <c r="W77" s="1082">
        <f t="shared" si="44"/>
        <v>-215352.2102726177</v>
      </c>
      <c r="X77" s="1082">
        <f>X75-X76</f>
        <v>0</v>
      </c>
      <c r="Y77" s="1082">
        <f>Y75-Y76</f>
        <v>0</v>
      </c>
      <c r="Z77" s="1082">
        <f>Z75-Z76</f>
        <v>11514719.674666643</v>
      </c>
      <c r="AA77" s="1082">
        <f>AA75-AA76</f>
        <v>0</v>
      </c>
      <c r="AB77" s="1082">
        <f>AB75-AB76</f>
        <v>0</v>
      </c>
      <c r="AC77" s="1082">
        <f t="shared" ref="AC77:AY77" si="45">AC75-AC76</f>
        <v>118902.0262606421</v>
      </c>
      <c r="AD77" s="1082">
        <f t="shared" si="45"/>
        <v>0</v>
      </c>
      <c r="AE77" s="1082">
        <f>AE75-AE76</f>
        <v>0</v>
      </c>
      <c r="AF77" s="1082">
        <f>AF75-AF76</f>
        <v>2.3283064365386963E-10</v>
      </c>
      <c r="AG77" s="1082">
        <f>AG75-AG76</f>
        <v>-246656.52365868317</v>
      </c>
      <c r="AH77" s="1082">
        <f t="shared" si="45"/>
        <v>177756.65610742569</v>
      </c>
      <c r="AI77" s="1082">
        <f t="shared" si="45"/>
        <v>0</v>
      </c>
      <c r="AJ77" s="1082">
        <f t="shared" si="45"/>
        <v>0</v>
      </c>
      <c r="AK77" s="1082">
        <f t="shared" si="45"/>
        <v>0</v>
      </c>
      <c r="AL77" s="1082">
        <f t="shared" si="45"/>
        <v>0</v>
      </c>
      <c r="AM77" s="1082">
        <f t="shared" si="45"/>
        <v>0</v>
      </c>
      <c r="AN77" s="1082">
        <f>AN75-AN76</f>
        <v>0</v>
      </c>
      <c r="AO77" s="1082">
        <f t="shared" si="45"/>
        <v>0</v>
      </c>
      <c r="AP77" s="1082">
        <f>AP75-AP76</f>
        <v>396041.6343407036</v>
      </c>
      <c r="AQ77" s="1082">
        <f t="shared" si="45"/>
        <v>-141986.76530199265</v>
      </c>
      <c r="AR77" s="1082">
        <f t="shared" si="45"/>
        <v>0</v>
      </c>
      <c r="AS77" s="1082">
        <f t="shared" si="45"/>
        <v>0</v>
      </c>
      <c r="AT77" s="1082">
        <f>AT75-AT76</f>
        <v>0</v>
      </c>
      <c r="AU77" s="1082">
        <f>AU75-AU76</f>
        <v>0</v>
      </c>
      <c r="AV77" s="1082">
        <f t="shared" si="45"/>
        <v>0</v>
      </c>
      <c r="AW77" s="1082">
        <f>AW75-AW76</f>
        <v>285034</v>
      </c>
      <c r="AX77" s="1082">
        <f t="shared" si="45"/>
        <v>-4169.3672727272733</v>
      </c>
      <c r="AY77" s="1082">
        <f t="shared" si="45"/>
        <v>-3000000</v>
      </c>
      <c r="AZ77" s="1082">
        <f>AZ75-AZ76</f>
        <v>364557.79765522532</v>
      </c>
      <c r="BA77" s="1082">
        <f>BA75-BA76</f>
        <v>0</v>
      </c>
      <c r="BB77" s="1082">
        <f>BB75-BB76</f>
        <v>0</v>
      </c>
      <c r="BC77" s="1082">
        <f>BC75-BC76</f>
        <v>0</v>
      </c>
      <c r="BD77" s="1053"/>
      <c r="CZ77" s="10"/>
    </row>
    <row r="78" spans="1:104">
      <c r="A78" s="6">
        <v>73</v>
      </c>
      <c r="B78" s="20" t="s">
        <v>480</v>
      </c>
      <c r="C78" s="1088">
        <f>ROUND(C77*'Conversion factor'!$D$27,0)</f>
        <v>7624349</v>
      </c>
      <c r="D78" s="1088">
        <f>ROUND(D77*'Conversion factor'!$D$27,0)</f>
        <v>-1992466</v>
      </c>
      <c r="E78" s="1088">
        <f>ROUND(E77*'Conversion factor'!$D$27,0)</f>
        <v>-2599655</v>
      </c>
      <c r="F78" s="1088">
        <f>ROUND(F77*'Conversion factor'!$D$27,0)</f>
        <v>5959039</v>
      </c>
      <c r="G78" s="1088">
        <f>ROUND(G77*'Conversion factor'!$D$27,0)</f>
        <v>0</v>
      </c>
      <c r="H78" s="1088">
        <f>ROUND(H77*'Conversion factor'!$D$27,0)</f>
        <v>-788669</v>
      </c>
      <c r="I78" s="1088">
        <f>ROUND(I77*'Conversion factor'!$D$27,0)</f>
        <v>-35628</v>
      </c>
      <c r="J78" s="1088">
        <f>ROUND(J77*'Conversion factor'!$D$27,0)</f>
        <v>0</v>
      </c>
      <c r="K78" s="1088">
        <f>ROUND(K77*'Conversion factor'!$D$27,0)</f>
        <v>0</v>
      </c>
      <c r="L78" s="1088">
        <f>ROUND(L77*'Conversion factor'!$D$27,0)</f>
        <v>-4001</v>
      </c>
      <c r="M78" s="1088">
        <f>ROUND(M77*'Conversion factor'!$D$27,0)</f>
        <v>7740</v>
      </c>
      <c r="N78" s="1088">
        <f>ROUND(N77*'Conversion factor'!$D$27,0)</f>
        <v>16656</v>
      </c>
      <c r="O78" s="1088">
        <f>ROUND(O77*'Conversion factor'!$D$27,0)</f>
        <v>0</v>
      </c>
      <c r="P78" s="1088">
        <f>ROUND(P77*'Conversion factor'!$D$27,0)</f>
        <v>1869</v>
      </c>
      <c r="Q78" s="1088">
        <f>ROUND(Q77*'Conversion factor'!$D$27,0)</f>
        <v>-54403</v>
      </c>
      <c r="R78" s="1088">
        <f>ROUND(R77*'Conversion factor'!$D$27,0)</f>
        <v>3753899</v>
      </c>
      <c r="S78" s="1088">
        <f>ROUND(S77*'Conversion factor'!$D$27,0)</f>
        <v>271101</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0</v>
      </c>
      <c r="AB78" s="1088">
        <f>ROUND(AB77*'Conversion factor'!$D$27,0)</f>
        <v>0</v>
      </c>
      <c r="AC78" s="1088">
        <f>ROUND(AC77*'Conversion factor'!$D$27,0)</f>
        <v>41616</v>
      </c>
      <c r="AD78" s="1088">
        <f>ROUND(AD77*'Conversion factor'!$D$27,0)</f>
        <v>0</v>
      </c>
      <c r="AE78" s="1088">
        <f>ROUND(AE77*'Conversion factor'!$D$27,0)</f>
        <v>0</v>
      </c>
      <c r="AF78" s="1088">
        <f>ROUND(AF77*'Conversion factor'!$D$27,0)</f>
        <v>0</v>
      </c>
      <c r="AG78" s="1088">
        <f>ROUND(AG77*'Conversion factor'!$D$27,0)</f>
        <v>-86330</v>
      </c>
      <c r="AH78" s="1088">
        <f>ROUND(AH77*'Conversion factor'!$D$27,0)</f>
        <v>62215</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0</v>
      </c>
      <c r="AP78" s="1088">
        <f>ROUND(AP77*'Conversion factor'!$D$27,0)</f>
        <v>138615</v>
      </c>
      <c r="AQ78" s="1088">
        <f>ROUND(AQ77*'Conversion factor'!$D$27,0)</f>
        <v>-49695</v>
      </c>
      <c r="AR78" s="1088">
        <f>ROUND(AR77*'Conversion factor'!$D$27,0)</f>
        <v>0</v>
      </c>
      <c r="AS78" s="1088">
        <f>ROUND(AS77*'Conversion factor'!$D$27,0)</f>
        <v>0</v>
      </c>
      <c r="AT78" s="1088">
        <f>ROUND(AT77*'Conversion factor'!$D$27,0)</f>
        <v>0</v>
      </c>
      <c r="AU78" s="1088">
        <f>ROUND(AU77*'Conversion factor'!$D$27,0)</f>
        <v>0</v>
      </c>
      <c r="AV78" s="1088">
        <f>ROUND(AV77*'Conversion factor'!$D$27,0)</f>
        <v>0</v>
      </c>
      <c r="AW78" s="1088">
        <f>ROUND(AW77*'Conversion factor'!$D$27,0)</f>
        <v>99762</v>
      </c>
      <c r="AX78" s="1088">
        <f>ROUND(AX77*'Conversion factor'!$D$27,0)</f>
        <v>-1459</v>
      </c>
      <c r="AY78" s="1088">
        <f>ROUND(AY77*'Conversion factor'!$D$27,0)</f>
        <v>-1050000</v>
      </c>
      <c r="AZ78" s="1088">
        <f>ROUND(AZ77*'Conversion factor'!$D$27,0)</f>
        <v>127595</v>
      </c>
      <c r="BA78" s="1088">
        <f>ROUND(BA77*'Conversion factor'!$D$27,0)</f>
        <v>0</v>
      </c>
      <c r="BB78" s="1088">
        <f>ROUND(BB77*'Conversion factor'!$D$27,0)</f>
        <v>0</v>
      </c>
      <c r="BC78" s="1088">
        <f>ROUND(BC77*'Conversion factor'!$D$27,0)</f>
        <v>0</v>
      </c>
      <c r="BD78" s="1053"/>
      <c r="CZ78" s="10"/>
    </row>
    <row r="79" spans="1:104">
      <c r="A79" s="6">
        <v>74</v>
      </c>
      <c r="B79" s="20" t="s">
        <v>424</v>
      </c>
      <c r="C79" s="1300">
        <f>SUM(D79:BC79)</f>
        <v>0</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v>0</v>
      </c>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53"/>
      <c r="CZ79" s="10"/>
    </row>
    <row r="80" spans="1:104" ht="13.5" thickBot="1">
      <c r="A80" s="1236">
        <v>75</v>
      </c>
      <c r="B80" s="1098" t="s">
        <v>69</v>
      </c>
      <c r="C80" s="1292">
        <f>SUM(D80:BC80)</f>
        <v>7624348</v>
      </c>
      <c r="D80" s="1292">
        <f>SUM(D78:D79)</f>
        <v>-1992466</v>
      </c>
      <c r="E80" s="1292">
        <f t="shared" ref="E80:BC80" si="46">SUM(E78:E79)</f>
        <v>-2599655</v>
      </c>
      <c r="F80" s="1292">
        <f t="shared" si="46"/>
        <v>5959039</v>
      </c>
      <c r="G80" s="1292">
        <f t="shared" si="46"/>
        <v>0</v>
      </c>
      <c r="H80" s="1292">
        <f t="shared" si="46"/>
        <v>-788669</v>
      </c>
      <c r="I80" s="1292">
        <f t="shared" si="46"/>
        <v>-35628</v>
      </c>
      <c r="J80" s="1292">
        <f t="shared" si="46"/>
        <v>0</v>
      </c>
      <c r="K80" s="1292">
        <f>SUM(K78:K79)</f>
        <v>0</v>
      </c>
      <c r="L80" s="1292">
        <f>SUM(L78:L79)</f>
        <v>-4001</v>
      </c>
      <c r="M80" s="1292">
        <f t="shared" si="46"/>
        <v>7740</v>
      </c>
      <c r="N80" s="1292">
        <f t="shared" si="46"/>
        <v>16656</v>
      </c>
      <c r="O80" s="1292">
        <f t="shared" si="46"/>
        <v>0</v>
      </c>
      <c r="P80" s="1292">
        <f t="shared" si="46"/>
        <v>1869</v>
      </c>
      <c r="Q80" s="1292">
        <f t="shared" si="46"/>
        <v>-54403</v>
      </c>
      <c r="R80" s="1292">
        <f t="shared" si="46"/>
        <v>3753899</v>
      </c>
      <c r="S80" s="1292">
        <f t="shared" si="46"/>
        <v>271101</v>
      </c>
      <c r="T80" s="1292">
        <f t="shared" si="46"/>
        <v>141</v>
      </c>
      <c r="U80" s="1292">
        <f t="shared" si="46"/>
        <v>-524</v>
      </c>
      <c r="V80" s="1292">
        <f t="shared" si="46"/>
        <v>-147849</v>
      </c>
      <c r="W80" s="1292">
        <f t="shared" si="46"/>
        <v>-75373</v>
      </c>
      <c r="X80" s="1292">
        <f>SUM(X78:X79)</f>
        <v>0</v>
      </c>
      <c r="Y80" s="1292">
        <f>SUM(Y78:Y79)</f>
        <v>0</v>
      </c>
      <c r="Z80" s="1292">
        <f t="shared" si="46"/>
        <v>4030152</v>
      </c>
      <c r="AA80" s="1292">
        <f t="shared" si="46"/>
        <v>0</v>
      </c>
      <c r="AB80" s="1292">
        <f t="shared" si="46"/>
        <v>0</v>
      </c>
      <c r="AC80" s="1292">
        <f t="shared" si="46"/>
        <v>41616</v>
      </c>
      <c r="AD80" s="1292">
        <f t="shared" si="46"/>
        <v>0</v>
      </c>
      <c r="AE80" s="1292">
        <f>SUM(AE78:AE79)</f>
        <v>0</v>
      </c>
      <c r="AF80" s="1292">
        <f>SUM(AF78:AF79)</f>
        <v>0</v>
      </c>
      <c r="AG80" s="1292">
        <f>SUM(AG78:AG79)</f>
        <v>-86330</v>
      </c>
      <c r="AH80" s="1292">
        <f t="shared" si="46"/>
        <v>62215</v>
      </c>
      <c r="AI80" s="1292">
        <f t="shared" si="46"/>
        <v>0</v>
      </c>
      <c r="AJ80" s="1292">
        <f t="shared" si="46"/>
        <v>0</v>
      </c>
      <c r="AK80" s="1292">
        <f t="shared" si="46"/>
        <v>0</v>
      </c>
      <c r="AL80" s="1292">
        <f t="shared" si="46"/>
        <v>0</v>
      </c>
      <c r="AM80" s="1292">
        <f t="shared" si="46"/>
        <v>0</v>
      </c>
      <c r="AN80" s="1292">
        <f t="shared" si="46"/>
        <v>0</v>
      </c>
      <c r="AO80" s="1292">
        <f t="shared" si="46"/>
        <v>0</v>
      </c>
      <c r="AP80" s="1292">
        <f>SUM(AP78:AP79)</f>
        <v>138615</v>
      </c>
      <c r="AQ80" s="1292">
        <f t="shared" si="46"/>
        <v>-49695</v>
      </c>
      <c r="AR80" s="1292">
        <f t="shared" si="46"/>
        <v>0</v>
      </c>
      <c r="AS80" s="1292">
        <f t="shared" si="46"/>
        <v>0</v>
      </c>
      <c r="AT80" s="1292">
        <f t="shared" si="46"/>
        <v>0</v>
      </c>
      <c r="AU80" s="1292">
        <f>SUM(AU78:AU79)</f>
        <v>0</v>
      </c>
      <c r="AV80" s="1292">
        <f t="shared" si="46"/>
        <v>0</v>
      </c>
      <c r="AW80" s="1292">
        <f t="shared" si="46"/>
        <v>99762</v>
      </c>
      <c r="AX80" s="1292">
        <f t="shared" si="46"/>
        <v>-1459</v>
      </c>
      <c r="AY80" s="1292">
        <f t="shared" si="46"/>
        <v>-1050000</v>
      </c>
      <c r="AZ80" s="1292">
        <f>SUM(AZ78:AZ79)</f>
        <v>127595</v>
      </c>
      <c r="BA80" s="1292">
        <f>SUM(BA78:BA79)</f>
        <v>0</v>
      </c>
      <c r="BB80" s="1292">
        <f>SUM(BB78:BB79)</f>
        <v>0</v>
      </c>
      <c r="BC80" s="1292">
        <f t="shared" si="46"/>
        <v>0</v>
      </c>
      <c r="BD80" s="1053"/>
      <c r="CZ80" s="10"/>
    </row>
    <row r="81" spans="2:57">
      <c r="C81" s="9"/>
      <c r="E81" s="1099"/>
      <c r="BE81" s="4">
        <f>SUM('Adjustments - Pro Forma'!D80:BB80)</f>
        <v>-3130146.8277597204</v>
      </c>
    </row>
    <row r="85" spans="2:57">
      <c r="H85" s="11"/>
      <c r="I85" s="11"/>
      <c r="J85" s="11"/>
      <c r="K85" s="11"/>
      <c r="L85" s="11"/>
    </row>
    <row r="86" spans="2:57">
      <c r="H86" s="11"/>
      <c r="I86" s="11"/>
      <c r="J86" s="11"/>
      <c r="K86" s="11"/>
      <c r="L86" s="11"/>
    </row>
    <row r="87" spans="2:57">
      <c r="H87" s="8"/>
      <c r="I87" s="8"/>
      <c r="J87" s="8"/>
      <c r="K87" s="8"/>
      <c r="L87" s="8"/>
    </row>
    <row r="88" spans="2:57">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57">
      <c r="H89" s="1302"/>
      <c r="I89" s="1302"/>
      <c r="J89" s="1302"/>
      <c r="K89" s="1302"/>
      <c r="L89" s="1302"/>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57">
      <c r="H90" s="1302"/>
      <c r="I90" s="1302"/>
      <c r="J90" s="1302"/>
      <c r="K90" s="1302"/>
      <c r="L90" s="1302"/>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57">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57">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honeticPr fontId="0" type="noConversion"/>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Z92"/>
  <sheetViews>
    <sheetView topLeftCell="A16" workbookViewId="0">
      <selection activeCell="F16" sqref="F16"/>
    </sheetView>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0.85546875" style="4" bestFit="1"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371" t="str">
        <f>RevReqSummary!A1</f>
        <v>PacifiCorp General Rate Case UE-140617</v>
      </c>
      <c r="B1" s="1371"/>
      <c r="C1" s="1371"/>
      <c r="E1" s="8"/>
      <c r="F1" s="1394"/>
      <c r="G1" s="1394"/>
      <c r="H1" s="1394"/>
      <c r="I1" s="1394"/>
      <c r="J1" s="1373"/>
      <c r="K1" s="1373"/>
      <c r="L1" s="1373"/>
      <c r="AI1" s="4" t="s">
        <v>1027</v>
      </c>
    </row>
    <row r="2" spans="1:104">
      <c r="A2" s="1371" t="str">
        <f>RevReqSummary!A2</f>
        <v>For The Twelve Months Ended December 2013 - Staff Revenue Requirement</v>
      </c>
      <c r="B2" s="1371"/>
      <c r="C2" s="1371"/>
      <c r="D2" s="1089"/>
      <c r="E2" s="8"/>
      <c r="F2" s="1394"/>
      <c r="G2" s="1394"/>
      <c r="H2" s="1394"/>
      <c r="I2" s="1394"/>
      <c r="J2" s="1373"/>
      <c r="K2" s="1373"/>
      <c r="L2" s="1373"/>
    </row>
    <row r="3" spans="1:104">
      <c r="A3" s="1371" t="s">
        <v>1097</v>
      </c>
      <c r="B3" s="1371"/>
      <c r="C3" s="1371"/>
      <c r="D3" s="1089"/>
      <c r="E3" s="8"/>
      <c r="F3" s="1373"/>
      <c r="G3" s="1373"/>
      <c r="H3" s="1373"/>
      <c r="I3" s="1373"/>
      <c r="J3" s="1373"/>
      <c r="K3" s="1373"/>
      <c r="L3" s="1373"/>
    </row>
    <row r="4" spans="1:104" s="1090" customFormat="1">
      <c r="C4" s="1091" t="s">
        <v>1047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38.25">
      <c r="B5" s="1111"/>
      <c r="C5" s="1304"/>
      <c r="D5" s="1307" t="str">
        <f>'Adj - Total'!D5</f>
        <v>Temperature Normalization</v>
      </c>
      <c r="E5" s="1307" t="str">
        <f>'Adj - Total'!E5</f>
        <v>Revenue Normalization</v>
      </c>
      <c r="F5" s="1307" t="str">
        <f>'Adj - Total'!F5</f>
        <v>Effective Price Change</v>
      </c>
      <c r="G5" s="1307" t="str">
        <f>'Adj - Total'!G5</f>
        <v>SO2 Emission Allowance Sales</v>
      </c>
      <c r="H5" s="1308" t="str">
        <f>'Adj - Total'!H5</f>
        <v>REC &amp; REA Revenue</v>
      </c>
      <c r="I5" s="1304" t="str">
        <f>'Adj - Total'!I5</f>
        <v>Wheeling Revenue</v>
      </c>
      <c r="J5" s="1304" t="str">
        <f>'Adj - Total'!J5</f>
        <v>Ancillary Revenue</v>
      </c>
      <c r="K5" s="1304" t="str">
        <f>'Adj - Total'!K5</f>
        <v>Schedule 300 Fee Change</v>
      </c>
      <c r="L5" s="1304" t="str">
        <f>'Adj - Total'!L5</f>
        <v>Wind Wake Loss Revenues</v>
      </c>
      <c r="M5" s="1304" t="str">
        <f>'Adj - Total'!M5</f>
        <v>Miscellaneous General Expense Adj.</v>
      </c>
      <c r="N5" s="1304" t="str">
        <f>'Adj - Total'!N5</f>
        <v>Gen Wage Increase Restating.</v>
      </c>
      <c r="O5" s="1304" t="str">
        <f>'Adj - Total'!O5</f>
        <v>Gen Wage Increase
Pro Forma</v>
      </c>
      <c r="P5" s="1304" t="str">
        <f>'Adj - Total'!P5</f>
        <v>Irrigation Load Control Program</v>
      </c>
      <c r="Q5" s="1304" t="str">
        <f>'Adj - Total'!Q5</f>
        <v>Remove Non-Recurring Entries</v>
      </c>
      <c r="R5" s="1303" t="str">
        <f>'Adj - Total'!R5</f>
        <v>DSM Removal Adjustment</v>
      </c>
      <c r="S5" s="1304" t="str">
        <f>'Adj - Total'!S5</f>
        <v>Insurance Expense</v>
      </c>
      <c r="T5" s="1303" t="str">
        <f>'Adj - Total'!T5</f>
        <v>Advertising</v>
      </c>
      <c r="U5" s="1304" t="str">
        <f>'Adj - Total'!U5</f>
        <v>Memberships &amp; Subscriptions</v>
      </c>
      <c r="V5" s="1304" t="str">
        <f>'Adj - Total'!V5</f>
        <v>Uncollectible Expense</v>
      </c>
      <c r="W5" s="1303" t="str">
        <f>'Adj - Total'!W5</f>
        <v>Legal Expense</v>
      </c>
      <c r="X5" s="1304" t="str">
        <f>'Adj - Total'!X5</f>
        <v>Collection Agency Fees</v>
      </c>
      <c r="Y5" s="1304" t="str">
        <f>'Adj - Total'!Y5</f>
        <v>IHS Global Insight Escalation</v>
      </c>
      <c r="Z5" s="1308" t="str">
        <f>'Adj - Total'!Z5</f>
        <v>Net Power Costs
Restating</v>
      </c>
      <c r="AA5" s="1308" t="str">
        <f>'Adj - Total'!AA5</f>
        <v>Net Power Costs
Pro Forma</v>
      </c>
      <c r="AB5" s="1308" t="str">
        <f>'Adj - Total'!AB5</f>
        <v>James River Royalty Offset</v>
      </c>
      <c r="AC5" s="1304" t="str">
        <f>'Adj - Total'!AC5</f>
        <v>Removal of Colstrip #3</v>
      </c>
      <c r="AD5" s="1303" t="str">
        <f>'Adj - Total'!AD5</f>
        <v>Hydro Decommissioning</v>
      </c>
      <c r="AE5" s="1304" t="str">
        <f>'Adj - Total'!AE5</f>
        <v>Deprec. &amp; Amort. Reserve to Dec 2013 Balance</v>
      </c>
      <c r="AF5" s="1304" t="str">
        <f>'Adj - Total'!AF5</f>
        <v>Proposed Depreciation Rates - Expense</v>
      </c>
      <c r="AG5" s="1304" t="str">
        <f>'Adj - Total'!AG5</f>
        <v>Vehicle Depreication Study</v>
      </c>
      <c r="AH5" s="1303" t="str">
        <f>'Adj - Total'!AH5</f>
        <v>Interest True-up</v>
      </c>
      <c r="AI5" s="1304" t="str">
        <f>'Adj - Total'!AI5</f>
        <v>Property Tax Expense</v>
      </c>
      <c r="AJ5" s="1304" t="str">
        <f>'Adj - Total'!AJ5</f>
        <v>Renewable Energy Tax Credit</v>
      </c>
      <c r="AK5" s="1304" t="str">
        <f>'Adj - Total'!AK5</f>
        <v>Power Tax ADIT Balance</v>
      </c>
      <c r="AL5" s="1304" t="str">
        <f>'Adj - Total'!AL5</f>
        <v>WA Low Income Tax Credit</v>
      </c>
      <c r="AM5" s="1304" t="str">
        <f>'Adj - Total'!AM5</f>
        <v>WA 
Flow-through</v>
      </c>
      <c r="AN5" s="1304" t="str">
        <f>'Adj - Total'!AN5</f>
        <v>Remove Deferred State Tax &amp; Expense Balance</v>
      </c>
      <c r="AO5" s="1304" t="str">
        <f>'Adj - Total'!AO5</f>
        <v>WA Public Utility Tax Adjustment</v>
      </c>
      <c r="AP5" s="1303" t="str">
        <f>'Adj - Total'!AP5</f>
        <v>JimBridger Mine Rate Base</v>
      </c>
      <c r="AQ5" s="1303" t="str">
        <f>'Adj - Total'!AQ5</f>
        <v>Environmental Remediation</v>
      </c>
      <c r="AR5" s="1304" t="str">
        <f>'Adj - Total'!AR5</f>
        <v>Customer Advances for Construction</v>
      </c>
      <c r="AS5" s="1303" t="str">
        <f>'Adj - Total'!AS5</f>
        <v>Major Plant Additions</v>
      </c>
      <c r="AT5" s="1304" t="str">
        <f>'Adj - Total'!AT5</f>
        <v>Miscellaneous 
Rate Base</v>
      </c>
      <c r="AU5" s="1303" t="str">
        <f>'Adj - Total'!AU5</f>
        <v>Powerdale Hydro Removal</v>
      </c>
      <c r="AV5" s="1304" t="str">
        <f>'Adj - Total'!AV5</f>
        <v>Removal of 
Colstrip #4 AFUDC</v>
      </c>
      <c r="AW5" s="1304" t="str">
        <f>'Adj - Total'!AW5</f>
        <v>Trojan Unrecovered Plant</v>
      </c>
      <c r="AX5" s="1304" t="str">
        <f>'Adj - Total'!AX5</f>
        <v>Customer Service Deposits</v>
      </c>
      <c r="AY5" s="1304" t="str">
        <f>'Adj - Total'!AY5</f>
        <v>Regulatory Aasset Amortization</v>
      </c>
      <c r="AZ5" s="1304" t="str">
        <f>'Adj - Total'!AZ5</f>
        <v>Miscellaneous Asset Sales and Removals</v>
      </c>
      <c r="BA5" s="1306" t="str">
        <f>'Adj - Total'!BA5</f>
        <v>Adjust June 2012 AMA Plant Balances to June 2012 Balance</v>
      </c>
      <c r="BB5" s="1306" t="str">
        <f>'Adj - Total'!BB5</f>
        <v>Investor Supplied Working Capital</v>
      </c>
      <c r="BC5" s="1305" t="str">
        <f>'Adj - Total'!BC5</f>
        <v>Production Factor</v>
      </c>
      <c r="BD5" s="1305"/>
    </row>
    <row r="6" spans="1:104">
      <c r="A6" s="4">
        <v>1</v>
      </c>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2</v>
      </c>
      <c r="B7" s="8" t="s">
        <v>11</v>
      </c>
      <c r="C7" s="1083">
        <f>SUM(D7:BC7)</f>
        <v>0</v>
      </c>
      <c r="D7" s="1080">
        <f>'Adj 3.1 Temp Norm'!BJ14</f>
        <v>0</v>
      </c>
      <c r="E7" s="1080">
        <f>'Adj 3.2 Rev Norm'!AY14</f>
        <v>0</v>
      </c>
      <c r="F7" s="1080">
        <v>0</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v>0</v>
      </c>
      <c r="Y7" s="1080">
        <v>0</v>
      </c>
      <c r="Z7" s="1080">
        <v>0</v>
      </c>
      <c r="AA7" s="1080">
        <v>0</v>
      </c>
      <c r="AB7" s="1080">
        <v>0</v>
      </c>
      <c r="AC7" s="1080">
        <v>0</v>
      </c>
      <c r="AD7" s="1080">
        <v>0</v>
      </c>
      <c r="AE7" s="1080">
        <v>0</v>
      </c>
      <c r="AF7" s="1080">
        <v>0</v>
      </c>
      <c r="AG7" s="1080"/>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3</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v>0</v>
      </c>
      <c r="Y8" s="1080">
        <v>0</v>
      </c>
      <c r="Z8" s="1080">
        <v>0</v>
      </c>
      <c r="AA8" s="1080">
        <v>0</v>
      </c>
      <c r="AB8" s="1080">
        <v>0</v>
      </c>
      <c r="AC8" s="1080">
        <v>0</v>
      </c>
      <c r="AD8" s="1080">
        <v>0</v>
      </c>
      <c r="AE8" s="1080">
        <v>0</v>
      </c>
      <c r="AF8" s="1080">
        <v>0</v>
      </c>
      <c r="AG8" s="1080"/>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4</v>
      </c>
      <c r="B9" s="8" t="s">
        <v>13</v>
      </c>
      <c r="C9" s="1083">
        <f>SUM(D9:BC9)</f>
        <v>-47045811.781707957</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v>0</v>
      </c>
      <c r="Y9" s="1080">
        <v>0</v>
      </c>
      <c r="Z9" s="1080">
        <v>0</v>
      </c>
      <c r="AA9" s="1080">
        <f>'Adj 5.1.1 NPC - PF'!G11</f>
        <v>-47209016.53537295</v>
      </c>
      <c r="AB9" s="1080"/>
      <c r="AC9" s="1080">
        <v>0</v>
      </c>
      <c r="AD9" s="1080">
        <v>0</v>
      </c>
      <c r="AE9" s="1080">
        <v>0</v>
      </c>
      <c r="AF9" s="1080">
        <v>0</v>
      </c>
      <c r="AG9" s="1080"/>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f>'Adj 9.1 Prod Factor'!G40</f>
        <v>163204.75366499275</v>
      </c>
      <c r="BD9" s="1053"/>
      <c r="CZ9" s="10"/>
    </row>
    <row r="10" spans="1:104">
      <c r="A10" s="4">
        <v>5</v>
      </c>
      <c r="B10" s="8" t="s">
        <v>14</v>
      </c>
      <c r="C10" s="1083">
        <f>SUM(D10:BC10)</f>
        <v>-317050.80746160296</v>
      </c>
      <c r="D10" s="1080">
        <v>0</v>
      </c>
      <c r="E10" s="1080">
        <v>0</v>
      </c>
      <c r="F10" s="1080">
        <v>0</v>
      </c>
      <c r="G10" s="1080">
        <v>0</v>
      </c>
      <c r="H10" s="1080">
        <v>0</v>
      </c>
      <c r="I10" s="1080">
        <f>'Adj 3.6 Wheeling Rev'!G10</f>
        <v>449017</v>
      </c>
      <c r="J10" s="1080">
        <f>'Adj 3.7 Ancillary Revenue'!G11+'Adj 3.7 Ancillary Revenue'!G9</f>
        <v>41325.822449383042</v>
      </c>
      <c r="K10" s="1080">
        <f>'Adj 3.8 Sch 300 Fee Change'!G10</f>
        <v>0</v>
      </c>
      <c r="L10" s="1080">
        <f>'Adj 3.9 Wind Wake Loss'!G11</f>
        <v>37318.889935926461</v>
      </c>
      <c r="M10" s="1080">
        <v>0</v>
      </c>
      <c r="N10" s="1080">
        <v>0</v>
      </c>
      <c r="O10" s="1080">
        <v>0</v>
      </c>
      <c r="P10" s="1080">
        <v>0</v>
      </c>
      <c r="Q10" s="1080">
        <v>0</v>
      </c>
      <c r="R10" s="1080">
        <v>0</v>
      </c>
      <c r="S10" s="1080">
        <v>0</v>
      </c>
      <c r="T10" s="1080">
        <v>0</v>
      </c>
      <c r="U10" s="1080">
        <v>0</v>
      </c>
      <c r="V10" s="1080">
        <v>0</v>
      </c>
      <c r="W10" s="1080">
        <v>0</v>
      </c>
      <c r="X10" s="1080">
        <v>0</v>
      </c>
      <c r="Y10" s="1080">
        <v>0</v>
      </c>
      <c r="Z10" s="1080">
        <v>0</v>
      </c>
      <c r="AA10" s="1080">
        <v>0</v>
      </c>
      <c r="AB10" s="1080">
        <f>'Adj 5.2 James River Royalty Of'!G9</f>
        <v>679898.4167838149</v>
      </c>
      <c r="AC10" s="1080">
        <v>0</v>
      </c>
      <c r="AD10" s="1080">
        <v>0</v>
      </c>
      <c r="AE10" s="1080">
        <v>0</v>
      </c>
      <c r="AF10" s="1080">
        <v>0</v>
      </c>
      <c r="AG10" s="1080"/>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335">
        <f>'Adj 8.10 Reg Asset Amort '!G15</f>
        <v>-1530186</v>
      </c>
      <c r="AZ10" s="1080">
        <v>0</v>
      </c>
      <c r="BA10" s="1080">
        <v>0</v>
      </c>
      <c r="BB10" s="1080">
        <v>0</v>
      </c>
      <c r="BC10" s="1080">
        <f>'Adj 9.1 Prod Factor'!G52+'Adj 9.1 Prod Factor'!G49</f>
        <v>5575.0633692726551</v>
      </c>
      <c r="BD10" s="1053"/>
      <c r="CZ10" s="10"/>
    </row>
    <row r="11" spans="1:104">
      <c r="A11" s="4">
        <v>6</v>
      </c>
      <c r="B11" s="1283" t="s">
        <v>15</v>
      </c>
      <c r="C11" s="1286">
        <f t="shared" ref="C11:I11" si="0">SUM(C7:C10)</f>
        <v>-47362862.589169562</v>
      </c>
      <c r="D11" s="1082">
        <f t="shared" si="0"/>
        <v>0</v>
      </c>
      <c r="E11" s="1082">
        <f t="shared" si="0"/>
        <v>0</v>
      </c>
      <c r="F11" s="1082">
        <f t="shared" si="0"/>
        <v>0</v>
      </c>
      <c r="G11" s="1082">
        <f t="shared" si="0"/>
        <v>0</v>
      </c>
      <c r="H11" s="1082">
        <f t="shared" si="0"/>
        <v>0</v>
      </c>
      <c r="I11" s="1082">
        <f t="shared" si="0"/>
        <v>449017</v>
      </c>
      <c r="J11" s="1082">
        <f>SUM(J7:J10)</f>
        <v>41325.822449383042</v>
      </c>
      <c r="K11" s="1082">
        <f>SUM(K7:K10)</f>
        <v>0</v>
      </c>
      <c r="L11" s="1082"/>
      <c r="M11" s="1082">
        <f t="shared" ref="M11:AC11" si="1">SUM(M7:M10)</f>
        <v>0</v>
      </c>
      <c r="N11" s="1082">
        <f t="shared" si="1"/>
        <v>0</v>
      </c>
      <c r="O11" s="1082">
        <f t="shared" si="1"/>
        <v>0</v>
      </c>
      <c r="P11" s="1082">
        <f>SUM(P7:P10)</f>
        <v>0</v>
      </c>
      <c r="Q11" s="1082">
        <f t="shared" si="1"/>
        <v>0</v>
      </c>
      <c r="R11" s="1082">
        <f t="shared" si="1"/>
        <v>0</v>
      </c>
      <c r="S11" s="1082">
        <f t="shared" si="1"/>
        <v>0</v>
      </c>
      <c r="T11" s="1082">
        <f t="shared" ref="T11:Y11" si="2">SUM(T7:T10)</f>
        <v>0</v>
      </c>
      <c r="U11" s="1082">
        <f t="shared" si="2"/>
        <v>0</v>
      </c>
      <c r="V11" s="1082">
        <f t="shared" si="2"/>
        <v>0</v>
      </c>
      <c r="W11" s="1082">
        <f t="shared" si="2"/>
        <v>0</v>
      </c>
      <c r="X11" s="1082">
        <f>SUM(X7:X10)</f>
        <v>0</v>
      </c>
      <c r="Y11" s="1082">
        <f t="shared" si="2"/>
        <v>0</v>
      </c>
      <c r="Z11" s="1082">
        <f t="shared" si="1"/>
        <v>0</v>
      </c>
      <c r="AA11" s="1082">
        <f t="shared" si="1"/>
        <v>-47209016.53537295</v>
      </c>
      <c r="AB11" s="1082">
        <f t="shared" si="1"/>
        <v>679898.4167838149</v>
      </c>
      <c r="AC11" s="1082">
        <f t="shared" si="1"/>
        <v>0</v>
      </c>
      <c r="AD11" s="1082">
        <f t="shared" ref="AD11:AS11" si="3">SUM(AD7:AD10)</f>
        <v>0</v>
      </c>
      <c r="AE11" s="1082">
        <f t="shared" si="3"/>
        <v>0</v>
      </c>
      <c r="AF11" s="1082">
        <f t="shared" si="3"/>
        <v>0</v>
      </c>
      <c r="AG11" s="1082"/>
      <c r="AH11" s="1082">
        <f t="shared" si="3"/>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ref="AT11:BC11" si="4">SUM(AT7:AT10)</f>
        <v>0</v>
      </c>
      <c r="AU11" s="1082">
        <f t="shared" si="4"/>
        <v>0</v>
      </c>
      <c r="AV11" s="1082">
        <f t="shared" si="4"/>
        <v>0</v>
      </c>
      <c r="AW11" s="1082">
        <f t="shared" si="4"/>
        <v>0</v>
      </c>
      <c r="AX11" s="1082">
        <f t="shared" si="4"/>
        <v>0</v>
      </c>
      <c r="AY11" s="1082">
        <f t="shared" si="4"/>
        <v>-1530186</v>
      </c>
      <c r="AZ11" s="1082">
        <f t="shared" si="4"/>
        <v>0</v>
      </c>
      <c r="BA11" s="1082">
        <f t="shared" si="4"/>
        <v>0</v>
      </c>
      <c r="BB11" s="1082">
        <f t="shared" si="4"/>
        <v>0</v>
      </c>
      <c r="BC11" s="1082">
        <f t="shared" si="4"/>
        <v>168779.8170342654</v>
      </c>
      <c r="BD11" s="1053"/>
      <c r="CZ11" s="10"/>
    </row>
    <row r="12" spans="1:104">
      <c r="A12" s="4">
        <v>7</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8</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9</v>
      </c>
      <c r="B14" s="8" t="s">
        <v>17</v>
      </c>
      <c r="C14" s="1083">
        <f t="shared" ref="C14:C23" si="5">SUM(D14:BC14)</f>
        <v>5079244.3369059209</v>
      </c>
      <c r="D14" s="1080">
        <v>0</v>
      </c>
      <c r="E14" s="1080">
        <v>0</v>
      </c>
      <c r="F14" s="1080">
        <v>0</v>
      </c>
      <c r="G14" s="1080">
        <v>0</v>
      </c>
      <c r="H14" s="1080">
        <v>0</v>
      </c>
      <c r="I14" s="1080">
        <v>0</v>
      </c>
      <c r="J14" s="1080">
        <v>0</v>
      </c>
      <c r="K14" s="1080">
        <v>0</v>
      </c>
      <c r="L14" s="1080">
        <v>0</v>
      </c>
      <c r="M14" s="1080">
        <v>0</v>
      </c>
      <c r="N14" s="1080">
        <f>SUM('Adj 4.2 Gen Wage Inc-Restating'!BM8:BM20)</f>
        <v>0</v>
      </c>
      <c r="O14" s="1080">
        <f>'Adj 4.3 Gen Wage Inc - PF'!G17</f>
        <v>225877.74810808065</v>
      </c>
      <c r="P14" s="1080">
        <v>0</v>
      </c>
      <c r="Q14" s="1080">
        <v>0</v>
      </c>
      <c r="R14" s="1080"/>
      <c r="S14" s="1080">
        <v>0</v>
      </c>
      <c r="T14" s="1080">
        <v>0</v>
      </c>
      <c r="U14" s="1080">
        <v>0</v>
      </c>
      <c r="V14" s="1080">
        <v>0</v>
      </c>
      <c r="W14" s="1080">
        <v>0</v>
      </c>
      <c r="X14" s="1080">
        <v>0</v>
      </c>
      <c r="Y14" s="1080">
        <f>'Adj 4.13 IHS Escalation'!G47</f>
        <v>0</v>
      </c>
      <c r="Z14" s="1080">
        <f>'Adj 5.1 NPC- Restating'!BL29</f>
        <v>0</v>
      </c>
      <c r="AA14" s="1080">
        <f>'Adj 5.1.1 NPC - PF'!G29</f>
        <v>4462528.6064596502</v>
      </c>
      <c r="AB14" s="1080">
        <v>0</v>
      </c>
      <c r="AC14" s="1080">
        <v>0</v>
      </c>
      <c r="AD14" s="1080">
        <v>0</v>
      </c>
      <c r="AE14" s="1080">
        <v>0</v>
      </c>
      <c r="AF14" s="1080">
        <v>0</v>
      </c>
      <c r="AG14" s="1080"/>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f>'Adj 9.1 Prod Factor'!G44</f>
        <v>390837.98233819008</v>
      </c>
      <c r="BD14" s="1053"/>
      <c r="CZ14" s="10"/>
    </row>
    <row r="15" spans="1:104">
      <c r="A15" s="4">
        <v>10</v>
      </c>
      <c r="B15" s="8" t="s">
        <v>18</v>
      </c>
      <c r="C15" s="1083">
        <f t="shared" si="5"/>
        <v>0</v>
      </c>
      <c r="D15" s="1080">
        <v>0</v>
      </c>
      <c r="E15" s="1080">
        <v>0</v>
      </c>
      <c r="F15" s="1080">
        <v>0</v>
      </c>
      <c r="G15" s="1080">
        <v>0</v>
      </c>
      <c r="H15" s="1080">
        <v>0</v>
      </c>
      <c r="I15" s="1080">
        <v>0</v>
      </c>
      <c r="J15" s="1080">
        <v>0</v>
      </c>
      <c r="K15" s="1080">
        <v>0</v>
      </c>
      <c r="L15" s="1080">
        <v>0</v>
      </c>
      <c r="M15" s="1080">
        <v>0</v>
      </c>
      <c r="N15" s="1080">
        <v>0</v>
      </c>
      <c r="O15" s="1080">
        <v>0</v>
      </c>
      <c r="P15" s="1080">
        <v>0</v>
      </c>
      <c r="Q15" s="1080">
        <v>0</v>
      </c>
      <c r="R15" s="1080"/>
      <c r="S15" s="1080">
        <v>0</v>
      </c>
      <c r="T15" s="1080">
        <v>0</v>
      </c>
      <c r="U15" s="1080">
        <v>0</v>
      </c>
      <c r="V15" s="1080">
        <v>0</v>
      </c>
      <c r="W15" s="1080">
        <v>0</v>
      </c>
      <c r="X15" s="1080">
        <v>0</v>
      </c>
      <c r="Y15" s="1080">
        <v>0</v>
      </c>
      <c r="Z15" s="1080">
        <v>0</v>
      </c>
      <c r="AA15" s="1080">
        <v>0</v>
      </c>
      <c r="AB15" s="1080">
        <v>0</v>
      </c>
      <c r="AC15" s="1080">
        <v>0</v>
      </c>
      <c r="AD15" s="1080">
        <v>0</v>
      </c>
      <c r="AE15" s="1080">
        <v>0</v>
      </c>
      <c r="AF15" s="1080">
        <v>0</v>
      </c>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11</v>
      </c>
      <c r="B16" s="8" t="s">
        <v>19</v>
      </c>
      <c r="C16" s="1083">
        <f t="shared" si="5"/>
        <v>104469.51195568303</v>
      </c>
      <c r="D16" s="1080">
        <v>0</v>
      </c>
      <c r="E16" s="1080">
        <v>0</v>
      </c>
      <c r="F16" s="1080">
        <v>0</v>
      </c>
      <c r="G16" s="1080">
        <v>0</v>
      </c>
      <c r="H16" s="1080">
        <v>0</v>
      </c>
      <c r="I16" s="1080">
        <v>0</v>
      </c>
      <c r="J16" s="1080">
        <v>0</v>
      </c>
      <c r="K16" s="1080">
        <v>0</v>
      </c>
      <c r="L16" s="1080">
        <v>0</v>
      </c>
      <c r="M16" s="1080">
        <v>0</v>
      </c>
      <c r="N16" s="1080">
        <f>SUM('Adj 4.2 Gen Wage Inc-Restating'!BM21:BM26)</f>
        <v>0</v>
      </c>
      <c r="O16" s="1080">
        <f>'Adj 4.3 Gen Wage Inc - PF'!G23</f>
        <v>104469.51195568303</v>
      </c>
      <c r="P16" s="1080">
        <v>0</v>
      </c>
      <c r="Q16" s="1080">
        <v>0</v>
      </c>
      <c r="R16" s="1080"/>
      <c r="S16" s="1080">
        <v>0</v>
      </c>
      <c r="T16" s="1080">
        <v>0</v>
      </c>
      <c r="U16" s="1080">
        <v>0</v>
      </c>
      <c r="V16" s="1080">
        <v>0</v>
      </c>
      <c r="W16" s="1080">
        <v>0</v>
      </c>
      <c r="X16" s="1080">
        <v>0</v>
      </c>
      <c r="Y16" s="1080">
        <f>'Adj 4.13 IHS Escalation'!G69</f>
        <v>0</v>
      </c>
      <c r="Z16" s="1080">
        <v>0</v>
      </c>
      <c r="AA16" s="1080">
        <v>0</v>
      </c>
      <c r="AB16" s="1080">
        <v>0</v>
      </c>
      <c r="AC16" s="1080">
        <v>0</v>
      </c>
      <c r="AD16" s="1080">
        <v>0</v>
      </c>
      <c r="AE16" s="1080">
        <v>0</v>
      </c>
      <c r="AF16" s="1080">
        <v>0</v>
      </c>
      <c r="AG16" s="1080"/>
      <c r="AH16" s="1080">
        <v>0</v>
      </c>
      <c r="AI16" s="1080">
        <v>0</v>
      </c>
      <c r="AJ16" s="1080">
        <v>0</v>
      </c>
      <c r="AK16" s="1080">
        <v>0</v>
      </c>
      <c r="AL16" s="1080">
        <v>0</v>
      </c>
      <c r="AM16" s="1080">
        <v>0</v>
      </c>
      <c r="AN16" s="1080">
        <v>0</v>
      </c>
      <c r="AO16" s="1080">
        <v>0</v>
      </c>
      <c r="AP16" s="1080">
        <v>0</v>
      </c>
      <c r="AQ16" s="1080">
        <v>0</v>
      </c>
      <c r="AR16" s="1080">
        <v>0</v>
      </c>
      <c r="AS16" s="1080">
        <v>0</v>
      </c>
      <c r="AT16" s="1080">
        <v>0</v>
      </c>
      <c r="AU16" s="1080"/>
      <c r="AV16" s="1080">
        <v>0</v>
      </c>
      <c r="AW16" s="1080">
        <v>0</v>
      </c>
      <c r="AX16" s="1080">
        <v>0</v>
      </c>
      <c r="AY16" s="1080">
        <v>0</v>
      </c>
      <c r="AZ16" s="1080">
        <v>0</v>
      </c>
      <c r="BA16" s="1080">
        <v>0</v>
      </c>
      <c r="BB16" s="1080">
        <v>0</v>
      </c>
      <c r="BC16" s="1080">
        <v>0</v>
      </c>
      <c r="BD16" s="1053"/>
      <c r="CZ16" s="10"/>
    </row>
    <row r="17" spans="1:104">
      <c r="A17" s="4">
        <v>12</v>
      </c>
      <c r="B17" s="8" t="s">
        <v>20</v>
      </c>
      <c r="C17" s="1083">
        <f t="shared" si="5"/>
        <v>-55361467.322213531</v>
      </c>
      <c r="D17" s="1080">
        <v>0</v>
      </c>
      <c r="E17" s="1080">
        <v>0</v>
      </c>
      <c r="F17" s="1080">
        <v>0</v>
      </c>
      <c r="G17" s="1080">
        <v>0</v>
      </c>
      <c r="H17" s="1080">
        <v>0</v>
      </c>
      <c r="I17" s="1080">
        <v>0</v>
      </c>
      <c r="J17" s="1080">
        <v>0</v>
      </c>
      <c r="K17" s="1080">
        <v>0</v>
      </c>
      <c r="L17" s="1080">
        <f>'Adj 4.1 Misc Gen Exp'!BH8</f>
        <v>0</v>
      </c>
      <c r="M17" s="1080">
        <f>'Adj 4.1 Misc Gen Exp'!BI8</f>
        <v>0</v>
      </c>
      <c r="N17" s="1080">
        <f>SUM('Adj 4.2 Gen Wage Inc-Restating'!BM27:BM35)</f>
        <v>0</v>
      </c>
      <c r="O17" s="1080">
        <f>'Adj 4.3 Gen Wage Inc - PF'!G35</f>
        <v>126048.83238790696</v>
      </c>
      <c r="P17" s="1080">
        <v>0</v>
      </c>
      <c r="Q17" s="1080"/>
      <c r="R17" s="1080"/>
      <c r="S17" s="1080">
        <v>0</v>
      </c>
      <c r="T17" s="1080">
        <v>0</v>
      </c>
      <c r="U17" s="1080">
        <v>0</v>
      </c>
      <c r="V17" s="1080">
        <v>0</v>
      </c>
      <c r="W17" s="1080">
        <v>0</v>
      </c>
      <c r="X17" s="1080">
        <v>0</v>
      </c>
      <c r="Y17" s="1080">
        <f>'Adj 4.13 IHS Escalation'!G98</f>
        <v>0</v>
      </c>
      <c r="Z17" s="1080">
        <v>0</v>
      </c>
      <c r="AA17" s="1080">
        <f>'Adj 5.1.1 NPC - PF'!G20+'Adj 5.1.1 NPC - PF'!G30</f>
        <v>-56069655.426708736</v>
      </c>
      <c r="AB17" s="1080">
        <v>0</v>
      </c>
      <c r="AC17" s="1080">
        <v>0</v>
      </c>
      <c r="AD17" s="1080">
        <v>0</v>
      </c>
      <c r="AE17" s="1080">
        <v>0</v>
      </c>
      <c r="AF17" s="1080">
        <v>0</v>
      </c>
      <c r="AG17" s="1080"/>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v>0</v>
      </c>
      <c r="AZ17" s="1080">
        <v>0</v>
      </c>
      <c r="BA17" s="1080">
        <v>0</v>
      </c>
      <c r="BB17" s="1080">
        <v>0</v>
      </c>
      <c r="BC17" s="1080">
        <f>'Adj 9.1 Prod Factor'!G41+'Adj 9.1 Prod Factor'!G42+'Adj 9.1 Prod Factor'!G45</f>
        <v>582139.27210729942</v>
      </c>
      <c r="BD17" s="1053"/>
      <c r="CZ17" s="10"/>
    </row>
    <row r="18" spans="1:104">
      <c r="A18" s="4">
        <v>13</v>
      </c>
      <c r="B18" s="8" t="s">
        <v>21</v>
      </c>
      <c r="C18" s="1083">
        <f t="shared" si="5"/>
        <v>3751494.1317068874</v>
      </c>
      <c r="D18" s="1080">
        <v>0</v>
      </c>
      <c r="E18" s="1080">
        <v>0</v>
      </c>
      <c r="F18" s="1080">
        <v>0</v>
      </c>
      <c r="G18" s="1080">
        <v>0</v>
      </c>
      <c r="H18" s="1080">
        <v>0</v>
      </c>
      <c r="I18" s="1080">
        <v>0</v>
      </c>
      <c r="J18" s="1080">
        <v>0</v>
      </c>
      <c r="K18" s="1080">
        <v>0</v>
      </c>
      <c r="L18" s="1080">
        <v>0</v>
      </c>
      <c r="M18" s="1080">
        <v>0</v>
      </c>
      <c r="N18" s="1080">
        <f>SUM('Adj 4.2 Gen Wage Inc-Restating'!BM38:BM45)</f>
        <v>0</v>
      </c>
      <c r="O18" s="1080">
        <f>'Adj 4.3 Gen Wage Inc - PF'!G45</f>
        <v>65116.394953302952</v>
      </c>
      <c r="P18" s="1080">
        <v>0</v>
      </c>
      <c r="Q18" s="1080">
        <v>0</v>
      </c>
      <c r="R18" s="1080"/>
      <c r="S18" s="1080">
        <v>0</v>
      </c>
      <c r="T18" s="1080">
        <v>0</v>
      </c>
      <c r="U18" s="1080">
        <v>0</v>
      </c>
      <c r="V18" s="1080">
        <v>0</v>
      </c>
      <c r="W18" s="1080">
        <v>0</v>
      </c>
      <c r="X18" s="1080">
        <v>0</v>
      </c>
      <c r="Y18" s="1080">
        <f>'Adj 4.13 IHS Escalation'!G138</f>
        <v>0</v>
      </c>
      <c r="Z18" s="1080">
        <v>0</v>
      </c>
      <c r="AA18" s="1335">
        <f>'Adj 5.1.1 NPC - PF'!G26</f>
        <v>3489789.7181038051</v>
      </c>
      <c r="AB18" s="1080">
        <v>0</v>
      </c>
      <c r="AC18" s="1080">
        <v>0</v>
      </c>
      <c r="AD18" s="1080">
        <v>0</v>
      </c>
      <c r="AE18" s="1080">
        <v>0</v>
      </c>
      <c r="AF18" s="1080">
        <v>0</v>
      </c>
      <c r="AG18" s="1080"/>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f>'Adj 9.1 Prod Factor'!G43</f>
        <v>196588.01864977926</v>
      </c>
      <c r="BD18" s="1053"/>
      <c r="CZ18" s="10"/>
    </row>
    <row r="19" spans="1:104">
      <c r="A19" s="4">
        <v>14</v>
      </c>
      <c r="B19" s="8" t="s">
        <v>22</v>
      </c>
      <c r="C19" s="1083">
        <f t="shared" si="5"/>
        <v>259055.63411386727</v>
      </c>
      <c r="D19" s="1080">
        <v>0</v>
      </c>
      <c r="E19" s="1080">
        <v>0</v>
      </c>
      <c r="F19" s="1080">
        <v>0</v>
      </c>
      <c r="G19" s="1080">
        <v>0</v>
      </c>
      <c r="H19" s="1080"/>
      <c r="I19" s="1080">
        <v>0</v>
      </c>
      <c r="J19" s="1080">
        <v>0</v>
      </c>
      <c r="K19" s="1080">
        <v>0</v>
      </c>
      <c r="L19" s="1080">
        <v>0</v>
      </c>
      <c r="M19" s="1080">
        <v>0</v>
      </c>
      <c r="N19" s="1080">
        <f>SUM('Adj 4.2 Gen Wage Inc-Restating'!BM48:BM51)</f>
        <v>0</v>
      </c>
      <c r="O19" s="1080">
        <f>'Adj 4.3 Gen Wage Inc - PF'!G52</f>
        <v>259055.63411386727</v>
      </c>
      <c r="P19" s="1080">
        <v>0</v>
      </c>
      <c r="Q19" s="1080">
        <v>0</v>
      </c>
      <c r="R19" s="1080"/>
      <c r="S19" s="1080">
        <v>0</v>
      </c>
      <c r="T19" s="1080">
        <v>0</v>
      </c>
      <c r="U19" s="1080">
        <v>0</v>
      </c>
      <c r="V19" s="1080">
        <v>0</v>
      </c>
      <c r="W19" s="1080">
        <v>0</v>
      </c>
      <c r="X19" s="1080">
        <v>0</v>
      </c>
      <c r="Y19" s="1080">
        <f>'Adj 4.13 IHS Escalation'!G174</f>
        <v>0</v>
      </c>
      <c r="Z19" s="1080">
        <v>0</v>
      </c>
      <c r="AA19" s="1080">
        <v>0</v>
      </c>
      <c r="AB19" s="1080">
        <v>0</v>
      </c>
      <c r="AC19" s="1080">
        <v>0</v>
      </c>
      <c r="AD19" s="1080">
        <v>0</v>
      </c>
      <c r="AE19" s="1080">
        <v>0</v>
      </c>
      <c r="AF19" s="1080">
        <v>0</v>
      </c>
      <c r="AG19" s="1080"/>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15</v>
      </c>
      <c r="B20" s="8" t="s">
        <v>23</v>
      </c>
      <c r="C20" s="1083">
        <f t="shared" si="5"/>
        <v>140245.90084645982</v>
      </c>
      <c r="D20" s="1080"/>
      <c r="E20" s="1080"/>
      <c r="F20" s="1080"/>
      <c r="G20" s="1080">
        <v>0</v>
      </c>
      <c r="H20" s="1080">
        <v>0</v>
      </c>
      <c r="I20" s="1080">
        <v>0</v>
      </c>
      <c r="J20" s="1080">
        <v>0</v>
      </c>
      <c r="K20" s="1080">
        <v>0</v>
      </c>
      <c r="L20" s="1080">
        <v>0</v>
      </c>
      <c r="M20" s="1080">
        <v>0</v>
      </c>
      <c r="N20" s="1080">
        <f>'Adj 4.2 Gen Wage Inc-Restating'!BM52+'Adj 4.2 Gen Wage Inc-Restating'!BM55</f>
        <v>0</v>
      </c>
      <c r="O20" s="1080">
        <f>'Adj 4.3 Gen Wage Inc - PF'!G56</f>
        <v>140245.90084645982</v>
      </c>
      <c r="P20" s="1080">
        <v>0</v>
      </c>
      <c r="Q20" s="1080">
        <v>0</v>
      </c>
      <c r="R20" s="1080"/>
      <c r="S20" s="1080">
        <v>0</v>
      </c>
      <c r="T20" s="1080">
        <v>0</v>
      </c>
      <c r="U20" s="1080">
        <v>0</v>
      </c>
      <c r="V20" s="1080"/>
      <c r="W20" s="1080">
        <v>0</v>
      </c>
      <c r="X20" s="1080">
        <f>'Adj 4.12 Collection Agency Fees'!G10</f>
        <v>0</v>
      </c>
      <c r="Y20" s="1080">
        <f>'Adj 4.13 IHS Escalation'!G187</f>
        <v>0</v>
      </c>
      <c r="Z20" s="1080">
        <v>0</v>
      </c>
      <c r="AA20" s="1080">
        <v>0</v>
      </c>
      <c r="AB20" s="1080">
        <v>0</v>
      </c>
      <c r="AC20" s="1080">
        <v>0</v>
      </c>
      <c r="AD20" s="1080">
        <v>0</v>
      </c>
      <c r="AE20" s="1080">
        <v>0</v>
      </c>
      <c r="AF20" s="1080">
        <v>0</v>
      </c>
      <c r="AG20" s="1080"/>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16</v>
      </c>
      <c r="B21" s="8" t="s">
        <v>24</v>
      </c>
      <c r="C21" s="1083">
        <f t="shared" si="5"/>
        <v>21520.249650806429</v>
      </c>
      <c r="D21" s="1080">
        <v>0</v>
      </c>
      <c r="E21" s="1080">
        <v>0</v>
      </c>
      <c r="F21" s="1080">
        <v>0</v>
      </c>
      <c r="G21" s="1080">
        <v>0</v>
      </c>
      <c r="H21" s="1080">
        <v>0</v>
      </c>
      <c r="I21" s="1080">
        <v>0</v>
      </c>
      <c r="J21" s="1080">
        <v>0</v>
      </c>
      <c r="K21" s="1080">
        <v>0</v>
      </c>
      <c r="L21" s="1080">
        <f>'Adj 4.1 Misc Gen Exp'!BH15</f>
        <v>0</v>
      </c>
      <c r="M21" s="1080">
        <f>'Adj 4.1 Misc Gen Exp'!BI15</f>
        <v>0</v>
      </c>
      <c r="N21" s="1080">
        <f>'Adj 4.2 Gen Wage Inc-Restating'!BM56+'Adj 4.2 Gen Wage Inc-Restating'!BM59</f>
        <v>0</v>
      </c>
      <c r="O21" s="1080">
        <f>'Adj 4.3 Gen Wage Inc - PF'!G61</f>
        <v>21520.249650806429</v>
      </c>
      <c r="P21" s="1080">
        <v>0</v>
      </c>
      <c r="Q21" s="1080">
        <v>0</v>
      </c>
      <c r="R21" s="1080"/>
      <c r="S21" s="1080">
        <v>0</v>
      </c>
      <c r="T21" s="1080">
        <v>0</v>
      </c>
      <c r="U21" s="1080">
        <v>0</v>
      </c>
      <c r="V21" s="1080">
        <v>0</v>
      </c>
      <c r="W21" s="1080">
        <v>0</v>
      </c>
      <c r="X21" s="1080">
        <v>0</v>
      </c>
      <c r="Y21" s="1080">
        <f>'Adj 4.13 IHS Escalation'!G197</f>
        <v>0</v>
      </c>
      <c r="Z21" s="1080">
        <v>0</v>
      </c>
      <c r="AA21" s="1080">
        <v>0</v>
      </c>
      <c r="AB21" s="1080">
        <v>0</v>
      </c>
      <c r="AC21" s="1080">
        <v>0</v>
      </c>
      <c r="AD21" s="1080">
        <v>0</v>
      </c>
      <c r="AE21" s="1080">
        <v>0</v>
      </c>
      <c r="AF21" s="1080">
        <v>0</v>
      </c>
      <c r="AG21" s="1080"/>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17</v>
      </c>
      <c r="B22" s="8" t="s">
        <v>25</v>
      </c>
      <c r="C22" s="1083">
        <f t="shared" si="5"/>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c r="W22" s="1080">
        <v>0</v>
      </c>
      <c r="X22" s="1080">
        <v>0</v>
      </c>
      <c r="Y22" s="1080">
        <v>0</v>
      </c>
      <c r="Z22" s="1080">
        <v>0</v>
      </c>
      <c r="AA22" s="1080">
        <v>0</v>
      </c>
      <c r="AB22" s="1080">
        <v>0</v>
      </c>
      <c r="AC22" s="1080">
        <v>0</v>
      </c>
      <c r="AD22" s="1080">
        <v>0</v>
      </c>
      <c r="AE22" s="1080">
        <v>0</v>
      </c>
      <c r="AF22" s="1080">
        <v>0</v>
      </c>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18</v>
      </c>
      <c r="B23" s="8" t="s">
        <v>26</v>
      </c>
      <c r="C23" s="1083">
        <f t="shared" si="5"/>
        <v>313213.88028660452</v>
      </c>
      <c r="D23" s="1080">
        <v>0</v>
      </c>
      <c r="E23" s="1080">
        <v>0</v>
      </c>
      <c r="F23" s="1080">
        <v>0</v>
      </c>
      <c r="G23" s="1080">
        <v>0</v>
      </c>
      <c r="H23" s="1080">
        <v>0</v>
      </c>
      <c r="I23" s="1080">
        <v>0</v>
      </c>
      <c r="J23" s="1080">
        <v>0</v>
      </c>
      <c r="K23" s="1080">
        <v>0</v>
      </c>
      <c r="L23" s="1080">
        <f>'Adj 4.1 Misc Gen Exp'!BH11+'Adj 4.1 Misc Gen Exp'!BH16+'Adj 4.1 Misc Gen Exp'!BH26</f>
        <v>0</v>
      </c>
      <c r="M23" s="1080">
        <f>'Adj 4.1 Misc Gen Exp'!BI11+'Adj 4.1 Misc Gen Exp'!BI16+'Adj 4.1 Misc Gen Exp'!BI26</f>
        <v>0</v>
      </c>
      <c r="N23" s="1080">
        <v>0</v>
      </c>
      <c r="O23" s="1080">
        <f>'Adj 4.3 Gen Wage Inc - PF'!G67</f>
        <v>291478.26459482458</v>
      </c>
      <c r="P23" s="1080">
        <v>0</v>
      </c>
      <c r="Q23" s="1080"/>
      <c r="R23" s="1080">
        <v>0</v>
      </c>
      <c r="S23" s="1080">
        <f>'Adj 4.7 Insurance Exp'!G11+'Adj 4.7 Insurance Exp'!G12</f>
        <v>21735.615691779938</v>
      </c>
      <c r="T23" s="1080">
        <v>0</v>
      </c>
      <c r="U23" s="1080">
        <v>0</v>
      </c>
      <c r="V23" s="1080">
        <v>0</v>
      </c>
      <c r="W23" s="1080">
        <v>0</v>
      </c>
      <c r="X23" s="1080">
        <v>0</v>
      </c>
      <c r="Y23" s="1080">
        <f>'Adj 4.13 IHS Escalation'!G229</f>
        <v>0</v>
      </c>
      <c r="Z23" s="1080">
        <v>0</v>
      </c>
      <c r="AA23" s="1080">
        <v>0</v>
      </c>
      <c r="AB23" s="1080">
        <v>0</v>
      </c>
      <c r="AC23" s="1080">
        <v>0</v>
      </c>
      <c r="AD23" s="1080">
        <v>0</v>
      </c>
      <c r="AE23" s="1080">
        <v>0</v>
      </c>
      <c r="AF23" s="1080">
        <v>0</v>
      </c>
      <c r="AG23" s="1080"/>
      <c r="AH23" s="1080">
        <v>0</v>
      </c>
      <c r="AI23" s="1080">
        <v>0</v>
      </c>
      <c r="AJ23" s="1080">
        <v>0</v>
      </c>
      <c r="AK23" s="1080">
        <v>0</v>
      </c>
      <c r="AL23" s="1080">
        <v>0</v>
      </c>
      <c r="AM23" s="1080">
        <v>0</v>
      </c>
      <c r="AN23" s="1080">
        <v>0</v>
      </c>
      <c r="AO23" s="1080">
        <v>0</v>
      </c>
      <c r="AP23" s="1080">
        <v>0</v>
      </c>
      <c r="AQ23" s="1080">
        <f>'Adj 8.2 Environ Settlement'!BM12</f>
        <v>0</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B24" s="1282" t="s">
        <v>27</v>
      </c>
      <c r="C24" s="1287">
        <f t="shared" ref="C24:I24" si="6">SUM(C14:C23)</f>
        <v>-45692223.6767473</v>
      </c>
      <c r="D24" s="1084">
        <f t="shared" si="6"/>
        <v>0</v>
      </c>
      <c r="E24" s="1084">
        <f t="shared" si="6"/>
        <v>0</v>
      </c>
      <c r="F24" s="1084">
        <f t="shared" si="6"/>
        <v>0</v>
      </c>
      <c r="G24" s="1084">
        <f t="shared" si="6"/>
        <v>0</v>
      </c>
      <c r="H24" s="1084">
        <f t="shared" si="6"/>
        <v>0</v>
      </c>
      <c r="I24" s="1084">
        <f t="shared" si="6"/>
        <v>0</v>
      </c>
      <c r="J24" s="1084">
        <f>SUM(J14:J23)</f>
        <v>0</v>
      </c>
      <c r="K24" s="1084">
        <f>SUM(K14:K23)</f>
        <v>0</v>
      </c>
      <c r="L24" s="1084">
        <f>SUM(L14:L23)</f>
        <v>0</v>
      </c>
      <c r="M24" s="1084">
        <f t="shared" ref="M24:R24" si="7">SUM(M14:M23)</f>
        <v>0</v>
      </c>
      <c r="N24" s="1084">
        <f t="shared" si="7"/>
        <v>0</v>
      </c>
      <c r="O24" s="1084">
        <f t="shared" si="7"/>
        <v>1233812.5366109316</v>
      </c>
      <c r="P24" s="1084">
        <f>SUM(P14:P23)</f>
        <v>0</v>
      </c>
      <c r="Q24" s="1084">
        <f t="shared" si="7"/>
        <v>0</v>
      </c>
      <c r="R24" s="1084">
        <f t="shared" si="7"/>
        <v>0</v>
      </c>
      <c r="S24" s="1084">
        <f>SUM(S14:S23)</f>
        <v>21735.615691779938</v>
      </c>
      <c r="T24" s="1084">
        <f t="shared" ref="T24:AS24" si="8">SUM(T14:T23)</f>
        <v>0</v>
      </c>
      <c r="U24" s="1084">
        <f t="shared" si="8"/>
        <v>0</v>
      </c>
      <c r="V24" s="1084">
        <f t="shared" si="8"/>
        <v>0</v>
      </c>
      <c r="W24" s="1084">
        <f t="shared" si="8"/>
        <v>0</v>
      </c>
      <c r="X24" s="1084">
        <f>SUM(X14:X23)</f>
        <v>0</v>
      </c>
      <c r="Y24" s="1084">
        <f t="shared" si="8"/>
        <v>0</v>
      </c>
      <c r="Z24" s="1084">
        <f t="shared" si="8"/>
        <v>0</v>
      </c>
      <c r="AA24" s="1084">
        <f t="shared" si="8"/>
        <v>-48117337.102145284</v>
      </c>
      <c r="AB24" s="1084">
        <f t="shared" si="8"/>
        <v>0</v>
      </c>
      <c r="AC24" s="1084">
        <f t="shared" si="8"/>
        <v>0</v>
      </c>
      <c r="AD24" s="1084">
        <f t="shared" si="8"/>
        <v>0</v>
      </c>
      <c r="AE24" s="1084">
        <f t="shared" si="8"/>
        <v>0</v>
      </c>
      <c r="AF24" s="1084">
        <f t="shared" si="8"/>
        <v>0</v>
      </c>
      <c r="AG24" s="1084"/>
      <c r="AH24" s="1084">
        <f t="shared" si="8"/>
        <v>0</v>
      </c>
      <c r="AI24" s="1084">
        <f t="shared" si="8"/>
        <v>0</v>
      </c>
      <c r="AJ24" s="1084">
        <f t="shared" si="8"/>
        <v>0</v>
      </c>
      <c r="AK24" s="1084">
        <f t="shared" si="8"/>
        <v>0</v>
      </c>
      <c r="AL24" s="1084">
        <f t="shared" si="8"/>
        <v>0</v>
      </c>
      <c r="AM24" s="1084">
        <f t="shared" si="8"/>
        <v>0</v>
      </c>
      <c r="AN24" s="1084">
        <f t="shared" si="8"/>
        <v>0</v>
      </c>
      <c r="AO24" s="1084">
        <f t="shared" si="8"/>
        <v>0</v>
      </c>
      <c r="AP24" s="1084">
        <f t="shared" si="8"/>
        <v>0</v>
      </c>
      <c r="AQ24" s="1084">
        <f t="shared" si="8"/>
        <v>0</v>
      </c>
      <c r="AR24" s="1084">
        <f t="shared" si="8"/>
        <v>0</v>
      </c>
      <c r="AS24" s="1084">
        <f t="shared" si="8"/>
        <v>0</v>
      </c>
      <c r="AT24" s="1084">
        <f t="shared" ref="AT24:BC24" si="9">SUM(AT14:AT23)</f>
        <v>0</v>
      </c>
      <c r="AU24" s="1084">
        <f t="shared" si="9"/>
        <v>0</v>
      </c>
      <c r="AV24" s="1084">
        <f t="shared" si="9"/>
        <v>0</v>
      </c>
      <c r="AW24" s="1084">
        <f t="shared" si="9"/>
        <v>0</v>
      </c>
      <c r="AX24" s="1084">
        <f t="shared" si="9"/>
        <v>0</v>
      </c>
      <c r="AY24" s="1084">
        <f t="shared" si="9"/>
        <v>0</v>
      </c>
      <c r="AZ24" s="1084">
        <f t="shared" si="9"/>
        <v>0</v>
      </c>
      <c r="BA24" s="1084">
        <f t="shared" si="9"/>
        <v>0</v>
      </c>
      <c r="BB24" s="1084">
        <f t="shared" si="9"/>
        <v>0</v>
      </c>
      <c r="BC24" s="1084">
        <f t="shared" si="9"/>
        <v>1169565.2730952688</v>
      </c>
      <c r="BD24" s="1053"/>
      <c r="CZ24" s="10"/>
    </row>
    <row r="25" spans="1:104">
      <c r="A25" s="4">
        <v>19</v>
      </c>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20</v>
      </c>
      <c r="B26" s="8" t="s">
        <v>28</v>
      </c>
      <c r="C26" s="1083">
        <f>SUM(D26:BC26)</f>
        <v>750603.02257623198</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v>0</v>
      </c>
      <c r="AD26" s="1080">
        <v>0</v>
      </c>
      <c r="AE26" s="1080">
        <v>0</v>
      </c>
      <c r="AF26" s="1080">
        <v>0</v>
      </c>
      <c r="AG26" s="1080"/>
      <c r="AH26" s="1080">
        <v>0</v>
      </c>
      <c r="AI26" s="1080">
        <v>0</v>
      </c>
      <c r="AJ26" s="1080">
        <v>0</v>
      </c>
      <c r="AK26" s="1080">
        <v>0</v>
      </c>
      <c r="AL26" s="1080">
        <v>0</v>
      </c>
      <c r="AM26" s="1080">
        <v>0</v>
      </c>
      <c r="AN26" s="1080">
        <v>0</v>
      </c>
      <c r="AO26" s="1080">
        <v>0</v>
      </c>
      <c r="AP26" s="1080">
        <v>0</v>
      </c>
      <c r="AQ26" s="1080">
        <v>0</v>
      </c>
      <c r="AR26" s="1080">
        <v>0</v>
      </c>
      <c r="AS26" s="1080">
        <f>'Adj 8.4 Major Plant Add'!G39</f>
        <v>744845.36788250029</v>
      </c>
      <c r="AT26" s="1080">
        <f>'Adj 8.5 Misc. Rate base'!BJ45</f>
        <v>0</v>
      </c>
      <c r="AU26" s="1080">
        <v>0</v>
      </c>
      <c r="AV26" s="1080">
        <v>0</v>
      </c>
      <c r="AW26" s="1080">
        <v>0</v>
      </c>
      <c r="AX26" s="1080">
        <v>0</v>
      </c>
      <c r="AY26" s="1080">
        <v>0</v>
      </c>
      <c r="AZ26" s="1080">
        <v>0</v>
      </c>
      <c r="BA26" s="1080">
        <v>0</v>
      </c>
      <c r="BB26" s="1080">
        <v>0</v>
      </c>
      <c r="BC26" s="1080">
        <f>'Adj 9.1 Prod Factor'!G37</f>
        <v>5757.6546937317326</v>
      </c>
      <c r="BD26" s="1053"/>
      <c r="CZ26" s="10"/>
    </row>
    <row r="27" spans="1:104" ht="13.5" thickBot="1">
      <c r="A27" s="4">
        <v>21</v>
      </c>
      <c r="B27" s="8" t="s">
        <v>8</v>
      </c>
      <c r="C27" s="1083">
        <f>SUM(D27:BC27)</f>
        <v>82361.759263031505</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v>0</v>
      </c>
      <c r="AF27" s="1080">
        <v>0</v>
      </c>
      <c r="AG27" s="1080"/>
      <c r="AH27" s="1080">
        <v>0</v>
      </c>
      <c r="AI27" s="1080">
        <v>0</v>
      </c>
      <c r="AJ27" s="1080">
        <v>0</v>
      </c>
      <c r="AK27" s="1080">
        <v>0</v>
      </c>
      <c r="AL27" s="1080">
        <v>0</v>
      </c>
      <c r="AM27" s="1080">
        <v>0</v>
      </c>
      <c r="AN27" s="1080">
        <v>0</v>
      </c>
      <c r="AO27" s="1080">
        <v>0</v>
      </c>
      <c r="AP27" s="1080">
        <v>0</v>
      </c>
      <c r="AQ27" s="1080">
        <v>0</v>
      </c>
      <c r="AR27" s="1080">
        <v>0</v>
      </c>
      <c r="AS27" s="1080">
        <v>0</v>
      </c>
      <c r="AT27" s="1080">
        <v>0</v>
      </c>
      <c r="AU27" s="1080">
        <f>'Adj 8.6 Powerdale'!G9</f>
        <v>82361.759263031505</v>
      </c>
      <c r="AV27" s="1080">
        <v>0</v>
      </c>
      <c r="AW27" s="1080">
        <v>0</v>
      </c>
      <c r="AX27" s="1080">
        <v>0</v>
      </c>
      <c r="AY27" s="1080">
        <v>0</v>
      </c>
      <c r="AZ27" s="1080">
        <v>0</v>
      </c>
      <c r="BA27" s="1080">
        <v>0</v>
      </c>
      <c r="BB27" s="1080">
        <v>0</v>
      </c>
      <c r="BC27" s="1080">
        <v>0</v>
      </c>
      <c r="BD27" s="1053"/>
      <c r="CZ27" s="10"/>
    </row>
    <row r="28" spans="1:104">
      <c r="A28" s="1095">
        <v>22</v>
      </c>
      <c r="B28" s="1094" t="s">
        <v>29</v>
      </c>
      <c r="C28" s="1288">
        <f>SUM(D28:BC28)</f>
        <v>-807244.49001859501</v>
      </c>
      <c r="D28" s="1289">
        <v>0</v>
      </c>
      <c r="E28" s="1289">
        <v>0</v>
      </c>
      <c r="F28" s="1289">
        <v>0</v>
      </c>
      <c r="G28" s="1289">
        <v>0</v>
      </c>
      <c r="H28" s="1289">
        <v>0</v>
      </c>
      <c r="I28" s="1289">
        <v>0</v>
      </c>
      <c r="J28" s="1289">
        <v>0</v>
      </c>
      <c r="K28" s="1289">
        <v>0</v>
      </c>
      <c r="L28" s="1289">
        <v>0</v>
      </c>
      <c r="M28" s="1289">
        <v>0</v>
      </c>
      <c r="N28" s="1289">
        <v>0</v>
      </c>
      <c r="O28" s="1289">
        <v>0</v>
      </c>
      <c r="P28" s="1289">
        <v>0</v>
      </c>
      <c r="Q28" s="1289">
        <v>0</v>
      </c>
      <c r="R28" s="1289">
        <v>0</v>
      </c>
      <c r="S28" s="1289">
        <v>0</v>
      </c>
      <c r="T28" s="1289">
        <v>0</v>
      </c>
      <c r="U28" s="1289">
        <v>0</v>
      </c>
      <c r="V28" s="1289">
        <v>0</v>
      </c>
      <c r="W28" s="1289">
        <v>0</v>
      </c>
      <c r="X28" s="1289">
        <v>0</v>
      </c>
      <c r="Y28" s="1289">
        <v>0</v>
      </c>
      <c r="Z28" s="1289">
        <v>0</v>
      </c>
      <c r="AA28" s="1289">
        <v>0</v>
      </c>
      <c r="AB28" s="1289">
        <v>0</v>
      </c>
      <c r="AC28" s="1289">
        <v>0</v>
      </c>
      <c r="AD28" s="1289">
        <v>0</v>
      </c>
      <c r="AE28" s="1289">
        <v>0</v>
      </c>
      <c r="AF28" s="1289">
        <v>0</v>
      </c>
      <c r="AG28" s="1289"/>
      <c r="AH28" s="1289">
        <v>0</v>
      </c>
      <c r="AI28" s="1289">
        <f>'Adj 7.2 Prop Tax Exp'!G9</f>
        <v>0</v>
      </c>
      <c r="AJ28" s="1289">
        <v>0</v>
      </c>
      <c r="AK28" s="1289">
        <v>0</v>
      </c>
      <c r="AL28" s="1289">
        <f>'Adj 7.5 WA Low Income Tax Credi'!G9</f>
        <v>0</v>
      </c>
      <c r="AM28" s="1289">
        <v>0</v>
      </c>
      <c r="AN28" s="1289">
        <v>0</v>
      </c>
      <c r="AO28" s="1289">
        <f>'Adj 7.8 WA Pub Util Tax'!G10</f>
        <v>-807244.49001859501</v>
      </c>
      <c r="AP28" s="1289">
        <v>0</v>
      </c>
      <c r="AQ28" s="1289">
        <v>0</v>
      </c>
      <c r="AR28" s="1289">
        <v>0</v>
      </c>
      <c r="AS28" s="1289">
        <v>0</v>
      </c>
      <c r="AT28" s="1289">
        <v>0</v>
      </c>
      <c r="AU28" s="1289">
        <v>0</v>
      </c>
      <c r="AV28" s="1289">
        <v>0</v>
      </c>
      <c r="AW28" s="1289">
        <v>0</v>
      </c>
      <c r="AX28" s="1289">
        <v>0</v>
      </c>
      <c r="AY28" s="1289">
        <v>0</v>
      </c>
      <c r="AZ28" s="1289">
        <v>0</v>
      </c>
      <c r="BA28" s="1289">
        <v>0</v>
      </c>
      <c r="BB28" s="1289">
        <v>0</v>
      </c>
      <c r="BC28" s="1290">
        <v>0</v>
      </c>
      <c r="BD28" s="1053"/>
      <c r="CZ28" s="10"/>
    </row>
    <row r="29" spans="1:104" ht="13.5" thickBot="1">
      <c r="A29" s="1236">
        <v>23</v>
      </c>
      <c r="B29" s="1098" t="s">
        <v>30</v>
      </c>
      <c r="C29" s="1291">
        <f t="shared" ref="C29:I29" si="10">C80</f>
        <v>-3488183.4448383031</v>
      </c>
      <c r="D29" s="1292">
        <f t="shared" si="10"/>
        <v>0</v>
      </c>
      <c r="E29" s="1292">
        <f t="shared" si="10"/>
        <v>0</v>
      </c>
      <c r="F29" s="1292">
        <f t="shared" si="10"/>
        <v>0</v>
      </c>
      <c r="G29" s="1292">
        <f t="shared" si="10"/>
        <v>-681</v>
      </c>
      <c r="H29" s="1292">
        <f t="shared" si="10"/>
        <v>0</v>
      </c>
      <c r="I29" s="1292">
        <f t="shared" si="10"/>
        <v>157156</v>
      </c>
      <c r="J29" s="1292">
        <f>J80</f>
        <v>14464</v>
      </c>
      <c r="K29" s="1292">
        <f>K80</f>
        <v>0</v>
      </c>
      <c r="L29" s="1292">
        <f>L80</f>
        <v>0</v>
      </c>
      <c r="M29" s="1292">
        <f t="shared" ref="M29:AC29" si="11">M80</f>
        <v>0</v>
      </c>
      <c r="N29" s="1292">
        <f t="shared" si="11"/>
        <v>0</v>
      </c>
      <c r="O29" s="1292">
        <f t="shared" si="11"/>
        <v>-431834</v>
      </c>
      <c r="P29" s="1292">
        <f>P80</f>
        <v>0</v>
      </c>
      <c r="Q29" s="1292">
        <f t="shared" si="11"/>
        <v>0</v>
      </c>
      <c r="R29" s="1292">
        <f t="shared" si="11"/>
        <v>0</v>
      </c>
      <c r="S29" s="1292">
        <f t="shared" si="11"/>
        <v>-7607</v>
      </c>
      <c r="T29" s="1292">
        <v>0</v>
      </c>
      <c r="U29" s="1292">
        <v>0</v>
      </c>
      <c r="V29" s="1292">
        <f>V80</f>
        <v>0</v>
      </c>
      <c r="W29" s="1292">
        <f>W80</f>
        <v>0</v>
      </c>
      <c r="X29" s="1292">
        <f>X80</f>
        <v>0</v>
      </c>
      <c r="Y29" s="1292">
        <f>Y80</f>
        <v>0</v>
      </c>
      <c r="Z29" s="1292">
        <f>Z80</f>
        <v>0</v>
      </c>
      <c r="AA29" s="1292">
        <f t="shared" si="11"/>
        <v>317912</v>
      </c>
      <c r="AB29" s="1292">
        <f t="shared" si="11"/>
        <v>237964</v>
      </c>
      <c r="AC29" s="1292">
        <f t="shared" si="11"/>
        <v>0</v>
      </c>
      <c r="AD29" s="1292">
        <f t="shared" ref="AD29:AS29" si="12">AD80</f>
        <v>-44842</v>
      </c>
      <c r="AE29" s="1292">
        <f t="shared" si="12"/>
        <v>0</v>
      </c>
      <c r="AF29" s="1292">
        <f t="shared" si="12"/>
        <v>0</v>
      </c>
      <c r="AG29" s="1292"/>
      <c r="AH29" s="1292">
        <f t="shared" si="12"/>
        <v>-339757</v>
      </c>
      <c r="AI29" s="1292">
        <f t="shared" si="12"/>
        <v>0</v>
      </c>
      <c r="AJ29" s="1292">
        <f t="shared" si="12"/>
        <v>-661916.82775972039</v>
      </c>
      <c r="AK29" s="1292">
        <f t="shared" si="12"/>
        <v>0</v>
      </c>
      <c r="AL29" s="1292">
        <f t="shared" si="12"/>
        <v>0</v>
      </c>
      <c r="AM29" s="1292">
        <f t="shared" si="12"/>
        <v>0</v>
      </c>
      <c r="AN29" s="1292">
        <f t="shared" si="12"/>
        <v>0</v>
      </c>
      <c r="AO29" s="1292">
        <f t="shared" si="12"/>
        <v>282536</v>
      </c>
      <c r="AP29" s="1292">
        <f t="shared" si="12"/>
        <v>0</v>
      </c>
      <c r="AQ29" s="1292">
        <f t="shared" si="12"/>
        <v>0</v>
      </c>
      <c r="AR29" s="1292">
        <f t="shared" si="12"/>
        <v>0</v>
      </c>
      <c r="AS29" s="1292">
        <f t="shared" si="12"/>
        <v>-2031908</v>
      </c>
      <c r="AT29" s="1292">
        <f t="shared" ref="AT29:BC29" si="13">AT80</f>
        <v>0</v>
      </c>
      <c r="AU29" s="1292">
        <f t="shared" si="13"/>
        <v>-86068</v>
      </c>
      <c r="AV29" s="1292">
        <f t="shared" si="13"/>
        <v>0</v>
      </c>
      <c r="AW29" s="1292">
        <f t="shared" si="13"/>
        <v>0</v>
      </c>
      <c r="AX29" s="1292">
        <f t="shared" si="13"/>
        <v>0</v>
      </c>
      <c r="AY29" s="1292">
        <f t="shared" si="13"/>
        <v>-535565</v>
      </c>
      <c r="AZ29" s="1292">
        <f t="shared" si="13"/>
        <v>0</v>
      </c>
      <c r="BA29" s="1292">
        <f t="shared" si="13"/>
        <v>0</v>
      </c>
      <c r="BB29" s="1292">
        <f t="shared" si="13"/>
        <v>0</v>
      </c>
      <c r="BC29" s="1293">
        <f t="shared" si="13"/>
        <v>-371098.61707858276</v>
      </c>
      <c r="BD29" s="1053"/>
      <c r="CZ29" s="10"/>
    </row>
    <row r="30" spans="1:104">
      <c r="A30" s="4">
        <v>24</v>
      </c>
      <c r="B30" s="8" t="s">
        <v>31</v>
      </c>
      <c r="C30" s="1083">
        <f>SUM(D30:BB30)</f>
        <v>0</v>
      </c>
      <c r="D30" s="1080">
        <f t="shared" ref="D30:I30" si="14">D76</f>
        <v>0</v>
      </c>
      <c r="E30" s="1080">
        <f t="shared" si="14"/>
        <v>0</v>
      </c>
      <c r="F30" s="1080">
        <f t="shared" si="14"/>
        <v>0</v>
      </c>
      <c r="G30" s="1080">
        <f t="shared" si="14"/>
        <v>0</v>
      </c>
      <c r="H30" s="1080">
        <f t="shared" si="14"/>
        <v>0</v>
      </c>
      <c r="I30" s="1080">
        <f t="shared" si="14"/>
        <v>0</v>
      </c>
      <c r="J30" s="1080">
        <f>J76</f>
        <v>0</v>
      </c>
      <c r="K30" s="1080">
        <f>K76</f>
        <v>0</v>
      </c>
      <c r="L30" s="1080">
        <f>L76</f>
        <v>0</v>
      </c>
      <c r="M30" s="1080">
        <f t="shared" ref="M30:S30" si="15">M76</f>
        <v>0</v>
      </c>
      <c r="N30" s="1080">
        <f t="shared" si="15"/>
        <v>0</v>
      </c>
      <c r="O30" s="1080">
        <f t="shared" si="15"/>
        <v>0</v>
      </c>
      <c r="P30" s="1080">
        <f>P76</f>
        <v>0</v>
      </c>
      <c r="Q30" s="1080">
        <f t="shared" si="15"/>
        <v>0</v>
      </c>
      <c r="R30" s="1080">
        <f t="shared" si="15"/>
        <v>0</v>
      </c>
      <c r="S30" s="1080">
        <f t="shared" si="15"/>
        <v>0</v>
      </c>
      <c r="T30" s="1080">
        <f t="shared" ref="T30:Y30" si="16">T76</f>
        <v>0</v>
      </c>
      <c r="U30" s="1080">
        <f t="shared" si="16"/>
        <v>0</v>
      </c>
      <c r="V30" s="1080">
        <f t="shared" si="16"/>
        <v>0</v>
      </c>
      <c r="W30" s="1080">
        <f t="shared" si="16"/>
        <v>0</v>
      </c>
      <c r="X30" s="1080">
        <f>X76</f>
        <v>0</v>
      </c>
      <c r="Y30" s="1080">
        <f t="shared" si="16"/>
        <v>0</v>
      </c>
      <c r="Z30" s="1080">
        <v>0</v>
      </c>
      <c r="AA30" s="1080">
        <f t="shared" ref="AA30:AS30" si="17">AA76</f>
        <v>0</v>
      </c>
      <c r="AB30" s="1080">
        <f t="shared" si="17"/>
        <v>0</v>
      </c>
      <c r="AC30" s="1080">
        <f t="shared" si="17"/>
        <v>0</v>
      </c>
      <c r="AD30" s="1080">
        <f t="shared" si="17"/>
        <v>0</v>
      </c>
      <c r="AE30" s="1080">
        <f t="shared" si="17"/>
        <v>0</v>
      </c>
      <c r="AF30" s="1080">
        <f t="shared" si="17"/>
        <v>0</v>
      </c>
      <c r="AG30" s="1080"/>
      <c r="AH30" s="1080">
        <f t="shared" si="17"/>
        <v>0</v>
      </c>
      <c r="AI30" s="1080">
        <f t="shared" si="17"/>
        <v>0</v>
      </c>
      <c r="AJ30" s="1080">
        <f t="shared" si="17"/>
        <v>0</v>
      </c>
      <c r="AK30" s="1080">
        <f t="shared" si="17"/>
        <v>0</v>
      </c>
      <c r="AL30" s="1080">
        <f t="shared" si="17"/>
        <v>0</v>
      </c>
      <c r="AM30" s="1080">
        <f t="shared" si="17"/>
        <v>0</v>
      </c>
      <c r="AN30" s="1080">
        <f t="shared" si="17"/>
        <v>0</v>
      </c>
      <c r="AO30" s="1080">
        <f t="shared" si="17"/>
        <v>0</v>
      </c>
      <c r="AP30" s="1080">
        <f t="shared" si="17"/>
        <v>0</v>
      </c>
      <c r="AQ30" s="1080">
        <f t="shared" si="17"/>
        <v>0</v>
      </c>
      <c r="AR30" s="1080">
        <f t="shared" si="17"/>
        <v>0</v>
      </c>
      <c r="AS30" s="1080">
        <f t="shared" si="17"/>
        <v>0</v>
      </c>
      <c r="AT30" s="1080">
        <f t="shared" ref="AT30:AY30" si="18">AT76</f>
        <v>0</v>
      </c>
      <c r="AU30" s="1080">
        <f t="shared" si="18"/>
        <v>0</v>
      </c>
      <c r="AV30" s="1080">
        <f t="shared" si="18"/>
        <v>0</v>
      </c>
      <c r="AW30" s="1080">
        <f t="shared" si="18"/>
        <v>0</v>
      </c>
      <c r="AX30" s="1080">
        <f t="shared" si="18"/>
        <v>0</v>
      </c>
      <c r="AY30" s="1080">
        <f t="shared" si="18"/>
        <v>0</v>
      </c>
      <c r="AZ30" s="1080">
        <f>AZ76</f>
        <v>0</v>
      </c>
      <c r="BA30" s="1080">
        <f>BA76</f>
        <v>0</v>
      </c>
      <c r="BB30" s="1080">
        <f>BB76</f>
        <v>0</v>
      </c>
      <c r="BC30" s="1080">
        <f>BC76</f>
        <v>0</v>
      </c>
      <c r="BD30" s="1053"/>
      <c r="CZ30" s="10"/>
    </row>
    <row r="31" spans="1:104">
      <c r="A31" s="4">
        <v>25</v>
      </c>
      <c r="B31" s="8" t="s">
        <v>32</v>
      </c>
      <c r="C31" s="1083">
        <f>SUM(D31:BC31)</f>
        <v>2341343.8120242329</v>
      </c>
      <c r="D31" s="1080">
        <v>0</v>
      </c>
      <c r="E31" s="1080"/>
      <c r="F31" s="1080">
        <v>0</v>
      </c>
      <c r="G31" s="1080">
        <f>'Adj 3.4 SO2 Emmissions'!G23+'Adj 3.4 SO2 Emmissions'!G22</f>
        <v>295256.29879283818</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v>0</v>
      </c>
      <c r="AD31" s="1080">
        <f>'Adj 6.1 Hydro Decomm.'!G15</f>
        <v>48623.232940317663</v>
      </c>
      <c r="AE31" s="1080"/>
      <c r="AF31" s="1080">
        <f>'Adj 6.1 Hydro Decomm.'!I15</f>
        <v>0</v>
      </c>
      <c r="AG31" s="1080"/>
      <c r="AH31" s="1080">
        <v>0</v>
      </c>
      <c r="AI31" s="1080">
        <v>0</v>
      </c>
      <c r="AJ31" s="1080">
        <f>'Adj 7.3 Renewable Tax Credit'!G13+'Adj 7.3 Renewable Tax Credit'!G14</f>
        <v>0</v>
      </c>
      <c r="AK31" s="1080">
        <v>0</v>
      </c>
      <c r="AL31" s="1080">
        <v>0</v>
      </c>
      <c r="AM31" s="1080">
        <v>0</v>
      </c>
      <c r="AN31" s="1080">
        <v>0</v>
      </c>
      <c r="AO31" s="1080">
        <v>0</v>
      </c>
      <c r="AP31" s="1080">
        <v>0</v>
      </c>
      <c r="AQ31" s="1080">
        <f>'Adj 8.2 Environ Settlement'!BM27</f>
        <v>0</v>
      </c>
      <c r="AR31" s="1080">
        <v>0</v>
      </c>
      <c r="AS31" s="1080">
        <f>'Adj 8.4 Major Plant Add'!G44+'Adj 8.4 Major Plant Add'!G49+'Adj 8.4 Major Plant Add'!G54+'Adj 8.4 Major Plant Add'!G59</f>
        <v>1920551.3589821786</v>
      </c>
      <c r="AT31" s="1080">
        <v>0</v>
      </c>
      <c r="AU31" s="1080">
        <f>'Adj 8.6 Powerdale'!G24+'Adj 8.6 Powerdale'!G19+'Adj 8.6 Powerdale'!G15</f>
        <v>62067.059303965922</v>
      </c>
      <c r="AV31" s="1080">
        <v>0</v>
      </c>
      <c r="AW31" s="1080">
        <v>0</v>
      </c>
      <c r="AX31" s="1080">
        <v>0</v>
      </c>
      <c r="AY31" s="1080">
        <v>0</v>
      </c>
      <c r="AZ31" s="1080">
        <v>0</v>
      </c>
      <c r="BA31" s="1080">
        <v>0</v>
      </c>
      <c r="BB31" s="1080">
        <v>0</v>
      </c>
      <c r="BC31" s="1080">
        <f>SUM('Adj 9.1 Prod Factor'!G69:G72)</f>
        <v>14845.86200493232</v>
      </c>
      <c r="BD31" s="1053"/>
      <c r="CZ31" s="10"/>
    </row>
    <row r="32" spans="1:104">
      <c r="A32" s="4">
        <v>26</v>
      </c>
      <c r="B32" s="8" t="s">
        <v>33</v>
      </c>
      <c r="C32" s="1083">
        <f>SUM(D32:BC32)</f>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c r="AH32" s="1080">
        <v>0</v>
      </c>
      <c r="AI32" s="1080">
        <v>0</v>
      </c>
      <c r="AJ32" s="1080">
        <v>0</v>
      </c>
      <c r="AK32" s="1080">
        <v>0</v>
      </c>
      <c r="AL32" s="1080">
        <v>0</v>
      </c>
      <c r="AM32" s="1080">
        <v>0</v>
      </c>
      <c r="AN32" s="1080">
        <v>0</v>
      </c>
      <c r="AO32" s="1080">
        <v>0</v>
      </c>
      <c r="AP32" s="1080">
        <v>0</v>
      </c>
      <c r="AQ32" s="1080">
        <v>0</v>
      </c>
      <c r="AR32" s="1080">
        <v>0</v>
      </c>
      <c r="AS32" s="1080">
        <v>0</v>
      </c>
      <c r="AT32" s="1080">
        <v>0</v>
      </c>
      <c r="AU32" s="1080">
        <v>0</v>
      </c>
      <c r="AV32" s="1080">
        <v>0</v>
      </c>
      <c r="AW32" s="1080">
        <v>0</v>
      </c>
      <c r="AX32" s="1080">
        <v>0</v>
      </c>
      <c r="AY32" s="1080">
        <v>0</v>
      </c>
      <c r="AZ32" s="1080">
        <v>0</v>
      </c>
      <c r="BA32" s="1080">
        <v>0</v>
      </c>
      <c r="BB32" s="1080">
        <v>0</v>
      </c>
      <c r="BC32" s="1080">
        <v>0</v>
      </c>
      <c r="BD32" s="1053"/>
      <c r="CZ32" s="10"/>
    </row>
    <row r="33" spans="1:104">
      <c r="A33" s="4">
        <v>27</v>
      </c>
      <c r="B33" s="8" t="s">
        <v>34</v>
      </c>
      <c r="C33" s="1083">
        <f>SUM(D33:BC33)</f>
        <v>-776048.95839665306</v>
      </c>
      <c r="D33" s="1080">
        <v>0</v>
      </c>
      <c r="E33" s="1080">
        <v>0</v>
      </c>
      <c r="F33" s="1080">
        <v>0</v>
      </c>
      <c r="G33" s="1080">
        <f>'Adj 3.4 SO2 Emmissions'!G11</f>
        <v>-776048.95839665306</v>
      </c>
      <c r="H33" s="1080">
        <v>0</v>
      </c>
      <c r="I33" s="1080">
        <v>0</v>
      </c>
      <c r="J33" s="1080">
        <v>0</v>
      </c>
      <c r="K33" s="1080">
        <v>0</v>
      </c>
      <c r="L33" s="1080">
        <v>0</v>
      </c>
      <c r="M33" s="1080">
        <v>0</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c r="AH33" s="1080">
        <v>0</v>
      </c>
      <c r="AI33" s="1080">
        <v>0</v>
      </c>
      <c r="AJ33" s="1080">
        <v>0</v>
      </c>
      <c r="AK33" s="1080">
        <v>0</v>
      </c>
      <c r="AL33" s="1080">
        <v>0</v>
      </c>
      <c r="AM33" s="1080">
        <v>0</v>
      </c>
      <c r="AN33" s="1080">
        <v>0</v>
      </c>
      <c r="AO33" s="1080">
        <v>0</v>
      </c>
      <c r="AP33" s="1080">
        <v>0</v>
      </c>
      <c r="AQ33" s="1080">
        <v>0</v>
      </c>
      <c r="AR33" s="1080">
        <v>0</v>
      </c>
      <c r="AS33" s="1080">
        <v>0</v>
      </c>
      <c r="AT33" s="1080">
        <v>0</v>
      </c>
      <c r="AU33" s="1080">
        <v>0</v>
      </c>
      <c r="AV33" s="1080">
        <v>0</v>
      </c>
      <c r="AW33" s="1080">
        <v>0</v>
      </c>
      <c r="AX33" s="1080">
        <v>0</v>
      </c>
      <c r="AY33" s="1080">
        <v>0</v>
      </c>
      <c r="AZ33" s="1080">
        <v>0</v>
      </c>
      <c r="BA33" s="1080">
        <v>0</v>
      </c>
      <c r="BB33" s="1080">
        <v>0</v>
      </c>
      <c r="BC33" s="1080">
        <v>0</v>
      </c>
      <c r="BD33" s="1053"/>
      <c r="CZ33" s="10"/>
    </row>
    <row r="34" spans="1:104">
      <c r="A34" s="4">
        <v>28</v>
      </c>
      <c r="B34" s="1284" t="s">
        <v>35</v>
      </c>
      <c r="C34" s="1294">
        <f t="shared" ref="C34:I34" si="19">SUM(C24:C33)</f>
        <v>-47589391.976137348</v>
      </c>
      <c r="D34" s="1082">
        <f t="shared" si="19"/>
        <v>0</v>
      </c>
      <c r="E34" s="1082">
        <f t="shared" si="19"/>
        <v>0</v>
      </c>
      <c r="F34" s="1082">
        <f t="shared" si="19"/>
        <v>0</v>
      </c>
      <c r="G34" s="1082">
        <f t="shared" si="19"/>
        <v>-481473.65960381489</v>
      </c>
      <c r="H34" s="1082">
        <f t="shared" si="19"/>
        <v>0</v>
      </c>
      <c r="I34" s="1082">
        <f t="shared" si="19"/>
        <v>157156</v>
      </c>
      <c r="J34" s="1082">
        <f>SUM(J24:J33)</f>
        <v>14464</v>
      </c>
      <c r="K34" s="1082">
        <f>SUM(K24:K33)</f>
        <v>0</v>
      </c>
      <c r="L34" s="1082">
        <f>SUM(L24:L33)</f>
        <v>0</v>
      </c>
      <c r="M34" s="1082">
        <f t="shared" ref="M34:AC34" si="20">SUM(M24:M33)</f>
        <v>0</v>
      </c>
      <c r="N34" s="1082">
        <f t="shared" si="20"/>
        <v>0</v>
      </c>
      <c r="O34" s="1082">
        <f t="shared" si="20"/>
        <v>801978.53661093162</v>
      </c>
      <c r="P34" s="1082">
        <f>SUM(P24:P33)</f>
        <v>0</v>
      </c>
      <c r="Q34" s="1082">
        <f t="shared" si="20"/>
        <v>0</v>
      </c>
      <c r="R34" s="1082">
        <f t="shared" si="20"/>
        <v>0</v>
      </c>
      <c r="S34" s="1082">
        <f t="shared" si="20"/>
        <v>14128.615691779938</v>
      </c>
      <c r="T34" s="1082">
        <f t="shared" ref="T34:Y34" si="21">SUM(T24:T33)</f>
        <v>0</v>
      </c>
      <c r="U34" s="1082">
        <f t="shared" si="21"/>
        <v>0</v>
      </c>
      <c r="V34" s="1082">
        <f t="shared" si="21"/>
        <v>0</v>
      </c>
      <c r="W34" s="1082">
        <f t="shared" si="21"/>
        <v>0</v>
      </c>
      <c r="X34" s="1082">
        <f>SUM(X24:X33)</f>
        <v>0</v>
      </c>
      <c r="Y34" s="1082">
        <f t="shared" si="21"/>
        <v>0</v>
      </c>
      <c r="Z34" s="1082">
        <f t="shared" si="20"/>
        <v>0</v>
      </c>
      <c r="AA34" s="1082">
        <f t="shared" si="20"/>
        <v>-47799425.102145284</v>
      </c>
      <c r="AB34" s="1082">
        <f t="shared" si="20"/>
        <v>237964</v>
      </c>
      <c r="AC34" s="1082">
        <f t="shared" si="20"/>
        <v>0</v>
      </c>
      <c r="AD34" s="1082">
        <f t="shared" ref="AD34:AS34" si="22">SUM(AD24:AD33)</f>
        <v>3781.2329403176627</v>
      </c>
      <c r="AE34" s="1082">
        <f t="shared" si="22"/>
        <v>0</v>
      </c>
      <c r="AF34" s="1082">
        <f t="shared" si="22"/>
        <v>0</v>
      </c>
      <c r="AG34" s="1082"/>
      <c r="AH34" s="1082">
        <f t="shared" si="22"/>
        <v>-339757</v>
      </c>
      <c r="AI34" s="1082">
        <f t="shared" si="22"/>
        <v>0</v>
      </c>
      <c r="AJ34" s="1082">
        <f t="shared" si="22"/>
        <v>-661916.82775972039</v>
      </c>
      <c r="AK34" s="1082">
        <f t="shared" si="22"/>
        <v>0</v>
      </c>
      <c r="AL34" s="1082">
        <f t="shared" si="22"/>
        <v>0</v>
      </c>
      <c r="AM34" s="1082">
        <f t="shared" si="22"/>
        <v>0</v>
      </c>
      <c r="AN34" s="1082">
        <f t="shared" si="22"/>
        <v>0</v>
      </c>
      <c r="AO34" s="1082">
        <f t="shared" si="22"/>
        <v>-524708.49001859501</v>
      </c>
      <c r="AP34" s="1082">
        <f t="shared" si="22"/>
        <v>0</v>
      </c>
      <c r="AQ34" s="1082">
        <f t="shared" si="22"/>
        <v>0</v>
      </c>
      <c r="AR34" s="1082">
        <f t="shared" si="22"/>
        <v>0</v>
      </c>
      <c r="AS34" s="1082">
        <f t="shared" si="22"/>
        <v>633488.72686467902</v>
      </c>
      <c r="AT34" s="1082">
        <f t="shared" ref="AT34:BC34" si="23">SUM(AT24:AT33)</f>
        <v>0</v>
      </c>
      <c r="AU34" s="1082">
        <f t="shared" si="23"/>
        <v>58360.818566997426</v>
      </c>
      <c r="AV34" s="1082">
        <f t="shared" si="23"/>
        <v>0</v>
      </c>
      <c r="AW34" s="1082">
        <f t="shared" si="23"/>
        <v>0</v>
      </c>
      <c r="AX34" s="1082">
        <f t="shared" si="23"/>
        <v>0</v>
      </c>
      <c r="AY34" s="1082">
        <f t="shared" si="23"/>
        <v>-535565</v>
      </c>
      <c r="AZ34" s="1082">
        <f t="shared" si="23"/>
        <v>0</v>
      </c>
      <c r="BA34" s="1082">
        <f t="shared" si="23"/>
        <v>0</v>
      </c>
      <c r="BB34" s="1082">
        <f t="shared" si="23"/>
        <v>0</v>
      </c>
      <c r="BC34" s="1082">
        <f t="shared" si="23"/>
        <v>819070.17271535017</v>
      </c>
      <c r="BD34" s="1053"/>
      <c r="CZ34" s="10"/>
    </row>
    <row r="35" spans="1:104">
      <c r="A35" s="4">
        <v>29</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30</v>
      </c>
      <c r="B36" s="22" t="s">
        <v>98</v>
      </c>
      <c r="C36" s="1295">
        <f t="shared" ref="C36:I36" si="24">C11-C34</f>
        <v>226529.38696778566</v>
      </c>
      <c r="D36" s="1086">
        <f t="shared" si="24"/>
        <v>0</v>
      </c>
      <c r="E36" s="1086">
        <f t="shared" si="24"/>
        <v>0</v>
      </c>
      <c r="F36" s="1086">
        <f t="shared" si="24"/>
        <v>0</v>
      </c>
      <c r="G36" s="1086">
        <f t="shared" si="24"/>
        <v>481473.65960381489</v>
      </c>
      <c r="H36" s="1086">
        <f t="shared" si="24"/>
        <v>0</v>
      </c>
      <c r="I36" s="1086">
        <f t="shared" si="24"/>
        <v>291861</v>
      </c>
      <c r="J36" s="1086">
        <f>J11-J34</f>
        <v>26861.822449383042</v>
      </c>
      <c r="K36" s="1086">
        <f>K11-K34</f>
        <v>0</v>
      </c>
      <c r="L36" s="1086">
        <f>L11-L34</f>
        <v>0</v>
      </c>
      <c r="M36" s="1086">
        <f t="shared" ref="M36:AC36" si="25">M11-M34</f>
        <v>0</v>
      </c>
      <c r="N36" s="1086">
        <f t="shared" si="25"/>
        <v>0</v>
      </c>
      <c r="O36" s="1086">
        <f t="shared" si="25"/>
        <v>-801978.53661093162</v>
      </c>
      <c r="P36" s="1086">
        <f>P11-P34</f>
        <v>0</v>
      </c>
      <c r="Q36" s="1086">
        <f t="shared" si="25"/>
        <v>0</v>
      </c>
      <c r="R36" s="1086">
        <f t="shared" si="25"/>
        <v>0</v>
      </c>
      <c r="S36" s="1086">
        <f t="shared" si="25"/>
        <v>-14128.615691779938</v>
      </c>
      <c r="T36" s="1086">
        <f t="shared" ref="T36:Y36" si="26">T11-T34</f>
        <v>0</v>
      </c>
      <c r="U36" s="1086">
        <f t="shared" si="26"/>
        <v>0</v>
      </c>
      <c r="V36" s="1086">
        <f t="shared" si="26"/>
        <v>0</v>
      </c>
      <c r="W36" s="1086">
        <f t="shared" si="26"/>
        <v>0</v>
      </c>
      <c r="X36" s="1086">
        <f>X11-X34</f>
        <v>0</v>
      </c>
      <c r="Y36" s="1086">
        <f t="shared" si="26"/>
        <v>0</v>
      </c>
      <c r="Z36" s="1086">
        <f t="shared" si="25"/>
        <v>0</v>
      </c>
      <c r="AA36" s="1086">
        <f t="shared" si="25"/>
        <v>590408.56677233428</v>
      </c>
      <c r="AB36" s="1086">
        <f t="shared" si="25"/>
        <v>441934.4167838149</v>
      </c>
      <c r="AC36" s="1086">
        <f t="shared" si="25"/>
        <v>0</v>
      </c>
      <c r="AD36" s="1086">
        <f t="shared" ref="AD36:AS36" si="27">AD11-AD34</f>
        <v>-3781.2329403176627</v>
      </c>
      <c r="AE36" s="1086">
        <f t="shared" si="27"/>
        <v>0</v>
      </c>
      <c r="AF36" s="1086">
        <f t="shared" si="27"/>
        <v>0</v>
      </c>
      <c r="AG36" s="1086"/>
      <c r="AH36" s="1086">
        <f t="shared" si="27"/>
        <v>339757</v>
      </c>
      <c r="AI36" s="1086">
        <f t="shared" si="27"/>
        <v>0</v>
      </c>
      <c r="AJ36" s="1086">
        <f t="shared" si="27"/>
        <v>661916.82775972039</v>
      </c>
      <c r="AK36" s="1086">
        <f t="shared" si="27"/>
        <v>0</v>
      </c>
      <c r="AL36" s="1086">
        <f t="shared" si="27"/>
        <v>0</v>
      </c>
      <c r="AM36" s="1086">
        <f t="shared" si="27"/>
        <v>0</v>
      </c>
      <c r="AN36" s="1086">
        <f t="shared" si="27"/>
        <v>0</v>
      </c>
      <c r="AO36" s="1086">
        <f t="shared" si="27"/>
        <v>524708.49001859501</v>
      </c>
      <c r="AP36" s="1086">
        <f t="shared" si="27"/>
        <v>0</v>
      </c>
      <c r="AQ36" s="1086">
        <f t="shared" si="27"/>
        <v>0</v>
      </c>
      <c r="AR36" s="1086">
        <f t="shared" si="27"/>
        <v>0</v>
      </c>
      <c r="AS36" s="1086">
        <f t="shared" si="27"/>
        <v>-633488.72686467902</v>
      </c>
      <c r="AT36" s="1086">
        <f t="shared" ref="AT36:BC36" si="28">AT11-AT34</f>
        <v>0</v>
      </c>
      <c r="AU36" s="1086">
        <f t="shared" si="28"/>
        <v>-58360.818566997426</v>
      </c>
      <c r="AV36" s="1086">
        <f t="shared" si="28"/>
        <v>0</v>
      </c>
      <c r="AW36" s="1086">
        <f t="shared" si="28"/>
        <v>0</v>
      </c>
      <c r="AX36" s="1086">
        <f t="shared" si="28"/>
        <v>0</v>
      </c>
      <c r="AY36" s="1086">
        <f t="shared" si="28"/>
        <v>-994621</v>
      </c>
      <c r="AZ36" s="1086">
        <f t="shared" si="28"/>
        <v>0</v>
      </c>
      <c r="BA36" s="1086">
        <f t="shared" si="28"/>
        <v>0</v>
      </c>
      <c r="BB36" s="1086">
        <f t="shared" si="28"/>
        <v>0</v>
      </c>
      <c r="BC36" s="1086">
        <f t="shared" si="28"/>
        <v>-650290.35568108479</v>
      </c>
      <c r="BD36" s="1053"/>
      <c r="CZ36" s="10"/>
    </row>
    <row r="37" spans="1:104" ht="13.5" thickTop="1">
      <c r="A37" s="4">
        <v>31</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32</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33</v>
      </c>
      <c r="B39" s="8" t="s">
        <v>37</v>
      </c>
      <c r="C39" s="1083">
        <f t="shared" ref="C39:C49" si="29">SUM(D39:BC39)</f>
        <v>40737064.294960074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v>0</v>
      </c>
      <c r="AD39" s="1080">
        <v>0</v>
      </c>
      <c r="AE39" s="1080">
        <v>0</v>
      </c>
      <c r="AF39" s="1080">
        <v>0</v>
      </c>
      <c r="AG39" s="1080"/>
      <c r="AH39" s="1080">
        <v>0</v>
      </c>
      <c r="AI39" s="1080">
        <v>0</v>
      </c>
      <c r="AJ39" s="1080">
        <v>0</v>
      </c>
      <c r="AK39" s="1080">
        <v>0</v>
      </c>
      <c r="AL39" s="1080">
        <v>0</v>
      </c>
      <c r="AM39" s="1080">
        <v>0</v>
      </c>
      <c r="AN39" s="1080">
        <v>0</v>
      </c>
      <c r="AO39" s="1080">
        <v>0</v>
      </c>
      <c r="AP39" s="1080">
        <v>0</v>
      </c>
      <c r="AQ39" s="1080">
        <v>0</v>
      </c>
      <c r="AR39" s="1080">
        <v>0</v>
      </c>
      <c r="AS39" s="1080">
        <f>'Adj 8.4 Major Plant Add'!G18</f>
        <v>40424582.27398219</v>
      </c>
      <c r="AT39" s="1080">
        <v>0</v>
      </c>
      <c r="AU39" s="1080">
        <v>0</v>
      </c>
      <c r="AV39" s="1080">
        <v>0</v>
      </c>
      <c r="AW39" s="1080">
        <v>0</v>
      </c>
      <c r="AX39" s="1080">
        <v>0</v>
      </c>
      <c r="AY39" s="1080">
        <v>0</v>
      </c>
      <c r="AZ39" s="1080">
        <v>0</v>
      </c>
      <c r="BA39" s="1080">
        <v>0</v>
      </c>
      <c r="BB39" s="1080">
        <v>0</v>
      </c>
      <c r="BC39" s="1080">
        <f>'Adj 9.1 Prod Factor'!G17</f>
        <v>312482.0209778815</v>
      </c>
      <c r="BD39" s="1053"/>
      <c r="CZ39" s="10"/>
    </row>
    <row r="40" spans="1:104">
      <c r="A40" s="4">
        <v>34</v>
      </c>
      <c r="B40" s="8" t="s">
        <v>38</v>
      </c>
      <c r="C40" s="1083">
        <f t="shared" si="29"/>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35</v>
      </c>
      <c r="B41" s="8" t="s">
        <v>39</v>
      </c>
      <c r="C41" s="1083">
        <f t="shared" si="29"/>
        <v>-202651.71009212057</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c r="AH41" s="1080">
        <v>0</v>
      </c>
      <c r="AI41" s="1080">
        <v>0</v>
      </c>
      <c r="AJ41" s="1080">
        <v>0</v>
      </c>
      <c r="AK41" s="1080">
        <v>0</v>
      </c>
      <c r="AL41" s="1080">
        <v>0</v>
      </c>
      <c r="AM41" s="1080">
        <v>0</v>
      </c>
      <c r="AN41" s="1080">
        <v>0</v>
      </c>
      <c r="AO41" s="1080">
        <v>0</v>
      </c>
      <c r="AP41" s="1080">
        <v>0</v>
      </c>
      <c r="AQ41" s="1080">
        <f>'Adj 8.2 Environ Settlement'!BM18</f>
        <v>0</v>
      </c>
      <c r="AR41" s="1080">
        <v>0</v>
      </c>
      <c r="AS41" s="1080">
        <v>0</v>
      </c>
      <c r="AT41" s="1080">
        <f>786411-786411</f>
        <v>0</v>
      </c>
      <c r="AU41" s="1080">
        <f>'Adj 8.6 Powerdale'!G10+'Adj 8.6 Powerdale'!G11+'Adj 8.6 Powerdale'!G12</f>
        <v>-202651.71009212057</v>
      </c>
      <c r="AV41" s="1080">
        <v>0</v>
      </c>
      <c r="AW41" s="1080">
        <v>0</v>
      </c>
      <c r="AX41" s="1080">
        <v>0</v>
      </c>
      <c r="AY41" s="1080">
        <v>0</v>
      </c>
      <c r="AZ41" s="1080">
        <v>0</v>
      </c>
      <c r="BA41" s="1080">
        <v>0</v>
      </c>
      <c r="BB41" s="1080">
        <v>0</v>
      </c>
      <c r="BC41" s="1080">
        <v>0</v>
      </c>
      <c r="BD41" s="1053"/>
      <c r="CZ41" s="10"/>
    </row>
    <row r="42" spans="1:104">
      <c r="A42" s="4">
        <v>36</v>
      </c>
      <c r="B42" s="8" t="s">
        <v>40</v>
      </c>
      <c r="C42" s="1083">
        <f t="shared" si="29"/>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37</v>
      </c>
      <c r="B43" s="8" t="s">
        <v>41</v>
      </c>
      <c r="C43" s="1083">
        <f t="shared" si="29"/>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38</v>
      </c>
      <c r="B44" s="8" t="s">
        <v>42</v>
      </c>
      <c r="C44" s="1083">
        <f t="shared" si="29"/>
        <v>0</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c r="AH44" s="1080">
        <v>0</v>
      </c>
      <c r="AI44" s="1080">
        <v>0</v>
      </c>
      <c r="AJ44" s="1080">
        <v>0</v>
      </c>
      <c r="AK44" s="1080">
        <v>0</v>
      </c>
      <c r="AL44" s="1080">
        <v>0</v>
      </c>
      <c r="AM44" s="1080">
        <v>0</v>
      </c>
      <c r="AN44" s="1080">
        <v>0</v>
      </c>
      <c r="AO44" s="1080">
        <v>0</v>
      </c>
      <c r="AP44" s="1080">
        <v>0</v>
      </c>
      <c r="AQ44" s="1080">
        <v>0</v>
      </c>
      <c r="AR44" s="1080">
        <v>0</v>
      </c>
      <c r="AS44" s="1080">
        <v>0</v>
      </c>
      <c r="AT44" s="1080">
        <v>0</v>
      </c>
      <c r="AU44" s="1080">
        <v>0</v>
      </c>
      <c r="AV44" s="1080">
        <v>0</v>
      </c>
      <c r="AW44" s="1080">
        <v>0</v>
      </c>
      <c r="AX44" s="1080">
        <v>0</v>
      </c>
      <c r="AY44" s="1080">
        <v>0</v>
      </c>
      <c r="AZ44" s="1080">
        <v>0</v>
      </c>
      <c r="BA44" s="1080">
        <v>0</v>
      </c>
      <c r="BB44" s="1080">
        <v>0</v>
      </c>
      <c r="BC44" s="1080">
        <v>0</v>
      </c>
      <c r="BD44" s="1053"/>
      <c r="CZ44" s="10"/>
    </row>
    <row r="45" spans="1:104">
      <c r="A45" s="4">
        <v>39</v>
      </c>
      <c r="B45" s="8" t="s">
        <v>43</v>
      </c>
      <c r="C45" s="1083">
        <f t="shared" si="29"/>
        <v>0</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c r="AH45" s="1080">
        <v>0</v>
      </c>
      <c r="AI45" s="1080">
        <v>0</v>
      </c>
      <c r="AJ45" s="1080">
        <v>0</v>
      </c>
      <c r="AK45" s="1080">
        <v>0</v>
      </c>
      <c r="AL45" s="1080">
        <v>0</v>
      </c>
      <c r="AM45" s="1080">
        <v>0</v>
      </c>
      <c r="AN45" s="1080">
        <v>0</v>
      </c>
      <c r="AO45" s="1080">
        <v>0</v>
      </c>
      <c r="AP45" s="1080">
        <v>0</v>
      </c>
      <c r="AQ45" s="1080">
        <v>0</v>
      </c>
      <c r="AR45" s="1080">
        <v>0</v>
      </c>
      <c r="AS45" s="1080">
        <v>0</v>
      </c>
      <c r="AT45" s="1080">
        <v>0</v>
      </c>
      <c r="AU45" s="1080">
        <v>0</v>
      </c>
      <c r="AV45" s="1080">
        <v>0</v>
      </c>
      <c r="AW45" s="1080">
        <v>0</v>
      </c>
      <c r="AX45" s="1080">
        <v>0</v>
      </c>
      <c r="AY45" s="1080">
        <v>0</v>
      </c>
      <c r="AZ45" s="1080">
        <v>0</v>
      </c>
      <c r="BA45" s="1080">
        <v>0</v>
      </c>
      <c r="BB45" s="1080">
        <v>0</v>
      </c>
      <c r="BC45" s="1080">
        <v>0</v>
      </c>
      <c r="BD45" s="1053"/>
      <c r="CZ45" s="10"/>
    </row>
    <row r="46" spans="1:104">
      <c r="A46" s="4">
        <v>40</v>
      </c>
      <c r="B46" s="8" t="s">
        <v>44</v>
      </c>
      <c r="C46" s="1083">
        <f t="shared" si="29"/>
        <v>0</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c r="AH46" s="1080">
        <v>0</v>
      </c>
      <c r="AI46" s="1080">
        <v>0</v>
      </c>
      <c r="AJ46" s="1080">
        <v>0</v>
      </c>
      <c r="AK46" s="1080">
        <v>0</v>
      </c>
      <c r="AL46" s="1080">
        <v>0</v>
      </c>
      <c r="AM46" s="1080">
        <v>0</v>
      </c>
      <c r="AN46" s="1080">
        <v>0</v>
      </c>
      <c r="AO46" s="1080">
        <v>0</v>
      </c>
      <c r="AP46" s="1080">
        <v>0</v>
      </c>
      <c r="AQ46" s="1080">
        <v>0</v>
      </c>
      <c r="AR46" s="1080">
        <v>0</v>
      </c>
      <c r="AS46" s="1080">
        <v>0</v>
      </c>
      <c r="AT46" s="1080">
        <f>320111-320111</f>
        <v>0</v>
      </c>
      <c r="AU46" s="1080">
        <v>0</v>
      </c>
      <c r="AV46" s="1080">
        <v>0</v>
      </c>
      <c r="AW46" s="1080">
        <v>0</v>
      </c>
      <c r="AX46" s="1080">
        <v>0</v>
      </c>
      <c r="AY46" s="1080">
        <v>0</v>
      </c>
      <c r="AZ46" s="1080">
        <v>0</v>
      </c>
      <c r="BA46" s="1080">
        <v>0</v>
      </c>
      <c r="BB46" s="1080">
        <v>0</v>
      </c>
      <c r="BC46" s="1080">
        <v>0</v>
      </c>
      <c r="BD46" s="1053"/>
      <c r="CZ46" s="10"/>
    </row>
    <row r="47" spans="1:104">
      <c r="A47" s="4">
        <v>41</v>
      </c>
      <c r="B47" s="8" t="s">
        <v>9</v>
      </c>
      <c r="C47" s="1083">
        <f t="shared" si="29"/>
        <v>0</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c r="AH47" s="1080">
        <v>0</v>
      </c>
      <c r="AI47" s="1080">
        <v>0</v>
      </c>
      <c r="AJ47" s="1080">
        <v>0</v>
      </c>
      <c r="AK47" s="1080">
        <v>0</v>
      </c>
      <c r="AL47" s="1080">
        <v>0</v>
      </c>
      <c r="AM47" s="1080">
        <v>0</v>
      </c>
      <c r="AN47" s="1080">
        <v>0</v>
      </c>
      <c r="AO47" s="1080">
        <v>0</v>
      </c>
      <c r="AP47" s="1080">
        <v>0</v>
      </c>
      <c r="AQ47" s="1080">
        <v>0</v>
      </c>
      <c r="AR47" s="1080">
        <v>0</v>
      </c>
      <c r="AS47" s="1080">
        <v>0</v>
      </c>
      <c r="AT47" s="1080">
        <v>0</v>
      </c>
      <c r="AU47" s="1080">
        <v>0</v>
      </c>
      <c r="AV47" s="1080">
        <v>0</v>
      </c>
      <c r="AW47" s="1080">
        <v>0</v>
      </c>
      <c r="AX47" s="1080">
        <v>0</v>
      </c>
      <c r="AY47" s="1080">
        <v>0</v>
      </c>
      <c r="AZ47" s="1080">
        <v>0</v>
      </c>
      <c r="BA47" s="1080">
        <v>0</v>
      </c>
      <c r="BB47" s="1080"/>
      <c r="BC47" s="1080">
        <v>0</v>
      </c>
      <c r="BD47" s="1053"/>
      <c r="CZ47" s="10"/>
    </row>
    <row r="48" spans="1:104">
      <c r="A48" s="4">
        <v>42</v>
      </c>
      <c r="B48" s="8" t="s">
        <v>45</v>
      </c>
      <c r="C48" s="1083">
        <f t="shared" si="29"/>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43</v>
      </c>
      <c r="B49" s="8" t="s">
        <v>46</v>
      </c>
      <c r="C49" s="1083">
        <f t="shared" si="29"/>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44</v>
      </c>
      <c r="B50" s="1285" t="s">
        <v>47</v>
      </c>
      <c r="C50" s="1088">
        <f t="shared" ref="C50:I50" si="30">SUM(C39:C49)</f>
        <v>40534412.584867954</v>
      </c>
      <c r="D50" s="1082">
        <f t="shared" si="30"/>
        <v>0</v>
      </c>
      <c r="E50" s="1082">
        <f t="shared" si="30"/>
        <v>0</v>
      </c>
      <c r="F50" s="1082">
        <f t="shared" si="30"/>
        <v>0</v>
      </c>
      <c r="G50" s="1082">
        <f t="shared" si="30"/>
        <v>0</v>
      </c>
      <c r="H50" s="1082">
        <f t="shared" si="30"/>
        <v>0</v>
      </c>
      <c r="I50" s="1082">
        <f t="shared" si="30"/>
        <v>0</v>
      </c>
      <c r="J50" s="1082">
        <f>SUM(J39:J49)</f>
        <v>0</v>
      </c>
      <c r="K50" s="1082">
        <f>SUM(K39:K49)</f>
        <v>0</v>
      </c>
      <c r="L50" s="1082">
        <f>SUM(L39:L49)</f>
        <v>0</v>
      </c>
      <c r="M50" s="1082">
        <f t="shared" ref="M50:AC50" si="31">SUM(M39:M49)</f>
        <v>0</v>
      </c>
      <c r="N50" s="1082">
        <f t="shared" si="31"/>
        <v>0</v>
      </c>
      <c r="O50" s="1082">
        <f t="shared" si="31"/>
        <v>0</v>
      </c>
      <c r="P50" s="1082">
        <f>SUM(P39:P49)</f>
        <v>0</v>
      </c>
      <c r="Q50" s="1082">
        <f t="shared" si="31"/>
        <v>0</v>
      </c>
      <c r="R50" s="1082">
        <f t="shared" si="31"/>
        <v>0</v>
      </c>
      <c r="S50" s="1082">
        <f t="shared" si="31"/>
        <v>0</v>
      </c>
      <c r="T50" s="1082">
        <f t="shared" ref="T50:Y50" si="32">SUM(T39:T49)</f>
        <v>0</v>
      </c>
      <c r="U50" s="1082">
        <f t="shared" si="32"/>
        <v>0</v>
      </c>
      <c r="V50" s="1082">
        <f t="shared" si="32"/>
        <v>0</v>
      </c>
      <c r="W50" s="1082">
        <f t="shared" si="32"/>
        <v>0</v>
      </c>
      <c r="X50" s="1082">
        <f>SUM(X39:X49)</f>
        <v>0</v>
      </c>
      <c r="Y50" s="1082">
        <f t="shared" si="32"/>
        <v>0</v>
      </c>
      <c r="Z50" s="1082">
        <f t="shared" si="31"/>
        <v>0</v>
      </c>
      <c r="AA50" s="1082">
        <f t="shared" si="31"/>
        <v>0</v>
      </c>
      <c r="AB50" s="1082">
        <f t="shared" si="31"/>
        <v>0</v>
      </c>
      <c r="AC50" s="1082">
        <f t="shared" si="31"/>
        <v>0</v>
      </c>
      <c r="AD50" s="1082">
        <f t="shared" ref="AD50:AS50" si="33">SUM(AD39:AD49)</f>
        <v>0</v>
      </c>
      <c r="AE50" s="1082">
        <f t="shared" si="33"/>
        <v>0</v>
      </c>
      <c r="AF50" s="1082">
        <f t="shared" si="33"/>
        <v>0</v>
      </c>
      <c r="AG50" s="1082"/>
      <c r="AH50" s="1082">
        <f t="shared" si="33"/>
        <v>0</v>
      </c>
      <c r="AI50" s="1082">
        <f t="shared" si="33"/>
        <v>0</v>
      </c>
      <c r="AJ50" s="1082">
        <f t="shared" si="33"/>
        <v>0</v>
      </c>
      <c r="AK50" s="1082">
        <f t="shared" si="33"/>
        <v>0</v>
      </c>
      <c r="AL50" s="1082">
        <f t="shared" si="33"/>
        <v>0</v>
      </c>
      <c r="AM50" s="1082">
        <f t="shared" si="33"/>
        <v>0</v>
      </c>
      <c r="AN50" s="1082">
        <f t="shared" si="33"/>
        <v>0</v>
      </c>
      <c r="AO50" s="1082">
        <f t="shared" si="33"/>
        <v>0</v>
      </c>
      <c r="AP50" s="1082">
        <f t="shared" si="33"/>
        <v>0</v>
      </c>
      <c r="AQ50" s="1082">
        <f t="shared" si="33"/>
        <v>0</v>
      </c>
      <c r="AR50" s="1082">
        <f t="shared" si="33"/>
        <v>0</v>
      </c>
      <c r="AS50" s="1082">
        <f t="shared" si="33"/>
        <v>40424582.27398219</v>
      </c>
      <c r="AT50" s="1082">
        <f t="shared" ref="AT50:BC50" si="34">SUM(AT39:AT49)</f>
        <v>0</v>
      </c>
      <c r="AU50" s="1082">
        <f t="shared" si="34"/>
        <v>-202651.71009212057</v>
      </c>
      <c r="AV50" s="1082">
        <f t="shared" si="34"/>
        <v>0</v>
      </c>
      <c r="AW50" s="1082">
        <f t="shared" si="34"/>
        <v>0</v>
      </c>
      <c r="AX50" s="1082">
        <f t="shared" si="34"/>
        <v>0</v>
      </c>
      <c r="AY50" s="1082">
        <f t="shared" si="34"/>
        <v>0</v>
      </c>
      <c r="AZ50" s="1082">
        <f t="shared" si="34"/>
        <v>0</v>
      </c>
      <c r="BA50" s="1082">
        <f t="shared" si="34"/>
        <v>0</v>
      </c>
      <c r="BB50" s="1082">
        <f t="shared" si="34"/>
        <v>0</v>
      </c>
      <c r="BC50" s="1082">
        <f t="shared" si="34"/>
        <v>312482.0209778815</v>
      </c>
      <c r="BD50" s="1053"/>
      <c r="CZ50" s="10"/>
    </row>
    <row r="51" spans="1:104">
      <c r="A51" s="4">
        <v>45</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46</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47</v>
      </c>
      <c r="B53" s="8" t="s">
        <v>49</v>
      </c>
      <c r="C53" s="1083">
        <f t="shared" ref="C53:C59" si="35">SUM(D53:BC53)</f>
        <v>-967568.43619991688</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v>0</v>
      </c>
      <c r="AD53" s="1080">
        <f>'Adj 6.1 Hydro Decomm.'!G11</f>
        <v>-196210.48572820838</v>
      </c>
      <c r="AE53" s="1080">
        <v>0</v>
      </c>
      <c r="AF53" s="1080">
        <v>0</v>
      </c>
      <c r="AG53" s="1080"/>
      <c r="AH53" s="1080">
        <v>0</v>
      </c>
      <c r="AI53" s="1080">
        <v>0</v>
      </c>
      <c r="AJ53" s="1080">
        <v>0</v>
      </c>
      <c r="AK53" s="1080">
        <v>0</v>
      </c>
      <c r="AL53" s="1080">
        <v>0</v>
      </c>
      <c r="AM53" s="1080">
        <v>0</v>
      </c>
      <c r="AN53" s="1080">
        <v>0</v>
      </c>
      <c r="AO53" s="1080">
        <v>0</v>
      </c>
      <c r="AP53" s="1080">
        <v>0</v>
      </c>
      <c r="AQ53" s="1080">
        <v>0</v>
      </c>
      <c r="AR53" s="1080">
        <v>0</v>
      </c>
      <c r="AS53" s="1080">
        <f>'Adj 8.4 Major Plant Add'!G28</f>
        <v>-765441.09083951905</v>
      </c>
      <c r="AT53" s="1080">
        <f>'Adj 8.5 Misc. Rate base'!BJ103</f>
        <v>0</v>
      </c>
      <c r="AU53" s="1080">
        <v>0</v>
      </c>
      <c r="AV53" s="1080">
        <v>0</v>
      </c>
      <c r="AW53" s="1080">
        <v>0</v>
      </c>
      <c r="AX53" s="1080">
        <v>0</v>
      </c>
      <c r="AY53" s="1080">
        <v>0</v>
      </c>
      <c r="AZ53" s="1080">
        <v>0</v>
      </c>
      <c r="BA53" s="1080">
        <v>0</v>
      </c>
      <c r="BB53" s="1080">
        <v>0</v>
      </c>
      <c r="BC53" s="1080">
        <f>'Adj 9.1 Prod Factor'!G27</f>
        <v>-5916.859632189482</v>
      </c>
      <c r="BD53" s="1053"/>
      <c r="CZ53" s="10"/>
    </row>
    <row r="54" spans="1:104">
      <c r="A54" s="4">
        <v>48</v>
      </c>
      <c r="B54" s="8" t="s">
        <v>50</v>
      </c>
      <c r="C54" s="1083">
        <f t="shared" si="35"/>
        <v>0</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v>0</v>
      </c>
      <c r="AF54" s="1080">
        <v>0</v>
      </c>
      <c r="AG54" s="1080"/>
      <c r="AH54" s="1080">
        <v>0</v>
      </c>
      <c r="AI54" s="1080">
        <v>0</v>
      </c>
      <c r="AJ54" s="1080">
        <v>0</v>
      </c>
      <c r="AK54" s="1080">
        <v>0</v>
      </c>
      <c r="AL54" s="1080">
        <v>0</v>
      </c>
      <c r="AM54" s="1080">
        <v>0</v>
      </c>
      <c r="AN54" s="1080">
        <v>0</v>
      </c>
      <c r="AO54" s="1080">
        <v>0</v>
      </c>
      <c r="AP54" s="1080">
        <v>0</v>
      </c>
      <c r="AQ54" s="1080">
        <v>0</v>
      </c>
      <c r="AR54" s="1080">
        <v>0</v>
      </c>
      <c r="AS54" s="1080">
        <v>0</v>
      </c>
      <c r="AT54" s="1080">
        <f>'Adj 8.5 Misc. Rate base'!BJ109</f>
        <v>0</v>
      </c>
      <c r="AU54" s="1080">
        <v>0</v>
      </c>
      <c r="AV54" s="1080">
        <v>0</v>
      </c>
      <c r="AW54" s="1080">
        <v>0</v>
      </c>
      <c r="AX54" s="1080">
        <v>0</v>
      </c>
      <c r="AY54" s="1080">
        <v>0</v>
      </c>
      <c r="AZ54" s="1080">
        <v>0</v>
      </c>
      <c r="BA54" s="1080">
        <v>0</v>
      </c>
      <c r="BB54" s="1080">
        <v>0</v>
      </c>
      <c r="BC54" s="1080">
        <v>0</v>
      </c>
      <c r="BD54" s="1053"/>
      <c r="CZ54" s="10"/>
    </row>
    <row r="55" spans="1:104">
      <c r="A55" s="4">
        <v>49</v>
      </c>
      <c r="B55" s="8" t="s">
        <v>51</v>
      </c>
      <c r="C55" s="1083">
        <f t="shared" si="35"/>
        <v>-2143045.1848245496</v>
      </c>
      <c r="D55" s="1080">
        <v>0</v>
      </c>
      <c r="E55" s="1080">
        <v>0</v>
      </c>
      <c r="F55" s="1080">
        <v>0</v>
      </c>
      <c r="G55" s="1080">
        <f>'Adj 3.4 SO2 Emmissions'!G19</f>
        <v>152820.8753697275</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v>0</v>
      </c>
      <c r="AD55" s="1080">
        <f>'Adj 6.1 Hydro Decomm.'!G16</f>
        <v>-16554.633195093058</v>
      </c>
      <c r="AE55" s="1080"/>
      <c r="AF55" s="1080">
        <v>0</v>
      </c>
      <c r="AG55" s="1080"/>
      <c r="AH55" s="1080">
        <v>0</v>
      </c>
      <c r="AI55" s="1080">
        <v>0</v>
      </c>
      <c r="AJ55" s="1080">
        <v>0</v>
      </c>
      <c r="AK55" s="1080">
        <v>0</v>
      </c>
      <c r="AL55" s="1080">
        <v>0</v>
      </c>
      <c r="AM55" s="1080">
        <v>0</v>
      </c>
      <c r="AN55" s="1080">
        <v>0</v>
      </c>
      <c r="AO55" s="1080">
        <v>0</v>
      </c>
      <c r="AP55" s="1080">
        <v>0</v>
      </c>
      <c r="AQ55" s="1080">
        <v>0</v>
      </c>
      <c r="AR55" s="1080">
        <v>0</v>
      </c>
      <c r="AS55" s="1080">
        <f>'Adj 8.4 Major Plant Add'!G45+'Adj 8.4 Major Plant Add'!G50+'Adj 8.4 Major Plant Add'!G55+'Adj 8.4 Major Plant Add'!G60</f>
        <v>-2559875.5288223396</v>
      </c>
      <c r="AT55" s="1080">
        <f>'Adj 8.5 Misc. Rate base'!BJ128</f>
        <v>0</v>
      </c>
      <c r="AU55" s="1080">
        <f>'Adj 8.6 Powerdale'!G25+'Adj 8.6 Powerdale'!G20+'Adj 8.6 Powerdale'!G16</f>
        <v>300351.93966095272</v>
      </c>
      <c r="AV55" s="1080">
        <v>0</v>
      </c>
      <c r="AW55" s="1080">
        <v>0</v>
      </c>
      <c r="AX55" s="1080">
        <v>0</v>
      </c>
      <c r="AY55" s="1080"/>
      <c r="AZ55" s="1080">
        <v>0</v>
      </c>
      <c r="BA55" s="1080">
        <v>0</v>
      </c>
      <c r="BB55" s="1080">
        <v>0</v>
      </c>
      <c r="BC55" s="1080">
        <f>SUM('Adj 9.1 Prod Factor'!G73:G76)</f>
        <v>-19787.837837796913</v>
      </c>
      <c r="BD55" s="1053"/>
      <c r="CZ55" s="10"/>
    </row>
    <row r="56" spans="1:104">
      <c r="A56" s="4">
        <v>50</v>
      </c>
      <c r="B56" s="8" t="s">
        <v>52</v>
      </c>
      <c r="C56" s="1083">
        <f t="shared" si="35"/>
        <v>0</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v>0</v>
      </c>
      <c r="AD56" s="1080"/>
      <c r="AE56" s="1080"/>
      <c r="AF56" s="1080">
        <v>0</v>
      </c>
      <c r="AG56" s="1080"/>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51</v>
      </c>
      <c r="B57" s="8" t="s">
        <v>53</v>
      </c>
      <c r="C57" s="1083">
        <f t="shared" si="35"/>
        <v>0</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c r="AH57" s="1080">
        <v>0</v>
      </c>
      <c r="AI57" s="1080">
        <v>0</v>
      </c>
      <c r="AJ57" s="1080">
        <v>0</v>
      </c>
      <c r="AK57" s="1080">
        <v>0</v>
      </c>
      <c r="AL57" s="1080">
        <v>0</v>
      </c>
      <c r="AM57" s="1080">
        <v>0</v>
      </c>
      <c r="AN57" s="1080">
        <v>0</v>
      </c>
      <c r="AO57" s="1080">
        <v>0</v>
      </c>
      <c r="AP57" s="1080">
        <v>0</v>
      </c>
      <c r="AQ57" s="1080">
        <v>0</v>
      </c>
      <c r="AR57" s="1080">
        <v>0</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52</v>
      </c>
      <c r="B58" s="8" t="s">
        <v>54</v>
      </c>
      <c r="C58" s="1083">
        <f t="shared" si="35"/>
        <v>0</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v>0</v>
      </c>
      <c r="AY58" s="1080">
        <v>0</v>
      </c>
      <c r="AZ58" s="1080">
        <v>0</v>
      </c>
      <c r="BA58" s="1080">
        <v>0</v>
      </c>
      <c r="BB58" s="1080">
        <v>0</v>
      </c>
      <c r="BC58" s="1080">
        <v>0</v>
      </c>
      <c r="BD58" s="1053"/>
      <c r="CZ58" s="10"/>
    </row>
    <row r="59" spans="1:104">
      <c r="A59" s="4">
        <v>53</v>
      </c>
      <c r="B59" s="8" t="s">
        <v>55</v>
      </c>
      <c r="C59" s="1083">
        <f t="shared" si="35"/>
        <v>-402745.59474258736</v>
      </c>
      <c r="D59" s="1080">
        <v>0</v>
      </c>
      <c r="E59" s="1080">
        <v>0</v>
      </c>
      <c r="F59" s="1080">
        <v>0</v>
      </c>
      <c r="G59" s="1080">
        <f>'Adj 3.4 SO2 Emmissions'!G15</f>
        <v>-402745.59474258736</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v>0</v>
      </c>
      <c r="AX59" s="1080">
        <v>0</v>
      </c>
      <c r="AY59" s="1080">
        <v>0</v>
      </c>
      <c r="AZ59" s="1080">
        <v>0</v>
      </c>
      <c r="BA59" s="1080">
        <v>0</v>
      </c>
      <c r="BB59" s="1080">
        <v>0</v>
      </c>
      <c r="BC59" s="1080">
        <v>0</v>
      </c>
      <c r="BD59" s="1053"/>
      <c r="CZ59" s="10"/>
    </row>
    <row r="60" spans="1:104">
      <c r="A60" s="4">
        <v>54</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55</v>
      </c>
      <c r="B61" s="1285" t="s">
        <v>56</v>
      </c>
      <c r="C61" s="1088">
        <f t="shared" ref="C61:I61" si="36">SUM(C53:C60)</f>
        <v>-3513359.2157670539</v>
      </c>
      <c r="D61" s="1082">
        <f t="shared" si="36"/>
        <v>0</v>
      </c>
      <c r="E61" s="1082">
        <f t="shared" si="36"/>
        <v>0</v>
      </c>
      <c r="F61" s="1082">
        <f t="shared" si="36"/>
        <v>0</v>
      </c>
      <c r="G61" s="1082">
        <f t="shared" si="36"/>
        <v>-249924.71937285986</v>
      </c>
      <c r="H61" s="1082">
        <f t="shared" si="36"/>
        <v>0</v>
      </c>
      <c r="I61" s="1082">
        <f t="shared" si="36"/>
        <v>0</v>
      </c>
      <c r="J61" s="1082">
        <f>SUM(J53:J60)</f>
        <v>0</v>
      </c>
      <c r="K61" s="1082">
        <f>SUM(K53:K60)</f>
        <v>0</v>
      </c>
      <c r="L61" s="1082">
        <f>SUM(L53:L60)</f>
        <v>0</v>
      </c>
      <c r="M61" s="1082">
        <f t="shared" ref="M61:AC61" si="37">SUM(M53:M60)</f>
        <v>0</v>
      </c>
      <c r="N61" s="1082">
        <f t="shared" si="37"/>
        <v>0</v>
      </c>
      <c r="O61" s="1082">
        <f t="shared" si="37"/>
        <v>0</v>
      </c>
      <c r="P61" s="1082">
        <f>SUM(P53:P60)</f>
        <v>0</v>
      </c>
      <c r="Q61" s="1082">
        <f t="shared" si="37"/>
        <v>0</v>
      </c>
      <c r="R61" s="1082">
        <f t="shared" si="37"/>
        <v>0</v>
      </c>
      <c r="S61" s="1082">
        <f t="shared" si="37"/>
        <v>0</v>
      </c>
      <c r="T61" s="1082">
        <f t="shared" ref="T61:Y61" si="38">SUM(T53:T60)</f>
        <v>0</v>
      </c>
      <c r="U61" s="1082">
        <f t="shared" si="38"/>
        <v>0</v>
      </c>
      <c r="V61" s="1082">
        <f t="shared" si="38"/>
        <v>0</v>
      </c>
      <c r="W61" s="1082">
        <f t="shared" si="38"/>
        <v>0</v>
      </c>
      <c r="X61" s="1082">
        <f>SUM(X53:X60)</f>
        <v>0</v>
      </c>
      <c r="Y61" s="1082">
        <f t="shared" si="38"/>
        <v>0</v>
      </c>
      <c r="Z61" s="1082">
        <f t="shared" si="37"/>
        <v>0</v>
      </c>
      <c r="AA61" s="1082">
        <f t="shared" si="37"/>
        <v>0</v>
      </c>
      <c r="AB61" s="1082">
        <f t="shared" si="37"/>
        <v>0</v>
      </c>
      <c r="AC61" s="1082">
        <f t="shared" si="37"/>
        <v>0</v>
      </c>
      <c r="AD61" s="1082">
        <f t="shared" ref="AD61:AS61" si="39">SUM(AD53:AD60)</f>
        <v>-212765.11892330143</v>
      </c>
      <c r="AE61" s="1082">
        <f t="shared" si="39"/>
        <v>0</v>
      </c>
      <c r="AF61" s="1082">
        <f t="shared" si="39"/>
        <v>0</v>
      </c>
      <c r="AG61" s="1082"/>
      <c r="AH61" s="1082">
        <f t="shared" si="39"/>
        <v>0</v>
      </c>
      <c r="AI61" s="1082">
        <f t="shared" si="39"/>
        <v>0</v>
      </c>
      <c r="AJ61" s="1082">
        <f t="shared" si="39"/>
        <v>0</v>
      </c>
      <c r="AK61" s="1082">
        <f t="shared" si="39"/>
        <v>0</v>
      </c>
      <c r="AL61" s="1082">
        <f t="shared" si="39"/>
        <v>0</v>
      </c>
      <c r="AM61" s="1082">
        <f t="shared" si="39"/>
        <v>0</v>
      </c>
      <c r="AN61" s="1082">
        <f t="shared" si="39"/>
        <v>0</v>
      </c>
      <c r="AO61" s="1082">
        <f t="shared" si="39"/>
        <v>0</v>
      </c>
      <c r="AP61" s="1082">
        <f t="shared" si="39"/>
        <v>0</v>
      </c>
      <c r="AQ61" s="1082">
        <f t="shared" si="39"/>
        <v>0</v>
      </c>
      <c r="AR61" s="1082">
        <f t="shared" si="39"/>
        <v>0</v>
      </c>
      <c r="AS61" s="1082">
        <f t="shared" si="39"/>
        <v>-3325316.6196618588</v>
      </c>
      <c r="AT61" s="1082">
        <f t="shared" ref="AT61:BC61" si="40">SUM(AT53:AT60)</f>
        <v>0</v>
      </c>
      <c r="AU61" s="1082">
        <f t="shared" si="40"/>
        <v>300351.93966095272</v>
      </c>
      <c r="AV61" s="1082">
        <f t="shared" si="40"/>
        <v>0</v>
      </c>
      <c r="AW61" s="1082">
        <f t="shared" si="40"/>
        <v>0</v>
      </c>
      <c r="AX61" s="1082">
        <f t="shared" si="40"/>
        <v>0</v>
      </c>
      <c r="AY61" s="1082">
        <f t="shared" si="40"/>
        <v>0</v>
      </c>
      <c r="AZ61" s="1082">
        <f t="shared" si="40"/>
        <v>0</v>
      </c>
      <c r="BA61" s="1082">
        <f t="shared" si="40"/>
        <v>0</v>
      </c>
      <c r="BB61" s="1082">
        <f t="shared" si="40"/>
        <v>0</v>
      </c>
      <c r="BC61" s="1082">
        <f t="shared" si="40"/>
        <v>-25704.697469986393</v>
      </c>
      <c r="BD61" s="1053"/>
      <c r="CZ61" s="10"/>
    </row>
    <row r="62" spans="1:104">
      <c r="A62" s="4">
        <v>56</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59</v>
      </c>
      <c r="B63" s="1093" t="s">
        <v>57</v>
      </c>
      <c r="C63" s="1296">
        <f t="shared" ref="C63:I63" si="41">C50+C61</f>
        <v>37021053.369100899</v>
      </c>
      <c r="D63" s="1080">
        <f t="shared" si="41"/>
        <v>0</v>
      </c>
      <c r="E63" s="1080">
        <f t="shared" si="41"/>
        <v>0</v>
      </c>
      <c r="F63" s="1080">
        <f t="shared" si="41"/>
        <v>0</v>
      </c>
      <c r="G63" s="1080">
        <f t="shared" si="41"/>
        <v>-249924.71937285986</v>
      </c>
      <c r="H63" s="1080">
        <f t="shared" si="41"/>
        <v>0</v>
      </c>
      <c r="I63" s="1080">
        <f t="shared" si="41"/>
        <v>0</v>
      </c>
      <c r="J63" s="1080">
        <f>J50+J61</f>
        <v>0</v>
      </c>
      <c r="K63" s="1080">
        <f>K50+K61</f>
        <v>0</v>
      </c>
      <c r="L63" s="1080">
        <f>L50+L61</f>
        <v>0</v>
      </c>
      <c r="M63" s="1080">
        <f t="shared" ref="M63:AC63" si="42">M50+M61</f>
        <v>0</v>
      </c>
      <c r="N63" s="1080">
        <f t="shared" si="42"/>
        <v>0</v>
      </c>
      <c r="O63" s="1080">
        <f t="shared" si="42"/>
        <v>0</v>
      </c>
      <c r="P63" s="1080">
        <f>P50+P61</f>
        <v>0</v>
      </c>
      <c r="Q63" s="1080">
        <f t="shared" si="42"/>
        <v>0</v>
      </c>
      <c r="R63" s="1080">
        <f t="shared" si="42"/>
        <v>0</v>
      </c>
      <c r="S63" s="1080">
        <f t="shared" si="42"/>
        <v>0</v>
      </c>
      <c r="T63" s="1080">
        <f t="shared" ref="T63:Y63" si="43">T50+T61</f>
        <v>0</v>
      </c>
      <c r="U63" s="1080">
        <f t="shared" si="43"/>
        <v>0</v>
      </c>
      <c r="V63" s="1080">
        <f t="shared" si="43"/>
        <v>0</v>
      </c>
      <c r="W63" s="1080">
        <f t="shared" si="43"/>
        <v>0</v>
      </c>
      <c r="X63" s="1080">
        <f>X50+X61</f>
        <v>0</v>
      </c>
      <c r="Y63" s="1080">
        <f t="shared" si="43"/>
        <v>0</v>
      </c>
      <c r="Z63" s="1080">
        <f t="shared" si="42"/>
        <v>0</v>
      </c>
      <c r="AA63" s="1080">
        <f t="shared" si="42"/>
        <v>0</v>
      </c>
      <c r="AB63" s="1080">
        <f t="shared" si="42"/>
        <v>0</v>
      </c>
      <c r="AC63" s="1080">
        <f t="shared" si="42"/>
        <v>0</v>
      </c>
      <c r="AD63" s="1080">
        <f t="shared" ref="AD63:AS63" si="44">AD50+AD61</f>
        <v>-212765.11892330143</v>
      </c>
      <c r="AE63" s="1080">
        <f t="shared" si="44"/>
        <v>0</v>
      </c>
      <c r="AF63" s="1080">
        <f t="shared" si="44"/>
        <v>0</v>
      </c>
      <c r="AG63" s="1080"/>
      <c r="AH63" s="1080">
        <f t="shared" si="44"/>
        <v>0</v>
      </c>
      <c r="AI63" s="1080">
        <f t="shared" si="44"/>
        <v>0</v>
      </c>
      <c r="AJ63" s="1080">
        <f t="shared" si="44"/>
        <v>0</v>
      </c>
      <c r="AK63" s="1080">
        <f t="shared" si="44"/>
        <v>0</v>
      </c>
      <c r="AL63" s="1080">
        <f t="shared" si="44"/>
        <v>0</v>
      </c>
      <c r="AM63" s="1080">
        <f t="shared" si="44"/>
        <v>0</v>
      </c>
      <c r="AN63" s="1080">
        <f t="shared" si="44"/>
        <v>0</v>
      </c>
      <c r="AO63" s="1080">
        <f t="shared" si="44"/>
        <v>0</v>
      </c>
      <c r="AP63" s="1080">
        <f t="shared" si="44"/>
        <v>0</v>
      </c>
      <c r="AQ63" s="1080">
        <f t="shared" si="44"/>
        <v>0</v>
      </c>
      <c r="AR63" s="1080">
        <f t="shared" si="44"/>
        <v>0</v>
      </c>
      <c r="AS63" s="1080">
        <f t="shared" si="44"/>
        <v>37099265.654320329</v>
      </c>
      <c r="AT63" s="1080">
        <f t="shared" ref="AT63:BC63" si="45">AT50+AT61</f>
        <v>0</v>
      </c>
      <c r="AU63" s="1080">
        <f t="shared" si="45"/>
        <v>97700.229568832146</v>
      </c>
      <c r="AV63" s="1080">
        <f t="shared" si="45"/>
        <v>0</v>
      </c>
      <c r="AW63" s="1080">
        <f t="shared" si="45"/>
        <v>0</v>
      </c>
      <c r="AX63" s="1080">
        <f t="shared" si="45"/>
        <v>0</v>
      </c>
      <c r="AY63" s="1080">
        <f t="shared" si="45"/>
        <v>0</v>
      </c>
      <c r="AZ63" s="1080">
        <f t="shared" si="45"/>
        <v>0</v>
      </c>
      <c r="BA63" s="1080">
        <f t="shared" si="45"/>
        <v>0</v>
      </c>
      <c r="BB63" s="1080">
        <f t="shared" si="45"/>
        <v>0</v>
      </c>
      <c r="BC63" s="1080">
        <f t="shared" si="45"/>
        <v>286777.32350789511</v>
      </c>
      <c r="BD63" s="1053"/>
      <c r="CZ63" s="10"/>
    </row>
    <row r="64" spans="1:104" ht="13.5" thickBot="1">
      <c r="A64" s="4">
        <v>60</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61</v>
      </c>
      <c r="B65" s="1094" t="s">
        <v>58</v>
      </c>
      <c r="C65" s="1297" t="s">
        <v>59</v>
      </c>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1298"/>
      <c r="AV65" s="1298"/>
      <c r="AW65" s="1298"/>
      <c r="AX65" s="1298"/>
      <c r="AY65" s="1298"/>
      <c r="AZ65" s="1298"/>
      <c r="BA65" s="1298"/>
      <c r="BB65" s="1298"/>
      <c r="BC65" s="1298"/>
      <c r="CZ65" s="10"/>
    </row>
    <row r="66" spans="1:104">
      <c r="A66" s="6">
        <v>62</v>
      </c>
      <c r="B66" s="20" t="s">
        <v>2</v>
      </c>
      <c r="C66" s="1299" t="s">
        <v>60</v>
      </c>
      <c r="D66" s="1078"/>
      <c r="E66" s="1100"/>
      <c r="F66" s="1078">
        <v>0.35</v>
      </c>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63</v>
      </c>
      <c r="B67" s="681"/>
      <c r="C67" s="1078">
        <f>SUM(D68:BC68)</f>
        <v>-957629.13578219805</v>
      </c>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CZ67" s="10"/>
    </row>
    <row r="68" spans="1:104">
      <c r="A68" s="6">
        <v>64</v>
      </c>
      <c r="B68" s="20" t="s">
        <v>61</v>
      </c>
      <c r="C68" s="1085">
        <f t="shared" ref="C68:AF68" si="46">C11-C24-C26-C27-C28-C33</f>
        <v>-920310.24584627768</v>
      </c>
      <c r="D68" s="1085">
        <f t="shared" si="46"/>
        <v>0</v>
      </c>
      <c r="E68" s="1085">
        <f t="shared" si="46"/>
        <v>0</v>
      </c>
      <c r="F68" s="1085">
        <f t="shared" si="46"/>
        <v>0</v>
      </c>
      <c r="G68" s="1085">
        <f t="shared" si="46"/>
        <v>776048.95839665306</v>
      </c>
      <c r="H68" s="1085">
        <f t="shared" si="46"/>
        <v>0</v>
      </c>
      <c r="I68" s="1085">
        <f t="shared" si="46"/>
        <v>449017</v>
      </c>
      <c r="J68" s="1085">
        <f t="shared" si="46"/>
        <v>41325.822449383042</v>
      </c>
      <c r="K68" s="1085">
        <f t="shared" si="46"/>
        <v>0</v>
      </c>
      <c r="L68" s="1085">
        <f t="shared" si="46"/>
        <v>0</v>
      </c>
      <c r="M68" s="1085">
        <f t="shared" si="46"/>
        <v>0</v>
      </c>
      <c r="N68" s="1085">
        <f t="shared" si="46"/>
        <v>0</v>
      </c>
      <c r="O68" s="1085">
        <f t="shared" si="46"/>
        <v>-1233812.5366109316</v>
      </c>
      <c r="P68" s="1085">
        <f t="shared" si="46"/>
        <v>0</v>
      </c>
      <c r="Q68" s="1085">
        <f t="shared" si="46"/>
        <v>0</v>
      </c>
      <c r="R68" s="1085">
        <f t="shared" si="46"/>
        <v>0</v>
      </c>
      <c r="S68" s="1085">
        <f t="shared" si="46"/>
        <v>-21735.615691779938</v>
      </c>
      <c r="T68" s="1085">
        <f t="shared" si="46"/>
        <v>0</v>
      </c>
      <c r="U68" s="1085">
        <f t="shared" si="46"/>
        <v>0</v>
      </c>
      <c r="V68" s="1085">
        <f t="shared" si="46"/>
        <v>0</v>
      </c>
      <c r="W68" s="1085">
        <f t="shared" si="46"/>
        <v>0</v>
      </c>
      <c r="X68" s="1085">
        <f t="shared" si="46"/>
        <v>0</v>
      </c>
      <c r="Y68" s="1085">
        <f t="shared" si="46"/>
        <v>0</v>
      </c>
      <c r="Z68" s="1085">
        <f t="shared" si="46"/>
        <v>0</v>
      </c>
      <c r="AA68" s="1085">
        <f t="shared" si="46"/>
        <v>908320.56677233428</v>
      </c>
      <c r="AB68" s="1085">
        <f t="shared" si="46"/>
        <v>679898.4167838149</v>
      </c>
      <c r="AC68" s="1085">
        <f t="shared" si="46"/>
        <v>0</v>
      </c>
      <c r="AD68" s="1085">
        <f t="shared" si="46"/>
        <v>0</v>
      </c>
      <c r="AE68" s="1085">
        <f t="shared" si="46"/>
        <v>0</v>
      </c>
      <c r="AF68" s="1085">
        <f t="shared" si="46"/>
        <v>0</v>
      </c>
      <c r="AG68" s="1085"/>
      <c r="AH68" s="1085">
        <f t="shared" ref="AH68:BC68" si="47">AH11-AH24-AH26-AH27-AH28-AH33</f>
        <v>0</v>
      </c>
      <c r="AI68" s="1085">
        <f t="shared" si="47"/>
        <v>0</v>
      </c>
      <c r="AJ68" s="1085">
        <f t="shared" si="47"/>
        <v>0</v>
      </c>
      <c r="AK68" s="1085">
        <f t="shared" si="47"/>
        <v>0</v>
      </c>
      <c r="AL68" s="1085">
        <f t="shared" si="47"/>
        <v>0</v>
      </c>
      <c r="AM68" s="1085">
        <f t="shared" si="47"/>
        <v>0</v>
      </c>
      <c r="AN68" s="1085">
        <f t="shared" si="47"/>
        <v>0</v>
      </c>
      <c r="AO68" s="1085">
        <f t="shared" si="47"/>
        <v>807244.49001859501</v>
      </c>
      <c r="AP68" s="1085">
        <f t="shared" si="47"/>
        <v>0</v>
      </c>
      <c r="AQ68" s="1085">
        <f t="shared" si="47"/>
        <v>0</v>
      </c>
      <c r="AR68" s="1085">
        <f t="shared" si="47"/>
        <v>0</v>
      </c>
      <c r="AS68" s="1085">
        <f t="shared" si="47"/>
        <v>-744845.36788250029</v>
      </c>
      <c r="AT68" s="1085">
        <f t="shared" si="47"/>
        <v>0</v>
      </c>
      <c r="AU68" s="1085">
        <f t="shared" si="47"/>
        <v>-82361.759263031505</v>
      </c>
      <c r="AV68" s="1085">
        <f t="shared" si="47"/>
        <v>0</v>
      </c>
      <c r="AW68" s="1085">
        <f t="shared" si="47"/>
        <v>0</v>
      </c>
      <c r="AX68" s="1085">
        <f t="shared" si="47"/>
        <v>0</v>
      </c>
      <c r="AY68" s="1085">
        <f t="shared" si="47"/>
        <v>-1530186</v>
      </c>
      <c r="AZ68" s="1085">
        <f t="shared" si="47"/>
        <v>0</v>
      </c>
      <c r="BA68" s="1085">
        <f t="shared" si="47"/>
        <v>0</v>
      </c>
      <c r="BB68" s="1085">
        <f t="shared" si="47"/>
        <v>0</v>
      </c>
      <c r="BC68" s="1085">
        <f t="shared" si="47"/>
        <v>-1006543.1107547351</v>
      </c>
      <c r="BD68" s="1053"/>
      <c r="CZ68" s="10"/>
    </row>
    <row r="69" spans="1:104">
      <c r="A69" s="6">
        <v>65</v>
      </c>
      <c r="B69" s="20" t="s">
        <v>62</v>
      </c>
      <c r="C69" s="1300">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66</v>
      </c>
      <c r="B70" s="20" t="s">
        <v>63</v>
      </c>
      <c r="C70" s="1300">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67</v>
      </c>
      <c r="B71" s="20" t="s">
        <v>5</v>
      </c>
      <c r="C71" s="1300">
        <f>SUM(D71:BC71)</f>
        <v>970734.96375973523</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c r="AH71" s="1080">
        <f>'Adj 7.1 Interest True-up'!G30</f>
        <v>970734.96375973523</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68</v>
      </c>
      <c r="B72" s="20" t="s">
        <v>64</v>
      </c>
      <c r="C72" s="1300">
        <f>SUM(D72:BC72)</f>
        <v>549094.19966801419</v>
      </c>
      <c r="D72" s="1080">
        <v>0</v>
      </c>
      <c r="E72" s="1080">
        <v>0</v>
      </c>
      <c r="F72" s="1080">
        <v>0</v>
      </c>
      <c r="G72" s="1080">
        <f>'Adj 3.4 SO2 Emmissions'!G20</f>
        <v>58.417828750555501</v>
      </c>
      <c r="H72" s="1080">
        <v>0</v>
      </c>
      <c r="I72" s="1080">
        <v>0</v>
      </c>
      <c r="J72" s="1080">
        <v>0</v>
      </c>
      <c r="K72" s="1080">
        <v>0</v>
      </c>
      <c r="L72" s="1080">
        <v>0</v>
      </c>
      <c r="M72" s="1080">
        <v>0</v>
      </c>
      <c r="N72" s="1080">
        <v>0</v>
      </c>
      <c r="O72" s="1080">
        <v>0</v>
      </c>
      <c r="P72" s="1080">
        <v>0</v>
      </c>
      <c r="Q72" s="1080">
        <v>0</v>
      </c>
      <c r="R72" s="1080">
        <v>0</v>
      </c>
      <c r="S72" s="1080"/>
      <c r="T72" s="1080">
        <v>0</v>
      </c>
      <c r="U72" s="1080">
        <v>0</v>
      </c>
      <c r="V72" s="1080"/>
      <c r="W72" s="1080">
        <v>0</v>
      </c>
      <c r="X72" s="1080">
        <v>0</v>
      </c>
      <c r="Y72" s="1080"/>
      <c r="Z72" s="1080">
        <v>0</v>
      </c>
      <c r="AA72" s="1080">
        <v>0</v>
      </c>
      <c r="AB72" s="1080">
        <f>AB26</f>
        <v>0</v>
      </c>
      <c r="AC72" s="1080">
        <v>0</v>
      </c>
      <c r="AD72" s="1080">
        <v>0</v>
      </c>
      <c r="AE72" s="1080">
        <v>0</v>
      </c>
      <c r="AF72" s="1080">
        <v>0</v>
      </c>
      <c r="AG72" s="1080"/>
      <c r="AH72" s="1080">
        <v>0</v>
      </c>
      <c r="AI72" s="1080">
        <v>0</v>
      </c>
      <c r="AJ72" s="1080">
        <v>0</v>
      </c>
      <c r="AK72" s="1080">
        <v>0</v>
      </c>
      <c r="AL72" s="1080">
        <v>0</v>
      </c>
      <c r="AM72" s="1080">
        <v>0</v>
      </c>
      <c r="AN72" s="1080">
        <v>0</v>
      </c>
      <c r="AO72" s="1080">
        <v>0</v>
      </c>
      <c r="AP72" s="1080">
        <v>0</v>
      </c>
      <c r="AQ72" s="1080">
        <f>'Adj 8.2 Environ Settlement'!BM24</f>
        <v>0</v>
      </c>
      <c r="AR72" s="1080">
        <v>0</v>
      </c>
      <c r="AS72" s="1080">
        <f>'Adj 8.4 Major Plant Add'!G42+'Adj 8.4 Major Plant Add'!G47+'Adj 8.4 Major Plant Add'!G52+'Adj 8.4 Major Plant Add'!G57</f>
        <v>744845.36788250029</v>
      </c>
      <c r="AT72" s="1080"/>
      <c r="AU72" s="1080">
        <f>'Adj 8.6 Powerdale'!G14+'Adj 8.6 Powerdale'!G23</f>
        <v>-201567.2407369685</v>
      </c>
      <c r="AV72" s="1080">
        <v>0</v>
      </c>
      <c r="AW72" s="1080">
        <v>0</v>
      </c>
      <c r="AX72" s="1080">
        <v>0</v>
      </c>
      <c r="AY72" s="1080">
        <v>0</v>
      </c>
      <c r="AZ72" s="1080">
        <v>0</v>
      </c>
      <c r="BA72" s="1080">
        <v>0</v>
      </c>
      <c r="BB72" s="1080">
        <v>0</v>
      </c>
      <c r="BC72" s="1080">
        <f>SUM('Adj 9.1 Prod Factor'!G61:G64)</f>
        <v>5757.6546937317507</v>
      </c>
      <c r="BD72" s="1053"/>
      <c r="CZ72" s="10"/>
    </row>
    <row r="73" spans="1:104">
      <c r="A73" s="6">
        <v>69</v>
      </c>
      <c r="B73" s="20" t="s">
        <v>65</v>
      </c>
      <c r="C73" s="1301">
        <f>SUM(D73:BC73)</f>
        <v>6718478.7721369304</v>
      </c>
      <c r="D73" s="1080">
        <v>0</v>
      </c>
      <c r="E73" s="1080">
        <v>0</v>
      </c>
      <c r="F73" s="1080">
        <v>0</v>
      </c>
      <c r="G73" s="1080">
        <f>'Adj 3.4 SO2 Emmissions'!G21</f>
        <v>778051.99910408224</v>
      </c>
      <c r="H73" s="1080">
        <v>0</v>
      </c>
      <c r="I73" s="1080">
        <v>0</v>
      </c>
      <c r="J73" s="1080">
        <v>0</v>
      </c>
      <c r="K73" s="1080">
        <v>0</v>
      </c>
      <c r="L73" s="1080">
        <v>0</v>
      </c>
      <c r="M73" s="1080">
        <v>0</v>
      </c>
      <c r="N73" s="1080">
        <v>0</v>
      </c>
      <c r="O73" s="1080">
        <v>0</v>
      </c>
      <c r="P73" s="1080">
        <v>0</v>
      </c>
      <c r="Q73" s="1080">
        <v>0</v>
      </c>
      <c r="R73" s="1080">
        <v>0</v>
      </c>
      <c r="S73" s="1080"/>
      <c r="T73" s="1080">
        <v>0</v>
      </c>
      <c r="U73" s="1080">
        <v>0</v>
      </c>
      <c r="V73" s="1080">
        <v>0</v>
      </c>
      <c r="W73" s="1080">
        <v>0</v>
      </c>
      <c r="X73" s="1080">
        <v>0</v>
      </c>
      <c r="Y73" s="1080"/>
      <c r="Z73" s="1080">
        <v>0</v>
      </c>
      <c r="AA73" s="1080">
        <v>0</v>
      </c>
      <c r="AB73" s="1080">
        <v>0</v>
      </c>
      <c r="AC73" s="1080">
        <v>0</v>
      </c>
      <c r="AD73" s="1080">
        <f>'Adj 6.1 Hydro Decomm.'!G14</f>
        <v>128121.11534020312</v>
      </c>
      <c r="AE73" s="1080"/>
      <c r="AF73" s="1080">
        <f>'Adj 6.1 Hydro Decomm.'!I14</f>
        <v>0</v>
      </c>
      <c r="AG73" s="1080"/>
      <c r="AH73" s="1080">
        <v>0</v>
      </c>
      <c r="AI73" s="1080">
        <v>0</v>
      </c>
      <c r="AJ73" s="1080">
        <v>0</v>
      </c>
      <c r="AK73" s="1080">
        <v>0</v>
      </c>
      <c r="AL73" s="1080">
        <v>0</v>
      </c>
      <c r="AM73" s="1080">
        <v>0</v>
      </c>
      <c r="AN73" s="1080">
        <v>0</v>
      </c>
      <c r="AO73" s="1080">
        <v>0</v>
      </c>
      <c r="AP73" s="1080">
        <v>0</v>
      </c>
      <c r="AQ73" s="1080">
        <f>'Adj 8.2 Environ Settlement'!BM10</f>
        <v>0</v>
      </c>
      <c r="AR73" s="1080">
        <v>0</v>
      </c>
      <c r="AS73" s="1080">
        <f>'Adj 8.4 Major Plant Add'!G43+'Adj 8.4 Major Plant Add'!G48+'Adj 8.4 Major Plant Add'!G53+'Adj 8.4 Major Plant Add'!G58</f>
        <v>5805451.2495891629</v>
      </c>
      <c r="AT73" s="1080">
        <v>0</v>
      </c>
      <c r="AU73" s="1080">
        <f>'Adj 8.6 Powerdale'!G18</f>
        <v>-38021.730055842912</v>
      </c>
      <c r="AV73" s="1080">
        <v>0</v>
      </c>
      <c r="AW73" s="1080">
        <v>0</v>
      </c>
      <c r="AX73" s="1080">
        <v>0</v>
      </c>
      <c r="AY73" s="1080">
        <v>0</v>
      </c>
      <c r="AZ73" s="1080">
        <v>0</v>
      </c>
      <c r="BA73" s="1080">
        <v>0</v>
      </c>
      <c r="BB73" s="1080">
        <v>0</v>
      </c>
      <c r="BC73" s="1080">
        <f>SUM('Adj 9.1 Prod Factor'!G65:G68)</f>
        <v>44876.138159324073</v>
      </c>
      <c r="BD73" s="1053"/>
      <c r="CZ73" s="10"/>
    </row>
    <row r="74" spans="1:104">
      <c r="A74" s="6">
        <v>70</v>
      </c>
      <c r="B74" s="20"/>
      <c r="C74" s="1300"/>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71</v>
      </c>
      <c r="B75" s="20" t="s">
        <v>66</v>
      </c>
      <c r="C75" s="1299">
        <f>+C68-C69-C70-C71+C72-C73</f>
        <v>-8060429.7820749292</v>
      </c>
      <c r="D75" s="1299">
        <f t="shared" ref="D75:I75" si="48">D68-D70-D71+D72-D73</f>
        <v>0</v>
      </c>
      <c r="E75" s="1299">
        <f t="shared" si="48"/>
        <v>0</v>
      </c>
      <c r="F75" s="1299">
        <f t="shared" si="48"/>
        <v>0</v>
      </c>
      <c r="G75" s="1299">
        <f t="shared" si="48"/>
        <v>-1944.6228786786087</v>
      </c>
      <c r="H75" s="1299">
        <f t="shared" si="48"/>
        <v>0</v>
      </c>
      <c r="I75" s="1299">
        <f t="shared" si="48"/>
        <v>449017</v>
      </c>
      <c r="J75" s="1299">
        <f>J68-J70-J71+J72-J73</f>
        <v>41325.822449383042</v>
      </c>
      <c r="K75" s="1299">
        <f>K68-K70-K71+K72-K73</f>
        <v>0</v>
      </c>
      <c r="L75" s="1299">
        <f>L68-L70-L71+L72-L73</f>
        <v>0</v>
      </c>
      <c r="M75" s="1299">
        <f t="shared" ref="M75:AC75" si="49">M68-M70-M71+M72-M73</f>
        <v>0</v>
      </c>
      <c r="N75" s="1299">
        <f t="shared" si="49"/>
        <v>0</v>
      </c>
      <c r="O75" s="1299">
        <f t="shared" si="49"/>
        <v>-1233812.5366109316</v>
      </c>
      <c r="P75" s="1299">
        <f>P68-P70-P71+P72-P73</f>
        <v>0</v>
      </c>
      <c r="Q75" s="1299">
        <f t="shared" si="49"/>
        <v>0</v>
      </c>
      <c r="R75" s="1299">
        <f t="shared" si="49"/>
        <v>0</v>
      </c>
      <c r="S75" s="1299">
        <f t="shared" si="49"/>
        <v>-21735.615691779938</v>
      </c>
      <c r="T75" s="1299">
        <f t="shared" ref="T75:Y75" si="50">T68-T70-T71+T72-T73</f>
        <v>0</v>
      </c>
      <c r="U75" s="1299">
        <f t="shared" si="50"/>
        <v>0</v>
      </c>
      <c r="V75" s="1299">
        <f t="shared" si="50"/>
        <v>0</v>
      </c>
      <c r="W75" s="1299">
        <f t="shared" si="50"/>
        <v>0</v>
      </c>
      <c r="X75" s="1299">
        <f>X68-X70-X71+X72-X73</f>
        <v>0</v>
      </c>
      <c r="Y75" s="1299">
        <f t="shared" si="50"/>
        <v>0</v>
      </c>
      <c r="Z75" s="1299">
        <f t="shared" si="49"/>
        <v>0</v>
      </c>
      <c r="AA75" s="1299">
        <f t="shared" si="49"/>
        <v>908320.56677233428</v>
      </c>
      <c r="AB75" s="1299">
        <f t="shared" si="49"/>
        <v>679898.4167838149</v>
      </c>
      <c r="AC75" s="1299">
        <f t="shared" si="49"/>
        <v>0</v>
      </c>
      <c r="AD75" s="1299">
        <f t="shared" ref="AD75:AS75" si="51">AD68-AD70-AD71+AD72-AD73</f>
        <v>-128121.11534020312</v>
      </c>
      <c r="AE75" s="1299">
        <f t="shared" si="51"/>
        <v>0</v>
      </c>
      <c r="AF75" s="1299">
        <f t="shared" si="51"/>
        <v>0</v>
      </c>
      <c r="AG75" s="1299"/>
      <c r="AH75" s="1299">
        <f t="shared" si="51"/>
        <v>-970734.96375973523</v>
      </c>
      <c r="AI75" s="1299">
        <f t="shared" si="51"/>
        <v>0</v>
      </c>
      <c r="AJ75" s="1299">
        <f t="shared" si="51"/>
        <v>0</v>
      </c>
      <c r="AK75" s="1299">
        <f t="shared" si="51"/>
        <v>0</v>
      </c>
      <c r="AL75" s="1299">
        <f t="shared" si="51"/>
        <v>0</v>
      </c>
      <c r="AM75" s="1299">
        <f t="shared" si="51"/>
        <v>0</v>
      </c>
      <c r="AN75" s="1299">
        <f t="shared" si="51"/>
        <v>0</v>
      </c>
      <c r="AO75" s="1299">
        <f t="shared" si="51"/>
        <v>807244.49001859501</v>
      </c>
      <c r="AP75" s="1299">
        <f t="shared" si="51"/>
        <v>0</v>
      </c>
      <c r="AQ75" s="1299">
        <f t="shared" si="51"/>
        <v>0</v>
      </c>
      <c r="AR75" s="1299">
        <f t="shared" si="51"/>
        <v>0</v>
      </c>
      <c r="AS75" s="1299">
        <f t="shared" si="51"/>
        <v>-5805451.2495891629</v>
      </c>
      <c r="AT75" s="1299">
        <f t="shared" ref="AT75:AY75" si="52">AT68-AT70-AT71+AT72-AT73</f>
        <v>0</v>
      </c>
      <c r="AU75" s="1299">
        <f t="shared" si="52"/>
        <v>-245907.2699441571</v>
      </c>
      <c r="AV75" s="1299">
        <f t="shared" si="52"/>
        <v>0</v>
      </c>
      <c r="AW75" s="1299">
        <f t="shared" si="52"/>
        <v>0</v>
      </c>
      <c r="AX75" s="1299">
        <f t="shared" si="52"/>
        <v>0</v>
      </c>
      <c r="AY75" s="1299">
        <f t="shared" si="52"/>
        <v>-1530186</v>
      </c>
      <c r="AZ75" s="1299">
        <f>AZ68-AZ70-AZ71+AZ72-AZ73</f>
        <v>0</v>
      </c>
      <c r="BA75" s="1299">
        <f>BA68-BA70-BA71+BA72-BA73</f>
        <v>0</v>
      </c>
      <c r="BB75" s="1299">
        <f>BB68-BB70-BB71+BB72-BB73</f>
        <v>0</v>
      </c>
      <c r="BC75" s="1299">
        <f>BC68-BC70-BC71+BC72-BC73</f>
        <v>-1045661.5942203273</v>
      </c>
      <c r="BD75" s="1096">
        <f>BD68-BD70-BD71+BD72-BD73</f>
        <v>0</v>
      </c>
      <c r="CZ75" s="10"/>
    </row>
    <row r="76" spans="1:104">
      <c r="A76" s="6">
        <v>72</v>
      </c>
      <c r="B76" s="20" t="s">
        <v>67</v>
      </c>
      <c r="C76" s="1300">
        <f>SUM(E76:BC76)</f>
        <v>0</v>
      </c>
      <c r="D76" s="1085">
        <f>D75*'Adjustments - restating'!$E$65</f>
        <v>0</v>
      </c>
      <c r="E76" s="1085">
        <f>E75*'Adjustments - restating'!$E$65</f>
        <v>0</v>
      </c>
      <c r="F76" s="1085">
        <f>F75*'Adjustments - restating'!$E$65</f>
        <v>0</v>
      </c>
      <c r="G76" s="1085">
        <f>G75*'Adjustments - restating'!$E$65</f>
        <v>0</v>
      </c>
      <c r="H76" s="1085">
        <f>H75*'Adjustments - restating'!$E$65</f>
        <v>0</v>
      </c>
      <c r="I76" s="1085">
        <f>I75*'Adjustments - restating'!$E$65</f>
        <v>0</v>
      </c>
      <c r="J76" s="1085">
        <f>J75*'Adjustments - restating'!$E$65</f>
        <v>0</v>
      </c>
      <c r="K76" s="1085">
        <f>K75*'Adjustments - restating'!$E$65</f>
        <v>0</v>
      </c>
      <c r="L76" s="1085">
        <f>L75*'Adjustments - restating'!$E$65</f>
        <v>0</v>
      </c>
      <c r="M76" s="1085">
        <f>M75*'Adjustments - restating'!$E$65</f>
        <v>0</v>
      </c>
      <c r="N76" s="1085">
        <f>N75*'Adjustments - restating'!$E$65</f>
        <v>0</v>
      </c>
      <c r="O76" s="1085">
        <f>O75*'Adjustments - restating'!$E$65</f>
        <v>0</v>
      </c>
      <c r="P76" s="1085">
        <f>P75*'Adjustments - restating'!$E$65</f>
        <v>0</v>
      </c>
      <c r="Q76" s="1085">
        <f>Q75*'Adjustments - restating'!$E$65</f>
        <v>0</v>
      </c>
      <c r="R76" s="1085">
        <f>R75*'Adjustments - restating'!$E$65</f>
        <v>0</v>
      </c>
      <c r="S76" s="1085">
        <f>S75*'Adjustments - restating'!$E$65</f>
        <v>0</v>
      </c>
      <c r="T76" s="1085">
        <f>T75*'Adjustments - restating'!$E$65</f>
        <v>0</v>
      </c>
      <c r="U76" s="1085">
        <f>U75*'Adjustments - restating'!$E$65</f>
        <v>0</v>
      </c>
      <c r="V76" s="1085">
        <f>V75*'Adjustments - restating'!$E$65</f>
        <v>0</v>
      </c>
      <c r="W76" s="1085">
        <f>W75*'Adjustments - restating'!$E$65</f>
        <v>0</v>
      </c>
      <c r="X76" s="1085">
        <f>X75*'Adjustments - restating'!$E$65</f>
        <v>0</v>
      </c>
      <c r="Y76" s="1085">
        <f>Y75*'Adjustments - restating'!$E$65</f>
        <v>0</v>
      </c>
      <c r="Z76" s="1085">
        <f>Z75*'Adjustments - restating'!$E$65</f>
        <v>0</v>
      </c>
      <c r="AA76" s="1085">
        <f>AA75*'Adjustments - restating'!$E$65</f>
        <v>0</v>
      </c>
      <c r="AB76" s="1085">
        <f>AB75*'Adjustments - restating'!$E$65</f>
        <v>0</v>
      </c>
      <c r="AC76" s="1085">
        <f>AC75*'Adjustments - restating'!$E$65</f>
        <v>0</v>
      </c>
      <c r="AD76" s="1085">
        <f>AD75*'Adjustments - restating'!$E$65</f>
        <v>0</v>
      </c>
      <c r="AE76" s="1085">
        <f>AE75*'Adjustments - restating'!$E$65</f>
        <v>0</v>
      </c>
      <c r="AF76" s="1085">
        <f>AF75*'Adjustments - restating'!$E$65</f>
        <v>0</v>
      </c>
      <c r="AG76" s="1085"/>
      <c r="AH76" s="1085">
        <f>AH75*'Adjustments - restating'!$E$65</f>
        <v>0</v>
      </c>
      <c r="AI76" s="1085">
        <f>AI75*'Adjustments - restating'!$E$65</f>
        <v>0</v>
      </c>
      <c r="AJ76" s="1085">
        <f>AJ75*'Adjustments - restating'!$E$65</f>
        <v>0</v>
      </c>
      <c r="AK76" s="1085">
        <f>AK75*'Adjustments - restating'!$E$65</f>
        <v>0</v>
      </c>
      <c r="AL76" s="1085">
        <f>AL75*'Adjustments - restating'!$E$65</f>
        <v>0</v>
      </c>
      <c r="AM76" s="1085">
        <f>AM75*'Adjustments - restating'!$E$65</f>
        <v>0</v>
      </c>
      <c r="AN76" s="1085">
        <f>AN75*'Adjustments - restating'!$E$65</f>
        <v>0</v>
      </c>
      <c r="AO76" s="1085">
        <f>AO75*'Adjustments - restating'!$E$65</f>
        <v>0</v>
      </c>
      <c r="AP76" s="1085">
        <f>AP75*'Adjustments - restating'!$E$65</f>
        <v>0</v>
      </c>
      <c r="AQ76" s="1085">
        <f>AQ75*'Adjustments - restating'!$E$65</f>
        <v>0</v>
      </c>
      <c r="AR76" s="1085">
        <f>AR75*'Adjustments - restating'!$E$65</f>
        <v>0</v>
      </c>
      <c r="AS76" s="1085">
        <f>AS75*'Adjustments - restating'!$E$65</f>
        <v>0</v>
      </c>
      <c r="AT76" s="1085">
        <f>AT75*'Adjustments - restating'!$E$65</f>
        <v>0</v>
      </c>
      <c r="AU76" s="1085">
        <f>AU75*'Adjustments - restating'!$E$65</f>
        <v>0</v>
      </c>
      <c r="AV76" s="1085">
        <f>AV75*'Adjustments - restating'!$E$65</f>
        <v>0</v>
      </c>
      <c r="AW76" s="1085">
        <f>AW75*'Adjustments - restating'!$E$65</f>
        <v>0</v>
      </c>
      <c r="AX76" s="1085">
        <f>AX75*'Adjustments - restating'!$E$65</f>
        <v>0</v>
      </c>
      <c r="AY76" s="1085">
        <f>AY75*'Adjustments - restating'!$E$65</f>
        <v>0</v>
      </c>
      <c r="AZ76" s="1085">
        <f>AZ75*'Adjustments - restating'!$E$65</f>
        <v>0</v>
      </c>
      <c r="BA76" s="1085">
        <f>BA75*'Adjustments - restating'!$E$65</f>
        <v>0</v>
      </c>
      <c r="BB76" s="1085">
        <f>BB75*'Adjustments - restating'!$E$65</f>
        <v>0</v>
      </c>
      <c r="BC76" s="1085">
        <f>BC75*'Adjustments - restating'!$E$65</f>
        <v>0</v>
      </c>
      <c r="BD76" s="1053"/>
      <c r="CZ76" s="10"/>
    </row>
    <row r="77" spans="1:104">
      <c r="A77" s="6">
        <v>73</v>
      </c>
      <c r="B77" s="20" t="s">
        <v>68</v>
      </c>
      <c r="C77" s="1088">
        <f t="shared" ref="C77:I77" si="53">C75-C76</f>
        <v>-8060429.7820749292</v>
      </c>
      <c r="D77" s="1082">
        <f t="shared" si="53"/>
        <v>0</v>
      </c>
      <c r="E77" s="1082">
        <f t="shared" si="53"/>
        <v>0</v>
      </c>
      <c r="F77" s="1082">
        <f t="shared" si="53"/>
        <v>0</v>
      </c>
      <c r="G77" s="1082">
        <f t="shared" si="53"/>
        <v>-1944.6228786786087</v>
      </c>
      <c r="H77" s="1082">
        <f t="shared" si="53"/>
        <v>0</v>
      </c>
      <c r="I77" s="1082">
        <f t="shared" si="53"/>
        <v>449017</v>
      </c>
      <c r="J77" s="1082">
        <f>J75-J76</f>
        <v>41325.822449383042</v>
      </c>
      <c r="K77" s="1082">
        <f>K75-K76</f>
        <v>0</v>
      </c>
      <c r="L77" s="1082">
        <f>L75-L76</f>
        <v>0</v>
      </c>
      <c r="M77" s="1082">
        <f t="shared" ref="M77:AC77" si="54">M75-M76</f>
        <v>0</v>
      </c>
      <c r="N77" s="1082">
        <f t="shared" si="54"/>
        <v>0</v>
      </c>
      <c r="O77" s="1082">
        <f t="shared" si="54"/>
        <v>-1233812.5366109316</v>
      </c>
      <c r="P77" s="1082">
        <f>P75-P76</f>
        <v>0</v>
      </c>
      <c r="Q77" s="1082">
        <f t="shared" si="54"/>
        <v>0</v>
      </c>
      <c r="R77" s="1082">
        <f t="shared" si="54"/>
        <v>0</v>
      </c>
      <c r="S77" s="1082">
        <f t="shared" si="54"/>
        <v>-21735.615691779938</v>
      </c>
      <c r="T77" s="1082">
        <f t="shared" ref="T77:Y77" si="55">T75-T76</f>
        <v>0</v>
      </c>
      <c r="U77" s="1082">
        <f t="shared" si="55"/>
        <v>0</v>
      </c>
      <c r="V77" s="1082">
        <f t="shared" si="55"/>
        <v>0</v>
      </c>
      <c r="W77" s="1082">
        <f t="shared" si="55"/>
        <v>0</v>
      </c>
      <c r="X77" s="1082">
        <f>X75-X76</f>
        <v>0</v>
      </c>
      <c r="Y77" s="1082">
        <f t="shared" si="55"/>
        <v>0</v>
      </c>
      <c r="Z77" s="1082">
        <f t="shared" si="54"/>
        <v>0</v>
      </c>
      <c r="AA77" s="1082">
        <f t="shared" si="54"/>
        <v>908320.56677233428</v>
      </c>
      <c r="AB77" s="1082">
        <f t="shared" si="54"/>
        <v>679898.4167838149</v>
      </c>
      <c r="AC77" s="1082">
        <f t="shared" si="54"/>
        <v>0</v>
      </c>
      <c r="AD77" s="1082">
        <f t="shared" ref="AD77:AS77" si="56">AD75-AD76</f>
        <v>-128121.11534020312</v>
      </c>
      <c r="AE77" s="1082">
        <f t="shared" si="56"/>
        <v>0</v>
      </c>
      <c r="AF77" s="1082">
        <f t="shared" si="56"/>
        <v>0</v>
      </c>
      <c r="AG77" s="1082"/>
      <c r="AH77" s="1082">
        <f t="shared" si="56"/>
        <v>-970734.96375973523</v>
      </c>
      <c r="AI77" s="1082">
        <f t="shared" si="56"/>
        <v>0</v>
      </c>
      <c r="AJ77" s="1082">
        <f t="shared" si="56"/>
        <v>0</v>
      </c>
      <c r="AK77" s="1082">
        <f t="shared" si="56"/>
        <v>0</v>
      </c>
      <c r="AL77" s="1082">
        <f t="shared" si="56"/>
        <v>0</v>
      </c>
      <c r="AM77" s="1082">
        <f t="shared" si="56"/>
        <v>0</v>
      </c>
      <c r="AN77" s="1082">
        <f t="shared" si="56"/>
        <v>0</v>
      </c>
      <c r="AO77" s="1082">
        <f t="shared" si="56"/>
        <v>807244.49001859501</v>
      </c>
      <c r="AP77" s="1082">
        <f t="shared" si="56"/>
        <v>0</v>
      </c>
      <c r="AQ77" s="1082">
        <f t="shared" si="56"/>
        <v>0</v>
      </c>
      <c r="AR77" s="1082">
        <f t="shared" si="56"/>
        <v>0</v>
      </c>
      <c r="AS77" s="1082">
        <f t="shared" si="56"/>
        <v>-5805451.2495891629</v>
      </c>
      <c r="AT77" s="1082">
        <f t="shared" ref="AT77:BC77" si="57">AT75-AT76</f>
        <v>0</v>
      </c>
      <c r="AU77" s="1082">
        <f t="shared" si="57"/>
        <v>-245907.2699441571</v>
      </c>
      <c r="AV77" s="1082">
        <f t="shared" si="57"/>
        <v>0</v>
      </c>
      <c r="AW77" s="1082">
        <f t="shared" si="57"/>
        <v>0</v>
      </c>
      <c r="AX77" s="1082">
        <f t="shared" si="57"/>
        <v>0</v>
      </c>
      <c r="AY77" s="1082">
        <f t="shared" si="57"/>
        <v>-1530186</v>
      </c>
      <c r="AZ77" s="1082">
        <f t="shared" si="57"/>
        <v>0</v>
      </c>
      <c r="BA77" s="1082">
        <f t="shared" si="57"/>
        <v>0</v>
      </c>
      <c r="BB77" s="1082">
        <f t="shared" si="57"/>
        <v>0</v>
      </c>
      <c r="BC77" s="1082">
        <f t="shared" si="57"/>
        <v>-1045661.5942203273</v>
      </c>
      <c r="BD77" s="1053"/>
      <c r="CZ77" s="10"/>
    </row>
    <row r="78" spans="1:104">
      <c r="A78" s="6">
        <v>74</v>
      </c>
      <c r="B78" s="20" t="s">
        <v>480</v>
      </c>
      <c r="C78" s="1088">
        <f>ROUND(C77*$F$66,0)</f>
        <v>-2821150</v>
      </c>
      <c r="D78" s="1088">
        <f t="shared" ref="D78:BC78" si="58">ROUND(D77*$F$66,0)</f>
        <v>0</v>
      </c>
      <c r="E78" s="1088">
        <f t="shared" si="58"/>
        <v>0</v>
      </c>
      <c r="F78" s="1088">
        <f t="shared" si="58"/>
        <v>0</v>
      </c>
      <c r="G78" s="1088">
        <f t="shared" si="58"/>
        <v>-681</v>
      </c>
      <c r="H78" s="1088">
        <f t="shared" si="58"/>
        <v>0</v>
      </c>
      <c r="I78" s="1088">
        <f t="shared" si="58"/>
        <v>157156</v>
      </c>
      <c r="J78" s="1088">
        <f t="shared" si="58"/>
        <v>14464</v>
      </c>
      <c r="K78" s="1088">
        <f>ROUND(K77*$F$66,0)</f>
        <v>0</v>
      </c>
      <c r="L78" s="1088">
        <f>ROUND(L77*$F$66,0)</f>
        <v>0</v>
      </c>
      <c r="M78" s="1088">
        <f t="shared" si="58"/>
        <v>0</v>
      </c>
      <c r="N78" s="1088">
        <f t="shared" si="58"/>
        <v>0</v>
      </c>
      <c r="O78" s="1088">
        <f t="shared" si="58"/>
        <v>-431834</v>
      </c>
      <c r="P78" s="1088">
        <f>ROUND(P77*$F$66,0)</f>
        <v>0</v>
      </c>
      <c r="Q78" s="1088">
        <f t="shared" si="58"/>
        <v>0</v>
      </c>
      <c r="R78" s="1088">
        <f t="shared" si="58"/>
        <v>0</v>
      </c>
      <c r="S78" s="1088">
        <f t="shared" si="58"/>
        <v>-7607</v>
      </c>
      <c r="T78" s="1088">
        <f t="shared" si="58"/>
        <v>0</v>
      </c>
      <c r="U78" s="1088">
        <f t="shared" si="58"/>
        <v>0</v>
      </c>
      <c r="V78" s="1088">
        <f t="shared" si="58"/>
        <v>0</v>
      </c>
      <c r="W78" s="1088">
        <f t="shared" si="58"/>
        <v>0</v>
      </c>
      <c r="X78" s="1088">
        <f>ROUND(X77*$F$66,0)</f>
        <v>0</v>
      </c>
      <c r="Y78" s="1088">
        <f t="shared" si="58"/>
        <v>0</v>
      </c>
      <c r="Z78" s="1088">
        <f t="shared" si="58"/>
        <v>0</v>
      </c>
      <c r="AA78" s="1088">
        <f t="shared" si="58"/>
        <v>317912</v>
      </c>
      <c r="AB78" s="1088">
        <f t="shared" si="58"/>
        <v>237964</v>
      </c>
      <c r="AC78" s="1088">
        <f t="shared" si="58"/>
        <v>0</v>
      </c>
      <c r="AD78" s="1088">
        <f t="shared" si="58"/>
        <v>-44842</v>
      </c>
      <c r="AE78" s="1088">
        <f>ROUND(AE77*$F$66,0)</f>
        <v>0</v>
      </c>
      <c r="AF78" s="1088">
        <f>ROUND(AF77*$F$66,0)</f>
        <v>0</v>
      </c>
      <c r="AG78" s="1088"/>
      <c r="AH78" s="1088">
        <f t="shared" si="58"/>
        <v>-339757</v>
      </c>
      <c r="AI78" s="1088">
        <f t="shared" ref="AI78:AO78" si="59">ROUND(AI77*$F$66,0)</f>
        <v>0</v>
      </c>
      <c r="AJ78" s="1088">
        <f t="shared" si="59"/>
        <v>0</v>
      </c>
      <c r="AK78" s="1088">
        <f t="shared" si="59"/>
        <v>0</v>
      </c>
      <c r="AL78" s="1088">
        <f t="shared" si="59"/>
        <v>0</v>
      </c>
      <c r="AM78" s="1088">
        <f t="shared" si="59"/>
        <v>0</v>
      </c>
      <c r="AN78" s="1088">
        <f t="shared" si="59"/>
        <v>0</v>
      </c>
      <c r="AO78" s="1088">
        <f t="shared" si="59"/>
        <v>282536</v>
      </c>
      <c r="AP78" s="1088">
        <f t="shared" si="58"/>
        <v>0</v>
      </c>
      <c r="AQ78" s="1088">
        <f t="shared" si="58"/>
        <v>0</v>
      </c>
      <c r="AR78" s="1088">
        <f t="shared" si="58"/>
        <v>0</v>
      </c>
      <c r="AS78" s="1088">
        <f>ROUND(AS77*$F$66,0)</f>
        <v>-2031908</v>
      </c>
      <c r="AT78" s="1088">
        <f>ROUND(AT77*$F$66,0)</f>
        <v>0</v>
      </c>
      <c r="AU78" s="1088">
        <f>ROUND(AU77*$F$66,0)</f>
        <v>-86068</v>
      </c>
      <c r="AV78" s="1088">
        <f t="shared" si="58"/>
        <v>0</v>
      </c>
      <c r="AW78" s="1088">
        <f>ROUND(AW77*$F$66,0)</f>
        <v>0</v>
      </c>
      <c r="AX78" s="1088">
        <f>ROUND(AX77*$F$66,0)</f>
        <v>0</v>
      </c>
      <c r="AY78" s="1088">
        <f>ROUND(AY77*$F$66,0)</f>
        <v>-535565</v>
      </c>
      <c r="AZ78" s="1088">
        <f>ROUND(AZ77*$F$66,0)</f>
        <v>0</v>
      </c>
      <c r="BA78" s="1088">
        <f>ROUND(BA77*$F$66,0)</f>
        <v>0</v>
      </c>
      <c r="BB78" s="1088">
        <f t="shared" si="58"/>
        <v>0</v>
      </c>
      <c r="BC78" s="1088">
        <f t="shared" si="58"/>
        <v>-365982</v>
      </c>
      <c r="BD78" s="1053"/>
      <c r="CZ78" s="10"/>
    </row>
    <row r="79" spans="1:104">
      <c r="A79" s="6">
        <v>75</v>
      </c>
      <c r="B79" s="20" t="s">
        <v>424</v>
      </c>
      <c r="C79" s="1300">
        <f>SUM(E79:BC79)</f>
        <v>-667033.44483830314</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f>'Adj 7.3 Renewable Tax Credit'!G9+'Adj 7.3 Renewable Tax Credit'!G12</f>
        <v>-661916.82775972039</v>
      </c>
      <c r="AK79" s="1080"/>
      <c r="AL79" s="1080"/>
      <c r="AM79" s="1080"/>
      <c r="AN79" s="1080"/>
      <c r="AO79" s="1080"/>
      <c r="AP79" s="1080"/>
      <c r="AQ79" s="1080"/>
      <c r="AR79" s="1080"/>
      <c r="AS79" s="1080"/>
      <c r="AT79" s="1080"/>
      <c r="AU79" s="1080"/>
      <c r="AV79" s="1080"/>
      <c r="AW79" s="1080"/>
      <c r="AX79" s="1080"/>
      <c r="AY79" s="1080"/>
      <c r="AZ79" s="1080"/>
      <c r="BA79" s="1080"/>
      <c r="BB79" s="1080"/>
      <c r="BC79" s="1080">
        <f>'Adj 9.1 Prod Factor'!G57</f>
        <v>-5116.6170785827562</v>
      </c>
      <c r="BD79" s="1053"/>
      <c r="CZ79" s="10"/>
    </row>
    <row r="80" spans="1:104" ht="13.5" thickBot="1">
      <c r="A80" s="1236"/>
      <c r="B80" s="1098" t="s">
        <v>69</v>
      </c>
      <c r="C80" s="1292">
        <f>+C78+C79</f>
        <v>-3488183.4448383031</v>
      </c>
      <c r="D80" s="1292">
        <f t="shared" ref="D80:AD80" si="60">+D78+D79</f>
        <v>0</v>
      </c>
      <c r="E80" s="1292">
        <f t="shared" si="60"/>
        <v>0</v>
      </c>
      <c r="F80" s="1292">
        <f t="shared" si="60"/>
        <v>0</v>
      </c>
      <c r="G80" s="1292">
        <f t="shared" si="60"/>
        <v>-681</v>
      </c>
      <c r="H80" s="1292">
        <f t="shared" si="60"/>
        <v>0</v>
      </c>
      <c r="I80" s="1292">
        <f t="shared" si="60"/>
        <v>157156</v>
      </c>
      <c r="J80" s="1292">
        <f t="shared" si="60"/>
        <v>14464</v>
      </c>
      <c r="K80" s="1292">
        <f t="shared" si="60"/>
        <v>0</v>
      </c>
      <c r="L80" s="1292">
        <f>+L78+L79</f>
        <v>0</v>
      </c>
      <c r="M80" s="1292">
        <f t="shared" si="60"/>
        <v>0</v>
      </c>
      <c r="N80" s="1292">
        <f t="shared" si="60"/>
        <v>0</v>
      </c>
      <c r="O80" s="1292">
        <f t="shared" si="60"/>
        <v>-431834</v>
      </c>
      <c r="P80" s="1292">
        <f t="shared" si="60"/>
        <v>0</v>
      </c>
      <c r="Q80" s="1292">
        <f t="shared" si="60"/>
        <v>0</v>
      </c>
      <c r="R80" s="1292">
        <f t="shared" si="60"/>
        <v>0</v>
      </c>
      <c r="S80" s="1292">
        <f t="shared" si="60"/>
        <v>-7607</v>
      </c>
      <c r="T80" s="1292">
        <f t="shared" si="60"/>
        <v>0</v>
      </c>
      <c r="U80" s="1292">
        <f t="shared" si="60"/>
        <v>0</v>
      </c>
      <c r="V80" s="1292">
        <f t="shared" si="60"/>
        <v>0</v>
      </c>
      <c r="W80" s="1292">
        <f t="shared" si="60"/>
        <v>0</v>
      </c>
      <c r="X80" s="1292">
        <f>+X78+X79</f>
        <v>0</v>
      </c>
      <c r="Y80" s="1292">
        <f t="shared" si="60"/>
        <v>0</v>
      </c>
      <c r="Z80" s="1292">
        <f t="shared" si="60"/>
        <v>0</v>
      </c>
      <c r="AA80" s="1292">
        <f t="shared" si="60"/>
        <v>317912</v>
      </c>
      <c r="AB80" s="1292">
        <f t="shared" si="60"/>
        <v>237964</v>
      </c>
      <c r="AC80" s="1292">
        <f t="shared" si="60"/>
        <v>0</v>
      </c>
      <c r="AD80" s="1292">
        <f t="shared" si="60"/>
        <v>-44842</v>
      </c>
      <c r="AE80" s="1292">
        <f t="shared" ref="AE80:BC80" si="61">+AE78+AE79</f>
        <v>0</v>
      </c>
      <c r="AF80" s="1292">
        <f t="shared" si="61"/>
        <v>0</v>
      </c>
      <c r="AG80" s="1292"/>
      <c r="AH80" s="1292">
        <f t="shared" si="61"/>
        <v>-339757</v>
      </c>
      <c r="AI80" s="1292">
        <f t="shared" si="61"/>
        <v>0</v>
      </c>
      <c r="AJ80" s="1292">
        <f t="shared" si="61"/>
        <v>-661916.82775972039</v>
      </c>
      <c r="AK80" s="1292">
        <f t="shared" si="61"/>
        <v>0</v>
      </c>
      <c r="AL80" s="1292">
        <f t="shared" si="61"/>
        <v>0</v>
      </c>
      <c r="AM80" s="1292">
        <f t="shared" si="61"/>
        <v>0</v>
      </c>
      <c r="AN80" s="1292">
        <f t="shared" si="61"/>
        <v>0</v>
      </c>
      <c r="AO80" s="1292">
        <f t="shared" si="61"/>
        <v>282536</v>
      </c>
      <c r="AP80" s="1292">
        <f t="shared" si="61"/>
        <v>0</v>
      </c>
      <c r="AQ80" s="1292">
        <f t="shared" si="61"/>
        <v>0</v>
      </c>
      <c r="AR80" s="1292">
        <f t="shared" si="61"/>
        <v>0</v>
      </c>
      <c r="AS80" s="1292">
        <f t="shared" si="61"/>
        <v>-2031908</v>
      </c>
      <c r="AT80" s="1292">
        <f t="shared" si="61"/>
        <v>0</v>
      </c>
      <c r="AU80" s="1292">
        <f t="shared" si="61"/>
        <v>-86068</v>
      </c>
      <c r="AV80" s="1292">
        <f t="shared" si="61"/>
        <v>0</v>
      </c>
      <c r="AW80" s="1292">
        <f t="shared" si="61"/>
        <v>0</v>
      </c>
      <c r="AX80" s="1292">
        <f t="shared" si="61"/>
        <v>0</v>
      </c>
      <c r="AY80" s="1292">
        <f t="shared" si="61"/>
        <v>-535565</v>
      </c>
      <c r="AZ80" s="1292">
        <f t="shared" si="61"/>
        <v>0</v>
      </c>
      <c r="BA80" s="1292">
        <f t="shared" si="61"/>
        <v>0</v>
      </c>
      <c r="BB80" s="1292">
        <f t="shared" si="61"/>
        <v>0</v>
      </c>
      <c r="BC80" s="1292">
        <f t="shared" si="61"/>
        <v>-371098.61707858276</v>
      </c>
      <c r="BD80" s="1053"/>
      <c r="CZ80" s="10"/>
    </row>
    <row r="81" spans="2:44">
      <c r="C81" s="9"/>
      <c r="E81" s="1099"/>
    </row>
    <row r="83" spans="2:44">
      <c r="B83" s="4" t="s">
        <v>481</v>
      </c>
      <c r="C83" s="4">
        <f>SUM(D80:BC80)</f>
        <v>-3501245.4448383031</v>
      </c>
      <c r="G83" s="4" t="s">
        <v>628</v>
      </c>
      <c r="I83" s="4" t="s">
        <v>628</v>
      </c>
      <c r="J83" s="4" t="s">
        <v>628</v>
      </c>
      <c r="K83" s="4" t="s">
        <v>628</v>
      </c>
    </row>
    <row r="84" spans="2:44">
      <c r="C84" s="4">
        <f>+C80-C83</f>
        <v>13062</v>
      </c>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373"/>
      <c r="I89" s="1373"/>
      <c r="J89" s="1373"/>
      <c r="K89" s="1373"/>
      <c r="L89" s="1373"/>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373"/>
      <c r="I90" s="1373"/>
      <c r="J90" s="1373"/>
      <c r="K90" s="1373"/>
      <c r="L90" s="1373"/>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53" fitToWidth="0" fitToHeight="0" orientation="portrait" r:id="rId1"/>
  <headerFooter>
    <oddHeader>&amp;C&amp;"Times New Roman,Regular"&amp;20REVISED&amp;R&amp;"Times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363"/>
  <sheetViews>
    <sheetView workbookViewId="0">
      <selection activeCell="F16" sqref="F16"/>
    </sheetView>
  </sheetViews>
  <sheetFormatPr defaultColWidth="13.28515625" defaultRowHeight="12.75"/>
  <cols>
    <col min="1" max="1" width="28.28515625" style="1" customWidth="1"/>
    <col min="2" max="2" width="9.7109375" style="1" bestFit="1" customWidth="1"/>
    <col min="3" max="3" width="7.42578125" style="1" customWidth="1"/>
    <col min="4" max="4" width="11.7109375" style="1" customWidth="1"/>
    <col min="5" max="5" width="7.5703125" style="1" customWidth="1"/>
    <col min="6" max="6" width="10" style="1" bestFit="1" customWidth="1"/>
    <col min="7" max="7" width="11.7109375" style="1" bestFit="1" customWidth="1"/>
    <col min="8" max="8" width="5.28515625" style="1" bestFit="1" customWidth="1"/>
    <col min="9" max="16384" width="13.28515625" style="1"/>
  </cols>
  <sheetData>
    <row r="1" spans="1:8">
      <c r="A1" s="17" t="str">
        <f>RevReqSummary!A1</f>
        <v>PacifiCorp General Rate Case UE-140617</v>
      </c>
      <c r="B1" s="23"/>
      <c r="C1" s="23"/>
      <c r="D1" s="23"/>
      <c r="E1" s="23"/>
      <c r="H1" s="24"/>
    </row>
    <row r="2" spans="1:8">
      <c r="A2" s="17" t="str">
        <f>RevReqSummary!A2</f>
        <v>For The Twelve Months Ended December 2013 - Staff Revenue Requirement</v>
      </c>
      <c r="B2" s="23"/>
      <c r="C2" s="23"/>
      <c r="D2" s="23"/>
      <c r="E2" s="23"/>
      <c r="H2" s="24"/>
    </row>
    <row r="3" spans="1:8">
      <c r="A3" s="25" t="s">
        <v>126</v>
      </c>
      <c r="B3" s="23"/>
      <c r="C3" s="23"/>
      <c r="D3" s="23"/>
      <c r="E3" s="23"/>
      <c r="H3" s="24"/>
    </row>
    <row r="4" spans="1:8">
      <c r="A4" s="25" t="s">
        <v>483</v>
      </c>
      <c r="B4" s="23"/>
      <c r="C4" s="23"/>
      <c r="D4" s="23"/>
      <c r="E4" s="23"/>
      <c r="H4" s="24"/>
    </row>
    <row r="5" spans="1:8">
      <c r="A5" s="25"/>
      <c r="B5" s="23"/>
      <c r="C5" s="23"/>
      <c r="D5" s="23"/>
      <c r="E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31"/>
      <c r="H8" s="24"/>
    </row>
    <row r="9" spans="1:8">
      <c r="A9" s="1" t="s">
        <v>139</v>
      </c>
      <c r="B9" s="30">
        <v>440</v>
      </c>
      <c r="C9" s="30" t="s">
        <v>140</v>
      </c>
      <c r="D9" s="32">
        <v>-3644017.9699999993</v>
      </c>
      <c r="E9" s="30" t="s">
        <v>141</v>
      </c>
      <c r="F9" s="33">
        <f>INDEX(WCAAllocations,IFERROR(MATCH(E9,WCAFactors,0),2),IFERROR(MATCH(E9,WCAStates,0),4))</f>
        <v>1</v>
      </c>
      <c r="G9" s="34">
        <f>F9*D9</f>
        <v>-3644017.9699999993</v>
      </c>
      <c r="H9" s="24"/>
    </row>
    <row r="10" spans="1:8">
      <c r="A10" s="1" t="s">
        <v>143</v>
      </c>
      <c r="B10" s="30">
        <v>442</v>
      </c>
      <c r="C10" s="30" t="s">
        <v>140</v>
      </c>
      <c r="D10" s="32">
        <v>-1236604.94</v>
      </c>
      <c r="E10" s="30" t="s">
        <v>141</v>
      </c>
      <c r="F10" s="33">
        <f>INDEX(WCAAllocations,IFERROR(MATCH(E10,WCAFactors,0),2),IFERROR(MATCH(E10,WCAStates,0),4))</f>
        <v>1</v>
      </c>
      <c r="G10" s="34">
        <f>F10*D10</f>
        <v>-1236604.94</v>
      </c>
      <c r="H10" s="24"/>
    </row>
    <row r="11" spans="1:8">
      <c r="A11" s="1" t="s">
        <v>519</v>
      </c>
      <c r="B11" s="30">
        <v>442</v>
      </c>
      <c r="C11" s="30" t="s">
        <v>140</v>
      </c>
      <c r="D11" s="32">
        <v>-812138.36</v>
      </c>
      <c r="E11" s="30" t="s">
        <v>141</v>
      </c>
      <c r="F11" s="33">
        <f>INDEX(WCAAllocations,IFERROR(MATCH(E11,WCAFactors,0),2),IFERROR(MATCH(E11,WCAStates,0),4))</f>
        <v>1</v>
      </c>
      <c r="G11" s="34">
        <f>F11*D11</f>
        <v>-812138.36</v>
      </c>
      <c r="H11" s="24"/>
    </row>
    <row r="12" spans="1:8">
      <c r="A12" s="1" t="s">
        <v>144</v>
      </c>
      <c r="B12" s="30">
        <v>444</v>
      </c>
      <c r="C12" s="30" t="s">
        <v>140</v>
      </c>
      <c r="D12" s="32">
        <v>0</v>
      </c>
      <c r="E12" s="30" t="s">
        <v>141</v>
      </c>
      <c r="F12" s="33">
        <f>INDEX(WCAAllocations,IFERROR(MATCH(E12,WCAFactors,0),2),IFERROR(MATCH(E12,WCAStates,0),4))</f>
        <v>1</v>
      </c>
      <c r="G12" s="34">
        <f>F12*D12</f>
        <v>0</v>
      </c>
      <c r="H12" s="24"/>
    </row>
    <row r="13" spans="1:8">
      <c r="B13" s="30"/>
      <c r="C13" s="30"/>
      <c r="D13" s="35"/>
      <c r="E13" s="30"/>
      <c r="F13" s="36"/>
      <c r="G13" s="34"/>
    </row>
    <row r="14" spans="1:8" ht="13.5" thickBot="1">
      <c r="A14" s="37" t="s">
        <v>3</v>
      </c>
      <c r="B14" s="30"/>
      <c r="C14" s="30"/>
      <c r="D14" s="38">
        <f>SUM(D9:D12)</f>
        <v>-5692761.2699999996</v>
      </c>
      <c r="E14" s="30"/>
      <c r="F14" s="36"/>
      <c r="G14" s="38">
        <f>SUM(G9:G13)</f>
        <v>-5692761.2699999996</v>
      </c>
      <c r="H14" s="24"/>
    </row>
    <row r="15" spans="1:8" ht="13.5" thickTop="1">
      <c r="A15" s="28"/>
      <c r="B15" s="30"/>
      <c r="C15" s="30"/>
      <c r="D15" s="35"/>
      <c r="E15" s="30"/>
      <c r="F15" s="36"/>
      <c r="G15" s="34"/>
      <c r="H15" s="24"/>
    </row>
    <row r="16" spans="1:8">
      <c r="A16" s="29"/>
      <c r="B16" s="30"/>
      <c r="C16" s="30"/>
      <c r="D16" s="35"/>
      <c r="E16" s="30"/>
      <c r="F16" s="36"/>
      <c r="G16" s="34"/>
      <c r="H16" s="24"/>
    </row>
    <row r="17" spans="1:8">
      <c r="A17" s="39" t="s">
        <v>652</v>
      </c>
      <c r="B17" s="30"/>
      <c r="C17" s="30"/>
      <c r="D17" s="40"/>
      <c r="E17" s="30"/>
      <c r="F17" s="30"/>
      <c r="G17" s="30"/>
      <c r="H17" s="24"/>
    </row>
    <row r="18" spans="1:8" ht="13.15" customHeight="1">
      <c r="A18" s="1395" t="s">
        <v>669</v>
      </c>
      <c r="B18" s="1395"/>
      <c r="C18" s="1395"/>
      <c r="D18" s="1395"/>
      <c r="E18" s="1395"/>
      <c r="F18" s="1395"/>
      <c r="G18" s="1395"/>
      <c r="H18" s="1310"/>
    </row>
    <row r="19" spans="1:8">
      <c r="A19" s="1395"/>
      <c r="B19" s="1395"/>
      <c r="C19" s="1395"/>
      <c r="D19" s="1395"/>
      <c r="E19" s="1395"/>
      <c r="F19" s="1395"/>
      <c r="G19" s="1395"/>
      <c r="H19" s="1310"/>
    </row>
    <row r="20" spans="1:8">
      <c r="A20" s="1395"/>
      <c r="B20" s="1395"/>
      <c r="C20" s="1395"/>
      <c r="D20" s="1395"/>
      <c r="E20" s="1395"/>
      <c r="F20" s="1395"/>
      <c r="G20" s="1395"/>
      <c r="H20" s="1310"/>
    </row>
    <row r="21" spans="1:8">
      <c r="A21" s="1395"/>
      <c r="B21" s="1395"/>
      <c r="C21" s="1395"/>
      <c r="D21" s="1395"/>
      <c r="E21" s="1395"/>
      <c r="F21" s="1395"/>
      <c r="G21" s="1395"/>
      <c r="H21" s="1310"/>
    </row>
    <row r="22" spans="1:8">
      <c r="A22" s="1395"/>
      <c r="B22" s="1395"/>
      <c r="C22" s="1395"/>
      <c r="D22" s="1395"/>
      <c r="E22" s="1395"/>
      <c r="F22" s="1395"/>
      <c r="G22" s="1395"/>
      <c r="H22" s="1310"/>
    </row>
    <row r="23" spans="1:8">
      <c r="A23" s="1395"/>
      <c r="B23" s="1395"/>
      <c r="C23" s="1395"/>
      <c r="D23" s="1395"/>
      <c r="E23" s="1395"/>
      <c r="F23" s="1395"/>
      <c r="G23" s="1395"/>
      <c r="H23" s="1310"/>
    </row>
    <row r="24" spans="1:8">
      <c r="A24" s="1310"/>
      <c r="B24" s="1310"/>
      <c r="C24" s="1310"/>
      <c r="D24" s="1310"/>
      <c r="E24" s="1310"/>
      <c r="F24" s="1310"/>
      <c r="G24" s="1310"/>
      <c r="H24" s="1310"/>
    </row>
    <row r="25" spans="1:8">
      <c r="A25" s="1310"/>
      <c r="B25" s="1310"/>
      <c r="C25" s="1310"/>
      <c r="D25" s="1310"/>
      <c r="E25" s="1310"/>
      <c r="F25" s="1310"/>
      <c r="G25" s="1310"/>
      <c r="H25" s="1310"/>
    </row>
    <row r="26" spans="1:8">
      <c r="A26" s="1310"/>
      <c r="B26" s="1310"/>
      <c r="C26" s="1310"/>
      <c r="D26" s="1310"/>
      <c r="E26" s="1310"/>
      <c r="F26" s="1310"/>
      <c r="G26" s="1310"/>
      <c r="H26" s="1310"/>
    </row>
    <row r="27" spans="1:8">
      <c r="A27" s="29"/>
      <c r="B27" s="29"/>
      <c r="C27" s="29"/>
      <c r="D27" s="29"/>
      <c r="E27" s="29"/>
      <c r="F27" s="29"/>
      <c r="G27" s="29"/>
      <c r="H27" s="29"/>
    </row>
    <row r="28" spans="1:8">
      <c r="B28" s="26"/>
      <c r="E28" s="41"/>
    </row>
    <row r="29" spans="1:8">
      <c r="B29" s="42"/>
    </row>
    <row r="30" spans="1:8">
      <c r="B30" s="42"/>
    </row>
    <row r="31" spans="1:8">
      <c r="B31" s="42"/>
    </row>
    <row r="32" spans="1:8">
      <c r="B32" s="42"/>
    </row>
    <row r="33" spans="2:8">
      <c r="B33" s="42"/>
    </row>
    <row r="34" spans="2:8">
      <c r="B34" s="42"/>
      <c r="F34" s="122"/>
    </row>
    <row r="35" spans="2:8">
      <c r="B35" s="42"/>
    </row>
    <row r="36" spans="2:8">
      <c r="B36" s="42"/>
      <c r="H36" s="43"/>
    </row>
    <row r="37" spans="2:8">
      <c r="B37" s="42"/>
    </row>
    <row r="38" spans="2:8">
      <c r="B38" s="42"/>
    </row>
    <row r="39" spans="2:8">
      <c r="B39" s="42"/>
    </row>
    <row r="40" spans="2:8">
      <c r="B40" s="42"/>
    </row>
    <row r="41" spans="2:8">
      <c r="B41" s="42"/>
    </row>
    <row r="42" spans="2:8">
      <c r="B42" s="42"/>
    </row>
    <row r="43" spans="2:8">
      <c r="B43" s="42"/>
    </row>
    <row r="44" spans="2:8">
      <c r="B44" s="42"/>
    </row>
    <row r="45" spans="2:8">
      <c r="B45" s="42"/>
    </row>
    <row r="46" spans="2:8">
      <c r="B46" s="42"/>
    </row>
    <row r="47" spans="2:8">
      <c r="B47" s="42"/>
    </row>
    <row r="48" spans="2: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scale="53" fitToWidth="0" orientation="portrait" r:id="rId1"/>
  <headerFooter>
    <oddHeader>&amp;C&amp;"Times New Roman,Regular"&amp;20REVISED&amp;R&amp;"Times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Replacement Page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2014-11-19T08:00:00+00:00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C8FC9-1C72-49B8-92AE-294AF7DBF3AB}"/>
</file>

<file path=customXml/itemProps2.xml><?xml version="1.0" encoding="utf-8"?>
<ds:datastoreItem xmlns:ds="http://schemas.openxmlformats.org/officeDocument/2006/customXml" ds:itemID="{AA85FEF8-D04E-4EAF-AF3D-F633E69E2D05}"/>
</file>

<file path=customXml/itemProps3.xml><?xml version="1.0" encoding="utf-8"?>
<ds:datastoreItem xmlns:ds="http://schemas.openxmlformats.org/officeDocument/2006/customXml" ds:itemID="{3337CC66-375B-43D9-835B-4F24C7D74DF0}"/>
</file>

<file path=customXml/itemProps4.xml><?xml version="1.0" encoding="utf-8"?>
<ds:datastoreItem xmlns:ds="http://schemas.openxmlformats.org/officeDocument/2006/customXml" ds:itemID="{319F9E15-4811-4858-A28C-12BACF82C6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22</vt:i4>
      </vt:variant>
    </vt:vector>
  </HeadingPairs>
  <TitlesOfParts>
    <vt:vector size="83"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7.1 Interest True-up'!Print_Area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mfoisy</dc:creator>
  <cp:lastModifiedBy>Krista Gross</cp:lastModifiedBy>
  <cp:lastPrinted>2014-10-29T17:45:34Z</cp:lastPrinted>
  <dcterms:created xsi:type="dcterms:W3CDTF">2003-12-22T18:47:15Z</dcterms:created>
  <dcterms:modified xsi:type="dcterms:W3CDTF">2014-11-17T22:51:29Z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