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6350" windowHeight="6990"/>
  </bookViews>
  <sheets>
    <sheet name="DER Concepts" sheetId="2" r:id="rId1"/>
    <sheet name="Approach" sheetId="6" r:id="rId2"/>
    <sheet name="S6-Summary" sheetId="1" r:id="rId3"/>
    <sheet name="S6-Filter-Solar" sheetId="9" r:id="rId4"/>
    <sheet name="S6-Filter-Battery" sheetId="10" r:id="rId5"/>
    <sheet name="S6-Selection" sheetId="3" r:id="rId6"/>
    <sheet name="CBI" sheetId="11" r:id="rId7"/>
  </sheets>
  <externalReferences>
    <externalReference r:id="rId8"/>
    <externalReference r:id="rId9"/>
    <externalReference r:id="rId10"/>
  </externalReferences>
  <definedNames>
    <definedName name="_Fill" localSheetId="4" hidden="1">#REF!</definedName>
    <definedName name="_Fill" localSheetId="3" hidden="1">#REF!</definedName>
    <definedName name="_Fill" hidden="1">#REF!</definedName>
    <definedName name="_xlnm._FilterDatabase" localSheetId="6" hidden="1">CBI!$B$10:$P$35</definedName>
    <definedName name="_xlnm._FilterDatabase" localSheetId="4" hidden="1">'S6-Filter-Battery'!$B$12:$X$25</definedName>
    <definedName name="_xlnm._FilterDatabase" localSheetId="3" hidden="1">'S6-Filter-Solar'!$B$12:$X$25</definedName>
    <definedName name="_xlnm._FilterDatabase" localSheetId="2" hidden="1">'S6-Summary'!$B$17:$W$44</definedName>
    <definedName name="_Order1">255</definedName>
    <definedName name="_Order2">255</definedName>
    <definedName name="AAAAAAAAAAAAAA" hidden="1">{#N/A,#N/A,FALSE,"Coversheet";#N/A,#N/A,FALSE,"QA"}</definedName>
    <definedName name="AccessDatabase">"I:\COMTREL\FINICLE\TradeSummary.mdb"</definedName>
    <definedName name="AS2DocOpenMode">"AS2DocumentEdit"</definedName>
    <definedName name="AuroraBaseYear">'[1]Aurora_New Resources'!$C$2</definedName>
    <definedName name="b" hidden="1">{#N/A,#N/A,FALSE,"Coversheet";#N/A,#N/A,FALSE,"QA"}</definedName>
    <definedName name="BaseYear">'[1]Thermal Options'!$H$2</definedName>
    <definedName name="CBWorkbookPriority">-1894858854</definedName>
    <definedName name="ConversionFactor">[1]Assumptions!$B$13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FedTaxRate">[1]Assumptions!$B$15</definedName>
    <definedName name="GTInsRate">[1]Assumptions!$B$17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[1]Assumptions!$B$12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[1]Assumptions!$B$10</definedName>
    <definedName name="PropTaxRatio">[1]Assumptions!$B$11</definedName>
    <definedName name="RENAME" localSheetId="4" hidden="1">#REF!</definedName>
    <definedName name="RENAME" localSheetId="3" hidden="1">#REF!</definedName>
    <definedName name="RENAME" hidden="1">#REF!</definedName>
    <definedName name="RENAME2" localSheetId="4" hidden="1">#REF!</definedName>
    <definedName name="RENAME2" localSheetId="3" hidden="1">#REF!</definedName>
    <definedName name="RENAME2" hidden="1">#REF!</definedName>
    <definedName name="RevBaseYear">'[2]March Point2'!$M$9</definedName>
    <definedName name="RevBaseYear2">'[2]March Point2'!$M$10</definedName>
    <definedName name="RevBaseYear3">'[2]March Point2'!$M$11</definedName>
    <definedName name="solver_eval">0</definedName>
    <definedName name="solver_ntri">1000</definedName>
    <definedName name="solver_rsmp">1</definedName>
    <definedName name="solver_seed">0</definedName>
    <definedName name="StartDate">[1]Assumptions!$C$6</definedName>
    <definedName name="TEst" hidden="1">{#N/A,#N/A,FALSE,"Coversheet";#N/A,#N/A,FALSE,"QA"}</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OMesc">'[1]Aurora_New Resources'!$C$4</definedName>
    <definedName name="wnp3ex_wkly_vect_input">[3]WNP3_BPA_Exchange!$D$75:$AR$243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 i="1" l="1"/>
  <c r="U20" i="1"/>
  <c r="U21" i="1"/>
  <c r="U22" i="1"/>
  <c r="U23" i="1"/>
  <c r="U25" i="1"/>
  <c r="U26" i="1"/>
  <c r="U27" i="1"/>
  <c r="U28" i="1"/>
  <c r="U29" i="1"/>
  <c r="U32" i="1"/>
  <c r="U24" i="1" s="1"/>
  <c r="U33" i="1"/>
  <c r="U34" i="1"/>
  <c r="U35" i="1"/>
  <c r="U36" i="1"/>
  <c r="U37" i="1"/>
  <c r="U38" i="1"/>
  <c r="U39" i="1"/>
  <c r="U40" i="1"/>
  <c r="U41" i="1"/>
  <c r="U42" i="1"/>
  <c r="U43" i="1"/>
  <c r="U18" i="1"/>
  <c r="O5" i="3" l="1"/>
  <c r="N5" i="3"/>
  <c r="O4" i="3"/>
  <c r="N4" i="3"/>
  <c r="N7" i="3"/>
  <c r="O7" i="3"/>
  <c r="N8" i="3"/>
  <c r="O8" i="3"/>
  <c r="N9" i="3"/>
  <c r="O9" i="3"/>
  <c r="N10" i="3"/>
  <c r="O10" i="3"/>
  <c r="N11" i="3"/>
  <c r="O11" i="3"/>
  <c r="N12" i="3"/>
  <c r="O12" i="3"/>
  <c r="N13" i="3"/>
  <c r="O13" i="3"/>
  <c r="P13" i="3"/>
  <c r="O6" i="3"/>
  <c r="N6" i="3"/>
  <c r="N19" i="3"/>
  <c r="O19" i="3"/>
  <c r="N20" i="3"/>
  <c r="O20" i="3"/>
  <c r="N21" i="3"/>
  <c r="O21" i="3"/>
  <c r="O18" i="3"/>
  <c r="N18" i="3"/>
  <c r="T25" i="10" l="1"/>
  <c r="T24" i="10"/>
  <c r="T23" i="10"/>
  <c r="T22" i="10"/>
  <c r="T21" i="10"/>
  <c r="T16" i="10"/>
  <c r="T15" i="10"/>
  <c r="T14" i="9"/>
  <c r="T15" i="9"/>
  <c r="T16" i="9"/>
  <c r="T17" i="9"/>
  <c r="T18" i="9"/>
  <c r="T19" i="9"/>
  <c r="T20" i="9"/>
  <c r="T21" i="9"/>
  <c r="T22" i="9"/>
  <c r="T23" i="9"/>
  <c r="T24" i="9"/>
  <c r="T25" i="9"/>
  <c r="T13" i="9"/>
  <c r="G41" i="11" l="1"/>
  <c r="F41" i="11"/>
  <c r="E41" i="11"/>
  <c r="F38" i="11"/>
  <c r="G38" i="11"/>
  <c r="F40" i="11"/>
  <c r="G40" i="11"/>
  <c r="E40" i="11"/>
  <c r="E38" i="11"/>
  <c r="M15" i="11" l="1"/>
  <c r="M20" i="11"/>
  <c r="M23" i="11"/>
  <c r="M30" i="11"/>
  <c r="M35" i="11"/>
  <c r="M14" i="11"/>
  <c r="M19" i="11"/>
  <c r="M22" i="11"/>
  <c r="M24" i="11"/>
  <c r="M28" i="11"/>
  <c r="M34" i="11"/>
  <c r="M13" i="11"/>
  <c r="M18" i="11"/>
  <c r="M17" i="11"/>
  <c r="M26" i="11"/>
  <c r="M31" i="11"/>
  <c r="M33" i="11"/>
  <c r="M11" i="11"/>
  <c r="M16" i="11"/>
  <c r="M21" i="11"/>
  <c r="M25" i="11"/>
  <c r="M27" i="11"/>
  <c r="M32" i="11"/>
  <c r="M29" i="11"/>
  <c r="K14" i="11"/>
  <c r="K19" i="11"/>
  <c r="K22" i="11"/>
  <c r="K24" i="11"/>
  <c r="K28" i="11"/>
  <c r="K13" i="11"/>
  <c r="K18" i="11"/>
  <c r="K17" i="11"/>
  <c r="K26" i="11"/>
  <c r="K31" i="11"/>
  <c r="K33" i="11"/>
  <c r="K11" i="11"/>
  <c r="K16" i="11"/>
  <c r="K21" i="11"/>
  <c r="K25" i="11"/>
  <c r="K27" i="11"/>
  <c r="K32" i="11"/>
  <c r="K12" i="11"/>
  <c r="K29" i="11"/>
  <c r="K15" i="11"/>
  <c r="K20" i="11"/>
  <c r="K23" i="11"/>
  <c r="K30" i="11"/>
  <c r="K35" i="11"/>
  <c r="K34" i="11"/>
  <c r="I13" i="11"/>
  <c r="I18" i="11"/>
  <c r="I17" i="11"/>
  <c r="I26" i="11"/>
  <c r="I31" i="11"/>
  <c r="I33" i="11"/>
  <c r="I11" i="11"/>
  <c r="I16" i="11"/>
  <c r="I21" i="11"/>
  <c r="I25" i="11"/>
  <c r="I27" i="11"/>
  <c r="I32" i="11"/>
  <c r="I15" i="11"/>
  <c r="I20" i="11"/>
  <c r="I23" i="11"/>
  <c r="I30" i="11"/>
  <c r="I29" i="11"/>
  <c r="I35" i="11"/>
  <c r="I24" i="11"/>
  <c r="I34" i="11"/>
  <c r="I14" i="11"/>
  <c r="I19" i="11"/>
  <c r="I22" i="11"/>
  <c r="I28" i="11"/>
  <c r="E39" i="11"/>
  <c r="G39" i="11"/>
  <c r="F39" i="11"/>
  <c r="G37" i="11"/>
  <c r="M12" i="11"/>
  <c r="E37" i="11"/>
  <c r="F37" i="11"/>
  <c r="I12" i="11"/>
  <c r="J21" i="3"/>
  <c r="K21" i="3"/>
  <c r="L21" i="3"/>
  <c r="L20" i="3"/>
  <c r="K20" i="3"/>
  <c r="J20" i="3"/>
  <c r="L14" i="11" l="1"/>
  <c r="L19" i="11"/>
  <c r="L22" i="11"/>
  <c r="L24" i="11"/>
  <c r="L28" i="11"/>
  <c r="L13" i="11"/>
  <c r="L17" i="11"/>
  <c r="L33" i="11"/>
  <c r="L11" i="11"/>
  <c r="L16" i="11"/>
  <c r="L21" i="11"/>
  <c r="L25" i="11"/>
  <c r="L27" i="11"/>
  <c r="L32" i="11"/>
  <c r="L18" i="11"/>
  <c r="L31" i="11"/>
  <c r="L15" i="11"/>
  <c r="L20" i="11"/>
  <c r="L23" i="11"/>
  <c r="L30" i="11"/>
  <c r="L29" i="11"/>
  <c r="L35" i="11"/>
  <c r="L34" i="11"/>
  <c r="L26" i="11"/>
  <c r="L41" i="11" s="1"/>
  <c r="L12" i="11"/>
  <c r="N15" i="11"/>
  <c r="N20" i="11"/>
  <c r="N30" i="11"/>
  <c r="N35" i="11"/>
  <c r="N24" i="11"/>
  <c r="N12" i="11"/>
  <c r="N22" i="11"/>
  <c r="N34" i="11"/>
  <c r="N13" i="11"/>
  <c r="N18" i="11"/>
  <c r="N17" i="11"/>
  <c r="N26" i="11"/>
  <c r="N31" i="11"/>
  <c r="N33" i="11"/>
  <c r="N11" i="11"/>
  <c r="N16" i="11"/>
  <c r="N21" i="11"/>
  <c r="N25" i="11"/>
  <c r="N27" i="11"/>
  <c r="N32" i="11"/>
  <c r="N23" i="11"/>
  <c r="N29" i="11"/>
  <c r="N14" i="11"/>
  <c r="N19" i="11"/>
  <c r="N28" i="11"/>
  <c r="J13" i="11"/>
  <c r="J18" i="11"/>
  <c r="J17" i="11"/>
  <c r="J26" i="11"/>
  <c r="J33" i="11"/>
  <c r="J16" i="11"/>
  <c r="J41" i="11" s="1"/>
  <c r="J32" i="11"/>
  <c r="J21" i="11"/>
  <c r="J27" i="11"/>
  <c r="J15" i="11"/>
  <c r="J20" i="11"/>
  <c r="J23" i="11"/>
  <c r="J30" i="11"/>
  <c r="J29" i="11"/>
  <c r="J35" i="11"/>
  <c r="J12" i="11"/>
  <c r="J25" i="11"/>
  <c r="J14" i="11"/>
  <c r="J19" i="11"/>
  <c r="J22" i="11"/>
  <c r="J24" i="11"/>
  <c r="J28" i="11"/>
  <c r="J34" i="11"/>
  <c r="J31" i="11"/>
  <c r="J11" i="11"/>
  <c r="M41" i="11"/>
  <c r="K41" i="11"/>
  <c r="I41" i="11"/>
  <c r="L18" i="3"/>
  <c r="K18" i="3"/>
  <c r="J18" i="3"/>
  <c r="N41" i="11" l="1"/>
  <c r="J36" i="1"/>
  <c r="U13" i="10" l="1"/>
  <c r="U19" i="10"/>
  <c r="U21" i="10"/>
  <c r="U14" i="9"/>
  <c r="U24" i="10"/>
  <c r="U18" i="10"/>
  <c r="U13" i="9"/>
  <c r="U17" i="10"/>
  <c r="U15" i="10"/>
  <c r="U20" i="9"/>
  <c r="U14" i="10"/>
  <c r="U16" i="10"/>
  <c r="U20" i="10"/>
  <c r="P5" i="3"/>
  <c r="U15" i="9" l="1"/>
  <c r="P4" i="3"/>
  <c r="U17" i="9"/>
  <c r="P6" i="3"/>
  <c r="U23" i="10"/>
  <c r="P20" i="3"/>
  <c r="U21" i="9"/>
  <c r="P8" i="3"/>
  <c r="P18" i="3"/>
  <c r="U23" i="9"/>
  <c r="P10" i="3"/>
  <c r="U24" i="9"/>
  <c r="P9" i="3"/>
  <c r="U22" i="10"/>
  <c r="P19" i="3"/>
  <c r="U25" i="9"/>
  <c r="P12" i="3"/>
  <c r="U18" i="9"/>
  <c r="P7" i="3"/>
  <c r="U25" i="10"/>
  <c r="P21" i="3"/>
  <c r="U22" i="9"/>
  <c r="P11" i="3"/>
  <c r="U16" i="9"/>
  <c r="U19" i="9"/>
  <c r="I14" i="10"/>
  <c r="I15" i="10"/>
  <c r="I16" i="10"/>
  <c r="I17" i="10"/>
  <c r="I18" i="10"/>
  <c r="I19" i="10"/>
  <c r="I20" i="10"/>
  <c r="I21" i="10"/>
  <c r="I22" i="10"/>
  <c r="I23" i="10"/>
  <c r="I24" i="10"/>
  <c r="I25" i="10"/>
  <c r="I13" i="10"/>
  <c r="I18" i="9"/>
  <c r="I19" i="9"/>
  <c r="J19" i="9"/>
  <c r="K19" i="9"/>
  <c r="L19" i="9"/>
  <c r="I20" i="9"/>
  <c r="I21" i="9"/>
  <c r="I22" i="9"/>
  <c r="I23" i="9"/>
  <c r="I24" i="9"/>
  <c r="I25" i="9"/>
  <c r="I17" i="9"/>
  <c r="L19" i="1"/>
  <c r="L13" i="10" s="1"/>
  <c r="K19" i="1"/>
  <c r="K13" i="10" s="1"/>
  <c r="J19" i="1"/>
  <c r="J13" i="10" s="1"/>
  <c r="L42" i="1"/>
  <c r="L24" i="9" s="1"/>
  <c r="K42" i="1"/>
  <c r="K24" i="9" s="1"/>
  <c r="J42" i="1"/>
  <c r="J24" i="9" s="1"/>
  <c r="L40" i="1"/>
  <c r="L23" i="9" s="1"/>
  <c r="K40" i="1"/>
  <c r="K23" i="9" s="1"/>
  <c r="J40" i="1"/>
  <c r="J23" i="9" s="1"/>
  <c r="L35" i="1"/>
  <c r="L25" i="9" s="1"/>
  <c r="K35" i="1"/>
  <c r="K25" i="9" s="1"/>
  <c r="J35" i="1"/>
  <c r="J25" i="9" s="1"/>
  <c r="L41" i="1"/>
  <c r="L22" i="9" s="1"/>
  <c r="K41" i="1"/>
  <c r="K22" i="9" s="1"/>
  <c r="J41" i="1"/>
  <c r="J22" i="9" s="1"/>
  <c r="L34" i="1"/>
  <c r="L20" i="9" s="1"/>
  <c r="K34" i="1"/>
  <c r="K20" i="9" s="1"/>
  <c r="J34" i="1"/>
  <c r="J20" i="9" s="1"/>
  <c r="L23" i="1"/>
  <c r="L17" i="9" s="1"/>
  <c r="K23" i="1"/>
  <c r="K17" i="9" s="1"/>
  <c r="J23" i="1"/>
  <c r="J17" i="9" s="1"/>
  <c r="L25" i="1"/>
  <c r="L18" i="9" s="1"/>
  <c r="K25" i="1"/>
  <c r="K18" i="9" s="1"/>
  <c r="J25" i="1"/>
  <c r="J18" i="9" s="1"/>
  <c r="L30" i="1"/>
  <c r="L21" i="9" s="1"/>
  <c r="K30" i="1"/>
  <c r="K21" i="9" s="1"/>
  <c r="J30" i="1"/>
  <c r="J21" i="9" s="1"/>
  <c r="J31" i="1"/>
  <c r="J21" i="10" s="1"/>
  <c r="L31" i="1"/>
  <c r="L21" i="10" s="1"/>
  <c r="K31" i="1"/>
  <c r="K21" i="10" s="1"/>
  <c r="J28" i="1"/>
  <c r="J16" i="10" s="1"/>
  <c r="K28" i="1"/>
  <c r="K16" i="10" s="1"/>
  <c r="L28" i="1"/>
  <c r="L16" i="10" s="1"/>
  <c r="J37" i="1"/>
  <c r="J25" i="10" s="1"/>
  <c r="K37" i="1"/>
  <c r="K25" i="10" s="1"/>
  <c r="L37" i="1"/>
  <c r="L25" i="10" s="1"/>
  <c r="J39" i="1"/>
  <c r="J23" i="10" s="1"/>
  <c r="K39" i="1"/>
  <c r="K23" i="10" s="1"/>
  <c r="L39" i="1"/>
  <c r="L23" i="10" s="1"/>
  <c r="J29" i="1"/>
  <c r="J18" i="10" s="1"/>
  <c r="K29" i="1"/>
  <c r="K18" i="10" s="1"/>
  <c r="L29" i="1"/>
  <c r="L18" i="10" s="1"/>
  <c r="J26" i="1"/>
  <c r="J19" i="10" s="1"/>
  <c r="K26" i="1"/>
  <c r="K19" i="10" s="1"/>
  <c r="L26" i="1"/>
  <c r="L19" i="10" s="1"/>
  <c r="J33" i="1"/>
  <c r="J20" i="10" s="1"/>
  <c r="K33" i="1"/>
  <c r="K20" i="10" s="1"/>
  <c r="L33" i="1"/>
  <c r="L20" i="10" s="1"/>
  <c r="L38" i="1"/>
  <c r="L24" i="10" s="1"/>
  <c r="K38" i="1"/>
  <c r="K24" i="10" s="1"/>
  <c r="J38" i="1"/>
  <c r="J24" i="10" s="1"/>
  <c r="L43" i="1"/>
  <c r="L22" i="10" s="1"/>
  <c r="K43" i="1"/>
  <c r="K22" i="10" s="1"/>
  <c r="J43" i="1"/>
  <c r="J22" i="10" s="1"/>
  <c r="L27" i="1"/>
  <c r="L17" i="10" s="1"/>
  <c r="K27" i="1"/>
  <c r="K17" i="10" s="1"/>
  <c r="J27" i="1"/>
  <c r="J17" i="10" s="1"/>
  <c r="J20" i="1"/>
  <c r="J14" i="10" s="1"/>
  <c r="K20" i="1"/>
  <c r="K14" i="10" s="1"/>
  <c r="L20" i="1"/>
  <c r="L14" i="10" s="1"/>
  <c r="K36" i="1"/>
  <c r="K15" i="10" s="1"/>
  <c r="L36" i="1"/>
  <c r="L15" i="10" s="1"/>
  <c r="J15" i="10"/>
  <c r="M19" i="9" l="1"/>
  <c r="N19" i="9"/>
  <c r="O19" i="9"/>
  <c r="P19" i="9"/>
  <c r="Q19" i="9"/>
  <c r="Q13" i="10"/>
  <c r="P13" i="10"/>
  <c r="O13" i="10"/>
  <c r="N13" i="10"/>
  <c r="M13" i="10"/>
  <c r="Q23" i="10"/>
  <c r="P23" i="10"/>
  <c r="O23" i="10"/>
  <c r="N23" i="10"/>
  <c r="M23" i="10"/>
  <c r="Q25" i="10"/>
  <c r="P25" i="10"/>
  <c r="O25" i="10"/>
  <c r="N25" i="10"/>
  <c r="M25" i="10"/>
  <c r="Q16" i="10"/>
  <c r="P16" i="10"/>
  <c r="O16" i="10"/>
  <c r="N16" i="10"/>
  <c r="M16" i="10"/>
  <c r="Q20" i="10"/>
  <c r="P20" i="10"/>
  <c r="O20" i="10"/>
  <c r="N20" i="10"/>
  <c r="M20" i="10"/>
  <c r="Q19" i="10"/>
  <c r="P19" i="10"/>
  <c r="O19" i="10"/>
  <c r="N19" i="10"/>
  <c r="M19" i="10"/>
  <c r="Q18" i="10"/>
  <c r="P18" i="10"/>
  <c r="O18" i="10"/>
  <c r="N18" i="10"/>
  <c r="M18" i="10"/>
  <c r="Q24" i="10"/>
  <c r="P24" i="10"/>
  <c r="O24" i="10"/>
  <c r="N24" i="10"/>
  <c r="M24" i="10"/>
  <c r="Q22" i="10"/>
  <c r="P22" i="10"/>
  <c r="O22" i="10"/>
  <c r="N22" i="10"/>
  <c r="M22" i="10"/>
  <c r="Q17" i="10"/>
  <c r="P17" i="10"/>
  <c r="O17" i="10"/>
  <c r="N17" i="10"/>
  <c r="M17" i="10"/>
  <c r="Q14" i="10"/>
  <c r="P14" i="10"/>
  <c r="O14" i="10"/>
  <c r="N14" i="10"/>
  <c r="M14" i="10"/>
  <c r="Q15" i="10"/>
  <c r="P15" i="10"/>
  <c r="O15" i="10"/>
  <c r="N15" i="10"/>
  <c r="M15" i="10"/>
  <c r="R21" i="10" l="1"/>
  <c r="R22" i="10"/>
  <c r="R25" i="10"/>
  <c r="R18" i="10"/>
  <c r="R13" i="10"/>
  <c r="R15" i="10"/>
  <c r="R24" i="10"/>
  <c r="R16" i="10"/>
  <c r="R14" i="10"/>
  <c r="R17" i="10"/>
  <c r="R19" i="10"/>
  <c r="R20" i="10"/>
  <c r="R23" i="10"/>
  <c r="R27" i="10" l="1"/>
  <c r="R19" i="9" l="1"/>
  <c r="Q24" i="9"/>
  <c r="P24" i="9"/>
  <c r="O24" i="9"/>
  <c r="N24" i="9"/>
  <c r="M24" i="9"/>
  <c r="Q23" i="9"/>
  <c r="P23" i="9"/>
  <c r="O23" i="9"/>
  <c r="N23" i="9"/>
  <c r="M23" i="9"/>
  <c r="R21" i="9"/>
  <c r="Q25" i="9"/>
  <c r="P25" i="9"/>
  <c r="O25" i="9"/>
  <c r="N25" i="9"/>
  <c r="M25" i="9"/>
  <c r="Q22" i="9"/>
  <c r="P22" i="9"/>
  <c r="O22" i="9"/>
  <c r="N22" i="9"/>
  <c r="M22" i="9"/>
  <c r="Q20" i="9"/>
  <c r="P20" i="9"/>
  <c r="O20" i="9"/>
  <c r="N20" i="9"/>
  <c r="M20" i="9"/>
  <c r="Q17" i="9"/>
  <c r="P17" i="9"/>
  <c r="O17" i="9"/>
  <c r="N17" i="9"/>
  <c r="M17" i="9"/>
  <c r="Q18" i="9"/>
  <c r="P18" i="9"/>
  <c r="O18" i="9"/>
  <c r="N18" i="9"/>
  <c r="M18" i="9"/>
  <c r="R16" i="9"/>
  <c r="Q16" i="9"/>
  <c r="P16" i="9"/>
  <c r="O16" i="9"/>
  <c r="N16" i="9"/>
  <c r="M16" i="9"/>
  <c r="R15" i="9"/>
  <c r="Q15" i="9"/>
  <c r="P15" i="9"/>
  <c r="O15" i="9"/>
  <c r="N15" i="9"/>
  <c r="M15" i="9"/>
  <c r="Q14" i="9"/>
  <c r="P14" i="9"/>
  <c r="O14" i="9"/>
  <c r="N14" i="9"/>
  <c r="M14" i="9"/>
  <c r="L14" i="9"/>
  <c r="K14" i="9"/>
  <c r="J14" i="9"/>
  <c r="I14" i="9"/>
  <c r="Q13" i="9"/>
  <c r="P13" i="9"/>
  <c r="O13" i="9"/>
  <c r="N13" i="9"/>
  <c r="M13" i="9"/>
  <c r="L13" i="9"/>
  <c r="K13" i="9"/>
  <c r="J13" i="9"/>
  <c r="I13" i="9"/>
  <c r="R23" i="9" l="1"/>
  <c r="R18" i="9"/>
  <c r="R24" i="9"/>
  <c r="R14" i="9"/>
  <c r="R22" i="9"/>
  <c r="R25" i="9"/>
  <c r="R13" i="9"/>
  <c r="R17" i="9"/>
  <c r="R20" i="9"/>
  <c r="R27" i="9" l="1"/>
  <c r="R24" i="1" l="1"/>
  <c r="M13" i="3"/>
  <c r="M6" i="3" l="1"/>
  <c r="M21" i="3"/>
  <c r="M20" i="3" l="1"/>
  <c r="M11" i="3"/>
  <c r="M12" i="3"/>
  <c r="M40" i="1" l="1"/>
  <c r="N40" i="1"/>
  <c r="O40" i="1"/>
  <c r="P40" i="1"/>
  <c r="Q40" i="1"/>
  <c r="M18" i="1"/>
  <c r="N18" i="1"/>
  <c r="O18" i="1"/>
  <c r="P18" i="1"/>
  <c r="Q18" i="1"/>
  <c r="M32" i="1"/>
  <c r="N32" i="1"/>
  <c r="O32" i="1"/>
  <c r="P32" i="1"/>
  <c r="Q32" i="1"/>
  <c r="M37" i="1"/>
  <c r="N37" i="1"/>
  <c r="O37" i="1"/>
  <c r="P37" i="1"/>
  <c r="Q37" i="1"/>
  <c r="M39" i="1"/>
  <c r="N39" i="1"/>
  <c r="O39" i="1"/>
  <c r="P39" i="1"/>
  <c r="Q39" i="1"/>
  <c r="M34" i="1"/>
  <c r="N34" i="1"/>
  <c r="O34" i="1"/>
  <c r="P34" i="1"/>
  <c r="Q34" i="1"/>
  <c r="M43" i="1"/>
  <c r="N43" i="1"/>
  <c r="O43" i="1"/>
  <c r="P43" i="1"/>
  <c r="Q43" i="1"/>
  <c r="M35" i="1"/>
  <c r="N35" i="1"/>
  <c r="O35" i="1"/>
  <c r="P35" i="1"/>
  <c r="Q35" i="1"/>
  <c r="M41" i="1"/>
  <c r="N41" i="1"/>
  <c r="O41" i="1"/>
  <c r="P41" i="1"/>
  <c r="Q41" i="1"/>
  <c r="M42" i="1"/>
  <c r="N42" i="1"/>
  <c r="O42" i="1"/>
  <c r="P42" i="1"/>
  <c r="Q42" i="1"/>
  <c r="M20" i="1"/>
  <c r="N20" i="1"/>
  <c r="O20" i="1"/>
  <c r="P20" i="1"/>
  <c r="Q20" i="1"/>
  <c r="M19" i="1"/>
  <c r="N19" i="1"/>
  <c r="O19" i="1"/>
  <c r="P19" i="1"/>
  <c r="Q19" i="1"/>
  <c r="M28" i="1"/>
  <c r="N28" i="1"/>
  <c r="O28" i="1"/>
  <c r="P28" i="1"/>
  <c r="Q28" i="1"/>
  <c r="M27" i="1"/>
  <c r="N27" i="1"/>
  <c r="O27" i="1"/>
  <c r="P27" i="1"/>
  <c r="Q27" i="1"/>
  <c r="M26" i="1"/>
  <c r="N26" i="1"/>
  <c r="O26" i="1"/>
  <c r="P26" i="1"/>
  <c r="Q26" i="1"/>
  <c r="M29" i="1"/>
  <c r="N29" i="1"/>
  <c r="O29" i="1"/>
  <c r="P29" i="1"/>
  <c r="Q29" i="1"/>
  <c r="M36" i="1"/>
  <c r="N36" i="1"/>
  <c r="O36" i="1"/>
  <c r="P36" i="1"/>
  <c r="Q36" i="1"/>
  <c r="M25" i="1"/>
  <c r="N25" i="1"/>
  <c r="O25" i="1"/>
  <c r="P25" i="1"/>
  <c r="Q25" i="1"/>
  <c r="M33" i="1"/>
  <c r="N33" i="1"/>
  <c r="O33" i="1"/>
  <c r="P33" i="1"/>
  <c r="Q33" i="1"/>
  <c r="M38" i="1"/>
  <c r="N38" i="1"/>
  <c r="O38" i="1"/>
  <c r="P38" i="1"/>
  <c r="Q38" i="1"/>
  <c r="I21" i="1"/>
  <c r="J21" i="1"/>
  <c r="K21" i="1"/>
  <c r="L21" i="1"/>
  <c r="M21" i="1"/>
  <c r="N21" i="1"/>
  <c r="O21" i="1"/>
  <c r="P21" i="1"/>
  <c r="Q21" i="1"/>
  <c r="I22" i="1"/>
  <c r="J22" i="1"/>
  <c r="K22" i="1"/>
  <c r="L22" i="1"/>
  <c r="M22" i="1"/>
  <c r="N22" i="1"/>
  <c r="O22" i="1"/>
  <c r="P22" i="1"/>
  <c r="Q22" i="1"/>
  <c r="M23" i="1"/>
  <c r="N23" i="1"/>
  <c r="O23" i="1"/>
  <c r="P23" i="1"/>
  <c r="Q23" i="1"/>
  <c r="M19" i="3" l="1"/>
  <c r="M18" i="3" l="1"/>
  <c r="M5" i="3" l="1"/>
  <c r="M4" i="3"/>
  <c r="M10" i="3"/>
  <c r="M8" i="3"/>
  <c r="M9" i="3"/>
  <c r="M7" i="3"/>
  <c r="M14" i="3" l="1"/>
  <c r="R30" i="1"/>
  <c r="R31" i="1"/>
  <c r="R36" i="1" l="1"/>
  <c r="R28" i="1"/>
  <c r="R40" i="1"/>
  <c r="R38" i="1"/>
  <c r="R22" i="1"/>
  <c r="R23" i="1"/>
  <c r="R20" i="1"/>
  <c r="R29" i="1"/>
  <c r="R18" i="1"/>
  <c r="R34" i="1"/>
  <c r="R43" i="1"/>
  <c r="R33" i="1"/>
  <c r="R21" i="1"/>
  <c r="R25" i="1"/>
  <c r="R35" i="1"/>
  <c r="R37" i="1"/>
  <c r="R42" i="1"/>
  <c r="R27" i="1"/>
  <c r="R26" i="1"/>
  <c r="R39" i="1"/>
  <c r="R32" i="1"/>
  <c r="R41" i="1"/>
  <c r="R19" i="1"/>
  <c r="D3" i="2"/>
  <c r="D2" i="2"/>
  <c r="D1" i="2"/>
  <c r="R45" i="1" l="1"/>
  <c r="R46" i="1"/>
  <c r="D4" i="2"/>
  <c r="M22" i="3" l="1"/>
</calcChain>
</file>

<file path=xl/sharedStrings.xml><?xml version="1.0" encoding="utf-8"?>
<sst xmlns="http://schemas.openxmlformats.org/spreadsheetml/2006/main" count="946" uniqueCount="205">
  <si>
    <t>Solar</t>
  </si>
  <si>
    <t>Battery</t>
  </si>
  <si>
    <t>Solar+Battery</t>
  </si>
  <si>
    <t>Total</t>
  </si>
  <si>
    <t>i</t>
  </si>
  <si>
    <t>Suite</t>
  </si>
  <si>
    <t>Market Potential</t>
  </si>
  <si>
    <t>DER #</t>
  </si>
  <si>
    <t>Program Concept</t>
  </si>
  <si>
    <t>Resource Type</t>
  </si>
  <si>
    <t>Program Description</t>
  </si>
  <si>
    <t>FOTM or BTM</t>
  </si>
  <si>
    <t>Ownership</t>
  </si>
  <si>
    <t xml:space="preserve">Customer-Facing? </t>
  </si>
  <si>
    <t>Mechanism</t>
  </si>
  <si>
    <t>Under Development, In Operation, or New?</t>
  </si>
  <si>
    <t>3rd Party Customer-Sited Distributed Battery PPA</t>
  </si>
  <si>
    <t>3rd Party installs/manages network of customer-sited batteries that provide backup power and RE integration for customers. 3rd Party will aggregate network of batteries to respond to dispatch signal from PSE to help integreate renewables and manage system or local peak.</t>
  </si>
  <si>
    <t>BTM</t>
  </si>
  <si>
    <t>3rd Party</t>
  </si>
  <si>
    <t>Yes</t>
  </si>
  <si>
    <t>3rd Party Offering</t>
  </si>
  <si>
    <t>New</t>
  </si>
  <si>
    <t>X</t>
  </si>
  <si>
    <t>3rd Party Utility-scale Distributed Battery PPA</t>
  </si>
  <si>
    <t>3rd Party installs/manges single/network of batteries to respond to dispatch signal from PSE to help increase power quality and/or resiliency, as well as manage system/local peak. Battery through All Source.</t>
  </si>
  <si>
    <t>FOTM</t>
  </si>
  <si>
    <t>No</t>
  </si>
  <si>
    <t>Portfolio Resource</t>
  </si>
  <si>
    <t>C&amp;I Battery Install Incentive</t>
  </si>
  <si>
    <t>PSE offers upfront incentive to commercial customer to install their own BESS, with terms for operating modes that lead to optimal load behavior.</t>
  </si>
  <si>
    <t>Customer(s)</t>
  </si>
  <si>
    <t>PSE Incentive</t>
  </si>
  <si>
    <t>C&amp;I Space Leasing for Batteries</t>
  </si>
  <si>
    <t>PSE leases space from/at C&amp;I customers to deploy BESS to improve power quality and/or resiliency and manage system/local peak. Backup power for host customer as additional integration.</t>
  </si>
  <si>
    <t>PSE</t>
  </si>
  <si>
    <t>PSE Program</t>
  </si>
  <si>
    <t>Multi-Family Unit Battery Program</t>
  </si>
  <si>
    <t>PSE partners with MFU owner/developer to deploy battery program. MFU rentees benefit from back-up power and PSE uses batteries to help manage system/local peaks.</t>
  </si>
  <si>
    <t>PSE or PPA</t>
  </si>
  <si>
    <t>PSE Program / 3rd Party Offering</t>
  </si>
  <si>
    <t>PSE Mobile Batteries</t>
  </si>
  <si>
    <t>PSE deploys mobile batteries to support planned and (un-)planned outages, as well as to help manage system/local peak. Batteries can serve at distribution level.</t>
  </si>
  <si>
    <t>Under Development</t>
  </si>
  <si>
    <t>PSE Substation Batteries</t>
  </si>
  <si>
    <t xml:space="preserve">PSE installs batteries at its substations that can help to integrate renewables, increase power quality and/or resiliency, and manage system or local peak. </t>
  </si>
  <si>
    <t>Under Development (in progress on Bainbridge)</t>
  </si>
  <si>
    <t>PSE Utility-Scale Distributed Battery Stations</t>
  </si>
  <si>
    <t>PSE installs distributed batteries locally, communally, and/or in urban settings (i.e. outside of substations). Batteries help to improve power quality and/or resiliency, integrate renewables, or manage system/local peak.</t>
  </si>
  <si>
    <t>Residential Battery Install Incentive</t>
  </si>
  <si>
    <t>PSE offers upfront incentive to residential customers to install their own BESS, with terms for operating modes that lead to optimal load behavior.</t>
  </si>
  <si>
    <t>Residential PSE Battery Leasing</t>
  </si>
  <si>
    <t xml:space="preserve">PSE installs batteries in customer homes. Customers pay a monthly fee for backup power services; PSE uses battery to manage system/local peaks. </t>
  </si>
  <si>
    <t>Residential PSE Battery Leasing - Low Income</t>
  </si>
  <si>
    <t>PSE provides targeted deployment of batteries for low-income customers. Customers benefit from back-up power and PSE can use batteries to manage system/local peaks.</t>
  </si>
  <si>
    <t>Net Metering (Existing)</t>
  </si>
  <si>
    <t>Voluntary customer program to install roof-top solar and state-regulated mandate for compensation on generated energy imported to grid.</t>
  </si>
  <si>
    <t>In Operation</t>
  </si>
  <si>
    <t>Net Metering (Successor)</t>
  </si>
  <si>
    <t>Next iteration of voluntary customer program to install roof-top solar and state-regulated mandate for compensation, at a reduced rate from prior, on generated energy imported to grid.</t>
  </si>
  <si>
    <t>PSE Community Solar</t>
  </si>
  <si>
    <t xml:space="preserve">PSE offers customers the ability to subscribe to the output of solar panels deployed throughout the service territory. Customers pay a monthly fee and receive a monthly credit for generation. </t>
  </si>
  <si>
    <t>PSE Community Solar - Low Income</t>
  </si>
  <si>
    <t xml:space="preserve">Provides community solar access to low income customers by discounting their monthly subscription fee, resulting in cost savings. </t>
  </si>
  <si>
    <t xml:space="preserve">PSE Program </t>
  </si>
  <si>
    <t>3rd Party Distributed Solar PPA (or Solar Lease)</t>
  </si>
  <si>
    <t xml:space="preserve">3rd party installs/provides roof-top solar panels to customers throughout service territory. PSE off-takes RE via PPA or net metering while the 3rd party is responsible for managing program and financing equipment. </t>
  </si>
  <si>
    <t>C&amp;I Roof-top Solar Incentive</t>
  </si>
  <si>
    <t>PSE offers upfront incentive to commercial customers, discounting their upfront cost to install and own distributed solar generation throughout service territory.</t>
  </si>
  <si>
    <t>C&amp;I Roof-top Solar Leasing</t>
  </si>
  <si>
    <t xml:space="preserve">PSE offers to lease commercial customers' roof-top space to install solar PV. Customer receives a monthly lease payment; PSE generates RE to supply grid. </t>
  </si>
  <si>
    <t>Multi-Family Solar Partnership</t>
  </si>
  <si>
    <t xml:space="preserve">PSE facilitates installation of solar PV at MFU buildings by connecting with technology providers and/or billing support to share production across units. </t>
  </si>
  <si>
    <t>Landlord or 3rd Party</t>
  </si>
  <si>
    <t>PSE Program or PSE Rate</t>
  </si>
  <si>
    <t>Multi-Family Roof-top Solar Incentive</t>
  </si>
  <si>
    <t>PSE offers incentive to MFU building owners, discounting their upfront cost to install and own solar in PSE's service territory.</t>
  </si>
  <si>
    <t>PSE Customer-Sited Solar+Storage Offering</t>
  </si>
  <si>
    <t>PSE enrolls customers through a monthly incentive program to host solar+storage systems with that can off-set customers' load from the grid in response to operating settings or dispatch signals from PSE</t>
  </si>
  <si>
    <t>Residential Roof-top Solar Leasing</t>
  </si>
  <si>
    <t xml:space="preserve">PSE offers to lease residential customers' roof-top space to install solar PV. Customer receives a monthly lease payment; PSE generates RE to supply grid. </t>
  </si>
  <si>
    <t>Residential Roof-top Solar Leasing - Low Income</t>
  </si>
  <si>
    <t xml:space="preserve">PSE target's lease to low-income and/or impacted residential customers for access to roof-top space to install solar PV. Customer receives a monthly lease payment; PSE generates RE to supply grid. </t>
  </si>
  <si>
    <t>C&amp;I Battery BYO</t>
  </si>
  <si>
    <t>Tariff targeted to existing/new commercial battery owners that encourages optimal load behavior, charge/discharge, and/or PSE access that helps PSE to manage system/local peak.</t>
  </si>
  <si>
    <t>All achievable market potential provided by Black and Veatch, refer to link for details:</t>
  </si>
  <si>
    <t>21a</t>
  </si>
  <si>
    <t>21b</t>
  </si>
  <si>
    <t>SCT</t>
  </si>
  <si>
    <t>2022-2025 Max Mkt Potential</t>
  </si>
  <si>
    <t>Median</t>
  </si>
  <si>
    <t>Basis/Notes</t>
  </si>
  <si>
    <t>Must take</t>
  </si>
  <si>
    <t>IRP defined; per CPA forecast</t>
  </si>
  <si>
    <t>SOLAR</t>
  </si>
  <si>
    <t>BATTERY</t>
  </si>
  <si>
    <t>Notes</t>
  </si>
  <si>
    <t>Selection #</t>
  </si>
  <si>
    <t>Step #</t>
  </si>
  <si>
    <t>Rank concepts by societal cost test (SCT), from highest to lowest SCT</t>
  </si>
  <si>
    <t>Select concepts with prioritization for high prioritized CBI score, high SCT, and low cost</t>
  </si>
  <si>
    <t>Ensure a mix of utility- and customer-sited/owned DER concepts included in selection, subjective basis to ensure mix achieves Steps #1-4 and CETA's additional obligations for accessibility and equity</t>
  </si>
  <si>
    <t>MW TOTAL</t>
  </si>
  <si>
    <t>Exclude</t>
  </si>
  <si>
    <t>AURORA $/Watt Cost</t>
  </si>
  <si>
    <t>Basis for Selection</t>
  </si>
  <si>
    <t>Step Process for Selection</t>
  </si>
  <si>
    <t>Based on 7/6 presentation of preliminary selection of preferred portfolio, the DER team added selection of this concept for final preferred portfolio selection. Although noted for low market potential, the DER team noted an acceptable combination of criteria scoring and acknowledged increasing access to particular customer class, MFU owners and tenants, that have historically had barrier to participation in DER deployment and ownership.</t>
  </si>
  <si>
    <t>Based on 7/6 presentation of preliminary selection of preferred portfolio, the DER team added selection of this concept for final preferred portfolio selection. Although noted for significantly low market potential, the DER team noted an acceptable combination of criteria scoring and acknowledged increasing access to particular customer class, MFU owners and tenants, that have historically had barrier to participation in DER deployment and ownership. Although noted for low market potential, the DER team will intend to explore options for implementation.</t>
  </si>
  <si>
    <t>Step</t>
  </si>
  <si>
    <t>Detail</t>
  </si>
  <si>
    <t>Proceed to tabs, "S6-Filter-Solar" and "S6-Filter-Battery," for further steps to select solar and battery concepts for preferred portfolio</t>
  </si>
  <si>
    <t>Refer to tabs, "Approach" and "S6-Summary," for overall selection approach/steps and prior steps taken to source the candidate solar concepts below for selection</t>
  </si>
  <si>
    <t>Rank all concepts, highest to lowest, by SCT</t>
  </si>
  <si>
    <t>Select solar concepts for preferred portfolio based on criteria established in tab, "Approach"</t>
  </si>
  <si>
    <t>Proceed to tab, "S6-Selection," for comprehensie selection of solar and battery concepts comprising the preferred portfolio</t>
  </si>
  <si>
    <t>Select battery concepts for preferred portfolio based on criteria established in tab, "Approach"</t>
  </si>
  <si>
    <t>Low AURORA rank and highest SCT, but minimal market potential; therefore, the DER team opted for other concepts could effectively meet peak capacity contribution.</t>
  </si>
  <si>
    <t>Based on 7/6 presentation of preliminary selection of preferred portfolio, similar solar concept was selected in order to broaden access of customer classes to DERs. The DER team noted that the battery concept has few industry benchmarks and therefore have tentatively opted for only the solar version of the concept.</t>
  </si>
  <si>
    <t xml:space="preserve">Selected as alternate/complement to customer-sited battery concept, 'S+S Offering,' in order to increase access/equity/options for customers. High CBI score and acceptable SCT also noted. </t>
  </si>
  <si>
    <t>Added to preliminary selection during 7/6 presentation/discussion. Added to increase accessibility for MFU customer classes that historically have had high barriers to access.</t>
  </si>
  <si>
    <t>Total MW Capacity Available for Selection:</t>
  </si>
  <si>
    <t>Total Nameplate MW Selected:</t>
  </si>
  <si>
    <t>7/29:</t>
  </si>
  <si>
    <t>Note:</t>
  </si>
  <si>
    <t>Concept split for each resource, but one CBI score used for purpose of filter</t>
  </si>
  <si>
    <t>Exclude "must take" DER concepts from selection process since these concepts will already be included in the preferred portfolio</t>
  </si>
  <si>
    <t xml:space="preserve">Adjusted market potential to remove any MWs in 2022, except for "must take" DER concepts. Basis for removal by PSE is need for investment in enabling platforms, processes, and resources prior to deployment of DER concepts. </t>
  </si>
  <si>
    <t>Selected</t>
  </si>
  <si>
    <t>Filter for "Solar" resource type to make selection of solar DER concepts</t>
  </si>
  <si>
    <t>Similar to residential version of concept, despite moderate AURORA cost rank and CBI score, sought to better fulfill peak capacity contribution obligation, as well as increase accessibility of customer classes accessible to storage concepts.</t>
  </si>
  <si>
    <t>Total MW Capacity of Solar Concepts</t>
  </si>
  <si>
    <t>Total MW Capacity of Battery Concepts</t>
  </si>
  <si>
    <t>Multi-Family Community Solar</t>
  </si>
  <si>
    <t>Zero/Reduce MWs in 2023-2025, relative to full market potential, for needed capacity and more practical scale of program roll-out by PSE.</t>
  </si>
  <si>
    <t>Zero/Reduce MWs in 2022-2024, relative to full market potential, for needed capacity and more practical scale of program roll-out by PSE.</t>
  </si>
  <si>
    <t>Based on EAG input, specific addition of targeted concept included uniquley for the preferred portfolio.</t>
  </si>
  <si>
    <t>DER Concept #</t>
  </si>
  <si>
    <t>DER Concept</t>
  </si>
  <si>
    <t>Resource</t>
  </si>
  <si>
    <t>Unweighted All CBI Score:</t>
  </si>
  <si>
    <t>Weighted All CBI Score:</t>
  </si>
  <si>
    <t>Prioritized CBI Score:</t>
  </si>
  <si>
    <t>Source:</t>
  </si>
  <si>
    <t>Concept added for purposes of preferred portfolio and increased emphasis on renewable energy concept availability for named communities. This concept shares CBI score with Community Solar - Low Income, but has unique AURORA $/w cost and SCT. As CBI score is identical to Community Solar program concept, not included as additional CBI score for determining average CBI score of all DER program concepts.</t>
  </si>
  <si>
    <t>Average</t>
  </si>
  <si>
    <t>ii</t>
  </si>
  <si>
    <t>iii</t>
  </si>
  <si>
    <t>Suite 6 Preferred Portfolio</t>
  </si>
  <si>
    <t>iv</t>
  </si>
  <si>
    <t>All CBI scores without weighting to prioritized CBIs</t>
  </si>
  <si>
    <t>All CBI scores with weighting to prioritized CBIs</t>
  </si>
  <si>
    <t>Only score with prioritized CBIs</t>
  </si>
  <si>
    <t>v</t>
  </si>
  <si>
    <t>Round-down of average applied to increase DER program concept availability to meet renewable energy and peak capacity contribution</t>
  </si>
  <si>
    <t>Filter by concepts' customer benefit indicator (CBI) score, threshold of greater than or equal to average, rounded down, unweighted CBI score</t>
  </si>
  <si>
    <t>Based on input and direction from EAG, adjustment to unweighted CBI applied to approach, as well as average, rounded down, score as threshold</t>
  </si>
  <si>
    <t>CBI score not included in determining average or median of all DER program concepts since shared CBI score between solar and battery component of concept, therefore only use CBI score once</t>
  </si>
  <si>
    <t>Median Unweighted CBI Score</t>
  </si>
  <si>
    <t>Average Unweighted CBI Score</t>
  </si>
  <si>
    <t>Median Weighted CBI Score</t>
  </si>
  <si>
    <t>Average Weighted CBI Score</t>
  </si>
  <si>
    <t>Average Prioritized CBI Score</t>
  </si>
  <si>
    <t>Program Concepts Available for Preferred Portfolio Selection per Threshold</t>
  </si>
  <si>
    <t>Median Prioritized CBI Score</t>
  </si>
  <si>
    <t>"Must take" DER program concepts for the preferred portfolio</t>
  </si>
  <si>
    <t>Total Concepts</t>
  </si>
  <si>
    <t>Basis for exclusion is prior identification as "Must Take" DER program concepts for the preferred portfolio</t>
  </si>
  <si>
    <t>Refer to final CBI scoring summary for details of scoring for each program concept:</t>
  </si>
  <si>
    <t>Original market potential provided by Black &amp; Veatch, refer to link below for Black &amp; Veatch's cost and market potential report. Note, 2022 market potential applied across years 2023-2025 for all DER program concepts that are not recognized as "Must Take" for preferred portfolio due to enablement work and investments necessary by PSE prior to potential DER program concept inception and enrollment of customers.</t>
  </si>
  <si>
    <t>Tab Performed</t>
  </si>
  <si>
    <t>S6-Summary</t>
  </si>
  <si>
    <t>S6-Filter-Solar and S6-Filter-Battery for distributed solar and distributed battery concepts, respectively</t>
  </si>
  <si>
    <t>S6-Selection</t>
  </si>
  <si>
    <t>Filter by resource type, "Solar" or "Battery" [Performed on tabs, "S6-Filter-Solar" and "S6-Filter Battery"]</t>
  </si>
  <si>
    <t>Filter by CBI score. The DER team established threshold of greater than, or equal, to the mean CBI score, rounded down, for all DER concepts [Performed on tabs, "S6-Filter-Solar" and "S6-Filter Battery"]</t>
  </si>
  <si>
    <r>
      <rPr>
        <b/>
        <sz val="10"/>
        <color rgb="FFFF0000"/>
        <rFont val="Calibri"/>
        <family val="2"/>
        <scheme val="minor"/>
      </rPr>
      <t>i</t>
    </r>
    <r>
      <rPr>
        <sz val="10"/>
        <color theme="1"/>
        <rFont val="Calibri"/>
        <family val="2"/>
        <scheme val="minor"/>
      </rPr>
      <t xml:space="preserve"> - </t>
    </r>
    <r>
      <rPr>
        <b/>
        <sz val="10"/>
        <color rgb="FFFF0000"/>
        <rFont val="Calibri"/>
        <family val="2"/>
        <scheme val="minor"/>
      </rPr>
      <t>v</t>
    </r>
  </si>
  <si>
    <t>Unhide rows 11-19 below for comments:</t>
  </si>
  <si>
    <t>Refer to columns, "Selected", and, "Basis for Selection," for documentation of DER team's selection</t>
  </si>
  <si>
    <t>Filter for "Battery" resource type to make selection of battery DER concepts</t>
  </si>
  <si>
    <t>Round-Down</t>
  </si>
  <si>
    <t>Available Concepts</t>
  </si>
  <si>
    <t>P</t>
  </si>
  <si>
    <t>Program concepts selected for preferred portfolio</t>
  </si>
  <si>
    <t>Filter for CBI score greater than the average, rounded down, CBI score for all DER program concepts. Refer to tab, "CBI" for details of process.</t>
  </si>
  <si>
    <t>https://team/sites/CleanEnergyStrategy/Shared%20Documents/DERs/Programs%20Actions/CEIP%20Final/BV_AppK_DER%20Program%20Concepts%20List_FINAL.xlsx</t>
  </si>
  <si>
    <t>Based on PSE's benefit cost analysis ("BCA") modeling by the DER team</t>
  </si>
  <si>
    <t>Based on modeling and summary fo suites by the DER team and as discussed in CEIP, Chapter 4</t>
  </si>
  <si>
    <t xml:space="preserve">Reference tab, "Approach," developed with input of internal peer adivsory group per discussion on 6/28. </t>
  </si>
  <si>
    <t>Rank all DER program concepts by capacity cost ($/W, as calculated by AURORA), from lowest to highest cost, and use as context for filtering/thresholds basis and selections in subsequent steps of approach</t>
  </si>
  <si>
    <t>Rank all concepts, lowest to highest, by capcity cost ($/W per AURORA)</t>
  </si>
  <si>
    <t>Second lowest capacity cost, third highest SCT, and CBI score. PSE intent for increased access to renewable energy by named communities and multifamily unit residents is also addressed.</t>
  </si>
  <si>
    <t xml:space="preserve">Lowest capacity cost, second highest SCT, and high CBI score. Large market potential to help fulfill renewable energy need. DER team anticipates low barrier to start-up and implementation that can support more customer-owned solar across non-residential customer base. </t>
  </si>
  <si>
    <t>Third lowest capacity cost, highest SCT, and acceptable CBI score. Good market potential and approached by DER team as another option for C&amp;I customers to access solar, as well as a varying approach to ownership model.</t>
  </si>
  <si>
    <t>Other concepts selected first based on better combination of criteria scoring, as well as variation of sited/owned model. Despite large market potential and foruth highest SCT, opted for other concepts to better optimize ownership models, named communities, and sufficient scale and options.</t>
  </si>
  <si>
    <t>Dually selected as storage concept. Highest CBI score and acceptable capacity cost and SCT. Noted by DER team for good market potential and diversifies customer options with a customer-sited/owned concept that offers both renewable energy and peak capacity contribution.</t>
  </si>
  <si>
    <t xml:space="preserve">Selected as alternate/complement to customer-sited solar concept, 'S+S Offering,' for increased access/equity/options for customers. Acceptable CBI score and SCT also noted. </t>
  </si>
  <si>
    <t>Selected as alternate/complement to customer-sited solar concept, 'S+S Offering,' for increased access/equity/options for customers. High CBI score and acceptable SCT also noted. income-eligible option is intended to increase classes of customers that can participate with PSE-owned model intended to lower barriers and incentivize targeted customers.</t>
  </si>
  <si>
    <t>High cpacity cost outweighshighest SCT and acceptable CBI score. The DER team noted no benchmarks in the industry and cited potential challenge in implementation of concept and ownership structure, and therefore, reliance on third parties to fulfill peak capacity obligations. Therefore, the DER team opted for other concepts that could fulfill peak capacity contribution and provide variety of sited/owned models.</t>
  </si>
  <si>
    <t>Lowest capacity cost and CBI score offset by low market potential so other concepts sought to better fulfill peak capacity contribution obligation, as well as increase accessibility of customer classes.</t>
  </si>
  <si>
    <t>Dually selected as a solar concept. High CBI score and second lowest capacity cost with acceptable SCT. Customer-sited/owned model that provides access to renewables, back-up power, as well as peak capacity contribution for PSE.</t>
  </si>
  <si>
    <t>Despite high capacity cost, DER team noted acceptable SCT and CBI scores, as well as high market potential to help satisfy peak capacity contribution obligation. Concept provides flexibility for broader storage deployment and incentives for C&amp;I program participation. Through a PSE-owned approach, the DER team noted further flexibility in lowering barriers for access and increasing potential community access in local outage events.</t>
  </si>
  <si>
    <t>Selected as alternate/complement to customer-sited battery concept, 'S+S Offering,' in order to increase access/equity/options for customers. High CBI score and acceptable SCT also noted. Income-eligible option is intended to increase classes of customers that can participate with PSE-owned model intended to lower barrier of cost for customers by providnig option to lease.</t>
  </si>
  <si>
    <t>https://team/sites/CleanEnergyStrategy/Shared%20Documents/DERs/Programs%20Actions/CEIP%20Final/Appendix%20D-3_DER%20CBI%20Scoring.xlsx</t>
  </si>
  <si>
    <t>https://team/sites/CleanEnergyStrategy/Shared%20Documents/DERs/Programs%20Actions/CEIP%20Final/Appendix%20K_BV%20DER%20Program%20Concepts%20List.xlsx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</si>
</sst>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000_);_(* \(#,##0.000\);_(* &quot;-&quot;???_);_(@_)"/>
    <numFmt numFmtId="165" formatCode="0.000"/>
    <numFmt numFmtId="166" formatCode="_(* #,##0.00_);_(* \(#,##0.00\);_(* &quot;-&quot;???_);_(@_)"/>
  </numFmts>
  <fonts count="14" x14ac:knownFonts="1">
    <font>
      <sz val="11"/>
      <color theme="1"/>
      <name val="Calibri"/>
      <family val="2"/>
      <scheme val="minor"/>
    </font>
    <font>
      <sz val="10"/>
      <color theme="1"/>
      <name val="Calibri"/>
      <family val="2"/>
      <scheme val="minor"/>
    </font>
    <font>
      <b/>
      <i/>
      <sz val="10"/>
      <color theme="1"/>
      <name val="Calibri"/>
      <family val="2"/>
      <scheme val="minor"/>
    </font>
    <font>
      <b/>
      <sz val="10"/>
      <color rgb="FFFF0000"/>
      <name val="Calibri"/>
      <family val="2"/>
      <scheme val="minor"/>
    </font>
    <font>
      <b/>
      <sz val="10"/>
      <color theme="1"/>
      <name val="Calibri"/>
      <family val="2"/>
      <scheme val="minor"/>
    </font>
    <font>
      <u/>
      <sz val="11"/>
      <color theme="10"/>
      <name val="Calibri"/>
      <family val="2"/>
      <scheme val="minor"/>
    </font>
    <font>
      <sz val="10"/>
      <color rgb="FFFF0000"/>
      <name val="Calibri"/>
      <family val="2"/>
      <scheme val="minor"/>
    </font>
    <font>
      <i/>
      <sz val="10"/>
      <color theme="1"/>
      <name val="Calibri"/>
      <family val="2"/>
      <scheme val="minor"/>
    </font>
    <font>
      <sz val="8"/>
      <color theme="1"/>
      <name val="Calibri"/>
      <family val="2"/>
      <scheme val="minor"/>
    </font>
    <font>
      <u/>
      <sz val="10"/>
      <color theme="10"/>
      <name val="Calibri"/>
      <family val="2"/>
      <scheme val="minor"/>
    </font>
    <font>
      <sz val="10"/>
      <color theme="1"/>
      <name val="Wingdings 2"/>
      <family val="1"/>
      <charset val="2"/>
    </font>
    <font>
      <sz val="10"/>
      <color rgb="FFFF0000"/>
      <name val="Wingdings 2"/>
      <family val="1"/>
      <charset val="2"/>
    </font>
    <font>
      <sz val="10"/>
      <name val="Wingdings 2"/>
      <family val="1"/>
      <charset val="2"/>
    </font>
    <font>
      <sz val="10"/>
      <name val="Calibri"/>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00">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41"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43" fontId="4"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164" fontId="1" fillId="2" borderId="6" xfId="0" applyNumberFormat="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6" xfId="0" applyNumberFormat="1" applyFont="1" applyFill="1" applyBorder="1" applyAlignment="1">
      <alignment horizontal="center" vertical="center" wrapText="1"/>
    </xf>
    <xf numFmtId="164" fontId="1" fillId="0" borderId="1" xfId="0" applyNumberFormat="1" applyFont="1" applyBorder="1" applyAlignment="1">
      <alignment horizontal="left" vertical="center" wrapText="1"/>
    </xf>
    <xf numFmtId="164" fontId="1" fillId="0" borderId="1" xfId="0" applyNumberFormat="1" applyFont="1" applyFill="1" applyBorder="1" applyAlignment="1">
      <alignment horizontal="left" vertical="center" wrapText="1"/>
    </xf>
    <xf numFmtId="0" fontId="4" fillId="0" borderId="4" xfId="0" applyFont="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4" fillId="0" borderId="0" xfId="0" applyNumberFormat="1" applyFont="1" applyAlignment="1">
      <alignment vertical="center" wrapText="1"/>
    </xf>
    <xf numFmtId="164" fontId="1" fillId="0" borderId="0" xfId="0" applyNumberFormat="1" applyFont="1" applyAlignment="1">
      <alignment vertical="center" wrapText="1"/>
    </xf>
    <xf numFmtId="164" fontId="6" fillId="0" borderId="1" xfId="0" applyNumberFormat="1" applyFont="1" applyBorder="1" applyAlignment="1">
      <alignment vertical="center" wrapText="1"/>
    </xf>
    <xf numFmtId="44" fontId="1" fillId="2"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164" fontId="1" fillId="0" borderId="6" xfId="0" applyNumberFormat="1" applyFont="1" applyBorder="1" applyAlignment="1">
      <alignment vertical="center" wrapText="1"/>
    </xf>
    <xf numFmtId="0" fontId="1" fillId="0" borderId="1" xfId="0" applyFont="1" applyBorder="1" applyAlignment="1">
      <alignment horizontal="center" vertical="center" wrapText="1"/>
    </xf>
    <xf numFmtId="44" fontId="1" fillId="0" borderId="1" xfId="0" applyNumberFormat="1" applyFont="1" applyBorder="1" applyAlignment="1">
      <alignment vertical="center" wrapText="1"/>
    </xf>
    <xf numFmtId="164" fontId="8" fillId="2" borderId="3" xfId="0" applyNumberFormat="1" applyFont="1" applyFill="1" applyBorder="1" applyAlignment="1">
      <alignment horizontal="left" vertical="center" wrapText="1"/>
    </xf>
    <xf numFmtId="164" fontId="8"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quotePrefix="1" applyFont="1" applyAlignment="1">
      <alignment horizontal="center" vertical="center" wrapText="1"/>
    </xf>
    <xf numFmtId="165" fontId="1" fillId="0" borderId="0" xfId="0" applyNumberFormat="1" applyFont="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Alignment="1">
      <alignment horizontal="right" vertical="center"/>
    </xf>
    <xf numFmtId="0" fontId="4" fillId="0" borderId="0" xfId="0" applyFont="1" applyAlignment="1">
      <alignment horizontal="right" vertical="center"/>
    </xf>
    <xf numFmtId="0" fontId="4" fillId="0" borderId="0" xfId="0" applyFont="1" applyBorder="1" applyAlignment="1">
      <alignment vertical="center" wrapText="1"/>
    </xf>
    <xf numFmtId="0" fontId="1" fillId="0" borderId="0" xfId="0" applyFont="1" applyBorder="1" applyAlignment="1">
      <alignment vertical="center" wrapText="1"/>
    </xf>
    <xf numFmtId="0" fontId="8" fillId="0" borderId="1" xfId="0" applyFont="1" applyFill="1" applyBorder="1" applyAlignment="1">
      <alignment vertical="center" wrapText="1"/>
    </xf>
    <xf numFmtId="43" fontId="1" fillId="0" borderId="0" xfId="0" applyNumberFormat="1"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wrapText="1"/>
    </xf>
    <xf numFmtId="0" fontId="3" fillId="0" borderId="4" xfId="0" applyFont="1" applyBorder="1" applyAlignment="1">
      <alignment horizontal="center" vertical="center" wrapText="1"/>
    </xf>
    <xf numFmtId="0" fontId="9" fillId="0" borderId="0" xfId="1" applyFont="1" applyAlignment="1">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166" fontId="1" fillId="0" borderId="1" xfId="0" applyNumberFormat="1"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164" fontId="13" fillId="0" borderId="1" xfId="0" applyNumberFormat="1" applyFont="1" applyBorder="1" applyAlignment="1">
      <alignment horizontal="center" vertical="center" wrapText="1"/>
    </xf>
    <xf numFmtId="164" fontId="13" fillId="0" borderId="1" xfId="0" applyNumberFormat="1" applyFont="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4" fillId="0" borderId="8" xfId="0" applyFont="1" applyBorder="1" applyAlignment="1">
      <alignment horizontal="center" vertic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390525</xdr:colOff>
      <xdr:row>3</xdr:row>
      <xdr:rowOff>85725</xdr:rowOff>
    </xdr:from>
    <xdr:to>
      <xdr:col>21</xdr:col>
      <xdr:colOff>495300</xdr:colOff>
      <xdr:row>3</xdr:row>
      <xdr:rowOff>85725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3811250" y="571500"/>
          <a:ext cx="421957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oole/Downloads/PSE%20Resources_Aurora%20Inputs_2021%20IRP_01242021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sarru/My%20Documents/PriceEstFor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am/sites/CleanEnergyStrategy/Shared%20Documents/DERs/Programs%20Actions/CEIP%20Final/Appendix%20K_BV%20DER%20Program%20Concepts%20List.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team/sites/CleanEnergyStrategy/Shared%20Documents/DERs/Programs%20Actions/CEIP%20Final/Appendix%20D-3_DER%20CBI%20Scoring.xlsx" TargetMode="External"/><Relationship Id="rId1" Type="http://schemas.openxmlformats.org/officeDocument/2006/relationships/hyperlink" Target="https://team/sites/CleanEnergyStrategy/Shared%20Documents/DERs/Programs%20Actions/CEIP%20Final/Appendix%20K_BV%20DER%20Program%20Concepts%20List.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team/sites/CleanEnergyStrategy/Shared%20Documents/DERs/Programs%20Actions/CEIP%20Final/Appendix%20D-3_DER%20CBI%20Scoring.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4"/>
  <sheetViews>
    <sheetView tabSelected="1" view="pageLayout" topLeftCell="A16" zoomScaleNormal="100" workbookViewId="0">
      <selection activeCell="C31" sqref="C31"/>
    </sheetView>
  </sheetViews>
  <sheetFormatPr defaultColWidth="10.7109375" defaultRowHeight="12.75" outlineLevelCol="1" x14ac:dyDescent="0.2"/>
  <cols>
    <col min="1" max="1" width="2.7109375" style="1" customWidth="1"/>
    <col min="2" max="2" width="5.7109375" style="1" customWidth="1"/>
    <col min="3" max="3" width="30.7109375" style="2" customWidth="1"/>
    <col min="4" max="4" width="15.7109375" style="1" customWidth="1"/>
    <col min="5" max="5" width="60.7109375" style="1" customWidth="1"/>
    <col min="6" max="7" width="10.7109375" style="1" customWidth="1" outlineLevel="1"/>
    <col min="8" max="10" width="15.7109375" style="1" customWidth="1" outlineLevel="1"/>
    <col min="11" max="13" width="5.7109375" style="1" customWidth="1"/>
    <col min="14" max="22" width="7.7109375" style="1" customWidth="1" outlineLevel="1"/>
    <col min="23" max="23" width="2.7109375" style="3" customWidth="1"/>
    <col min="24" max="16384" width="10.7109375" style="3"/>
  </cols>
  <sheetData>
    <row r="1" spans="2:22" x14ac:dyDescent="0.2">
      <c r="C1" s="2" t="s">
        <v>0</v>
      </c>
      <c r="D1" s="1">
        <f>COUNTIF($D$7:$D$31,$C1)</f>
        <v>11</v>
      </c>
    </row>
    <row r="2" spans="2:22" x14ac:dyDescent="0.2">
      <c r="C2" s="2" t="s">
        <v>1</v>
      </c>
      <c r="D2" s="1">
        <f>COUNTIF($D$7:$D$31,$C2)</f>
        <v>12</v>
      </c>
    </row>
    <row r="3" spans="2:22" x14ac:dyDescent="0.2">
      <c r="C3" s="2" t="s">
        <v>2</v>
      </c>
      <c r="D3" s="1">
        <f>COUNTIF($D$7:$D$31,$C3)</f>
        <v>1</v>
      </c>
    </row>
    <row r="4" spans="2:22" x14ac:dyDescent="0.2">
      <c r="C4" s="4" t="s">
        <v>3</v>
      </c>
      <c r="D4" s="5">
        <f>SUM(D1:D3)</f>
        <v>24</v>
      </c>
      <c r="N4" s="6" t="s">
        <v>4</v>
      </c>
      <c r="O4" s="2"/>
      <c r="P4" s="2"/>
      <c r="Q4" s="2"/>
      <c r="R4" s="2"/>
      <c r="S4" s="2"/>
      <c r="T4" s="2"/>
      <c r="U4" s="2"/>
      <c r="V4" s="2"/>
    </row>
    <row r="5" spans="2:22" x14ac:dyDescent="0.2">
      <c r="K5" s="85" t="s">
        <v>5</v>
      </c>
      <c r="L5" s="85"/>
      <c r="M5" s="85"/>
      <c r="N5" s="85" t="s">
        <v>6</v>
      </c>
      <c r="O5" s="85"/>
      <c r="P5" s="85"/>
      <c r="Q5" s="85"/>
      <c r="R5" s="85"/>
      <c r="S5" s="85"/>
      <c r="T5" s="85"/>
      <c r="U5" s="85"/>
      <c r="V5" s="85"/>
    </row>
    <row r="6" spans="2:22" ht="51" x14ac:dyDescent="0.2">
      <c r="B6" s="7" t="s">
        <v>7</v>
      </c>
      <c r="C6" s="7" t="s">
        <v>8</v>
      </c>
      <c r="D6" s="7" t="s">
        <v>9</v>
      </c>
      <c r="E6" s="7" t="s">
        <v>10</v>
      </c>
      <c r="F6" s="7" t="s">
        <v>11</v>
      </c>
      <c r="G6" s="7" t="s">
        <v>12</v>
      </c>
      <c r="H6" s="7" t="s">
        <v>13</v>
      </c>
      <c r="I6" s="7" t="s">
        <v>14</v>
      </c>
      <c r="J6" s="7" t="s">
        <v>15</v>
      </c>
      <c r="K6" s="7">
        <v>2</v>
      </c>
      <c r="L6" s="7">
        <v>3</v>
      </c>
      <c r="M6" s="7">
        <v>4</v>
      </c>
      <c r="N6" s="7">
        <v>2022</v>
      </c>
      <c r="O6" s="7">
        <v>2023</v>
      </c>
      <c r="P6" s="7">
        <v>2024</v>
      </c>
      <c r="Q6" s="7">
        <v>2025</v>
      </c>
      <c r="R6" s="7">
        <v>2026</v>
      </c>
      <c r="S6" s="7">
        <v>2027</v>
      </c>
      <c r="T6" s="7">
        <v>2028</v>
      </c>
      <c r="U6" s="7">
        <v>2029</v>
      </c>
      <c r="V6" s="7">
        <v>2030</v>
      </c>
    </row>
    <row r="7" spans="2:22" ht="51" x14ac:dyDescent="0.2">
      <c r="B7" s="8">
        <v>1</v>
      </c>
      <c r="C7" s="9" t="s">
        <v>16</v>
      </c>
      <c r="D7" s="8" t="s">
        <v>1</v>
      </c>
      <c r="E7" s="10" t="s">
        <v>17</v>
      </c>
      <c r="F7" s="11" t="s">
        <v>18</v>
      </c>
      <c r="G7" s="11" t="s">
        <v>19</v>
      </c>
      <c r="H7" s="11" t="s">
        <v>20</v>
      </c>
      <c r="I7" s="11" t="s">
        <v>21</v>
      </c>
      <c r="J7" s="11" t="s">
        <v>22</v>
      </c>
      <c r="K7" s="11" t="s">
        <v>23</v>
      </c>
      <c r="L7" s="11"/>
      <c r="M7" s="11"/>
      <c r="N7" s="12">
        <v>6.8</v>
      </c>
      <c r="O7" s="12">
        <v>7</v>
      </c>
      <c r="P7" s="12">
        <v>7.2</v>
      </c>
      <c r="Q7" s="12">
        <v>7.4</v>
      </c>
      <c r="R7" s="12">
        <v>7.4</v>
      </c>
      <c r="S7" s="12">
        <v>7.6</v>
      </c>
      <c r="T7" s="12">
        <v>7.6</v>
      </c>
      <c r="U7" s="12">
        <v>7.8</v>
      </c>
      <c r="V7" s="12">
        <v>7.8</v>
      </c>
    </row>
    <row r="8" spans="2:22" ht="51" x14ac:dyDescent="0.2">
      <c r="B8" s="8">
        <v>2</v>
      </c>
      <c r="C8" s="9" t="s">
        <v>24</v>
      </c>
      <c r="D8" s="8" t="s">
        <v>1</v>
      </c>
      <c r="E8" s="10" t="s">
        <v>25</v>
      </c>
      <c r="F8" s="11" t="s">
        <v>26</v>
      </c>
      <c r="G8" s="11" t="s">
        <v>19</v>
      </c>
      <c r="H8" s="11" t="s">
        <v>27</v>
      </c>
      <c r="I8" s="11" t="s">
        <v>28</v>
      </c>
      <c r="J8" s="11" t="s">
        <v>22</v>
      </c>
      <c r="K8" s="11" t="s">
        <v>23</v>
      </c>
      <c r="L8" s="11"/>
      <c r="M8" s="11"/>
      <c r="N8" s="12">
        <v>0</v>
      </c>
      <c r="O8" s="12">
        <v>0</v>
      </c>
      <c r="P8" s="12">
        <v>0</v>
      </c>
      <c r="Q8" s="12">
        <v>0</v>
      </c>
      <c r="R8" s="12">
        <v>0</v>
      </c>
      <c r="S8" s="12">
        <v>0</v>
      </c>
      <c r="T8" s="12">
        <v>5</v>
      </c>
      <c r="U8" s="12">
        <v>5</v>
      </c>
      <c r="V8" s="12">
        <v>5</v>
      </c>
    </row>
    <row r="9" spans="2:22" ht="25.5" x14ac:dyDescent="0.2">
      <c r="B9" s="8">
        <v>3</v>
      </c>
      <c r="C9" s="9" t="s">
        <v>29</v>
      </c>
      <c r="D9" s="8" t="s">
        <v>1</v>
      </c>
      <c r="E9" s="10" t="s">
        <v>30</v>
      </c>
      <c r="F9" s="11" t="s">
        <v>18</v>
      </c>
      <c r="G9" s="11" t="s">
        <v>31</v>
      </c>
      <c r="H9" s="11" t="s">
        <v>20</v>
      </c>
      <c r="I9" s="11" t="s">
        <v>32</v>
      </c>
      <c r="J9" s="11" t="s">
        <v>22</v>
      </c>
      <c r="K9" s="11"/>
      <c r="L9" s="11" t="s">
        <v>23</v>
      </c>
      <c r="M9" s="11" t="s">
        <v>23</v>
      </c>
      <c r="N9" s="12">
        <v>0.4</v>
      </c>
      <c r="O9" s="12">
        <v>0.6</v>
      </c>
      <c r="P9" s="12">
        <v>0.8</v>
      </c>
      <c r="Q9" s="12">
        <v>1.2</v>
      </c>
      <c r="R9" s="12">
        <v>1.6</v>
      </c>
      <c r="S9" s="12">
        <v>2</v>
      </c>
      <c r="T9" s="12">
        <v>2.4</v>
      </c>
      <c r="U9" s="12">
        <v>2.8</v>
      </c>
      <c r="V9" s="12">
        <v>3.4</v>
      </c>
    </row>
    <row r="10" spans="2:22" ht="38.25" x14ac:dyDescent="0.2">
      <c r="B10" s="8">
        <v>4</v>
      </c>
      <c r="C10" s="9" t="s">
        <v>33</v>
      </c>
      <c r="D10" s="8" t="s">
        <v>1</v>
      </c>
      <c r="E10" s="10" t="s">
        <v>34</v>
      </c>
      <c r="F10" s="11" t="s">
        <v>26</v>
      </c>
      <c r="G10" s="11" t="s">
        <v>35</v>
      </c>
      <c r="H10" s="11" t="s">
        <v>20</v>
      </c>
      <c r="I10" s="11" t="s">
        <v>36</v>
      </c>
      <c r="J10" s="11" t="s">
        <v>22</v>
      </c>
      <c r="K10" s="11" t="s">
        <v>23</v>
      </c>
      <c r="L10" s="11"/>
      <c r="M10" s="11" t="s">
        <v>23</v>
      </c>
      <c r="N10" s="12">
        <v>3.6</v>
      </c>
      <c r="O10" s="12">
        <v>7.2</v>
      </c>
      <c r="P10" s="12">
        <v>7.2</v>
      </c>
      <c r="Q10" s="12">
        <v>7.2</v>
      </c>
      <c r="R10" s="12">
        <v>14.4</v>
      </c>
      <c r="S10" s="12">
        <v>14.4</v>
      </c>
      <c r="T10" s="12">
        <v>28.8</v>
      </c>
      <c r="U10" s="12">
        <v>36</v>
      </c>
      <c r="V10" s="12">
        <v>36</v>
      </c>
    </row>
    <row r="11" spans="2:22" ht="38.25" x14ac:dyDescent="0.2">
      <c r="B11" s="8">
        <v>5</v>
      </c>
      <c r="C11" s="9" t="s">
        <v>37</v>
      </c>
      <c r="D11" s="8" t="s">
        <v>1</v>
      </c>
      <c r="E11" s="10" t="s">
        <v>38</v>
      </c>
      <c r="F11" s="11" t="s">
        <v>18</v>
      </c>
      <c r="G11" s="11" t="s">
        <v>39</v>
      </c>
      <c r="H11" s="11" t="s">
        <v>27</v>
      </c>
      <c r="I11" s="11" t="s">
        <v>40</v>
      </c>
      <c r="J11" s="11" t="s">
        <v>22</v>
      </c>
      <c r="K11" s="11"/>
      <c r="L11" s="11" t="s">
        <v>23</v>
      </c>
      <c r="M11" s="11" t="s">
        <v>23</v>
      </c>
      <c r="N11" s="12">
        <v>0.5</v>
      </c>
      <c r="O11" s="12">
        <v>0.75</v>
      </c>
      <c r="P11" s="12">
        <v>0.75</v>
      </c>
      <c r="Q11" s="12">
        <v>0.75</v>
      </c>
      <c r="R11" s="12">
        <v>1.75</v>
      </c>
      <c r="S11" s="12">
        <v>1.75</v>
      </c>
      <c r="T11" s="12">
        <v>3.25</v>
      </c>
      <c r="U11" s="12">
        <v>4.25</v>
      </c>
      <c r="V11" s="12">
        <v>4.25</v>
      </c>
    </row>
    <row r="12" spans="2:22" ht="38.25" x14ac:dyDescent="0.2">
      <c r="B12" s="8">
        <v>6</v>
      </c>
      <c r="C12" s="9" t="s">
        <v>41</v>
      </c>
      <c r="D12" s="8" t="s">
        <v>1</v>
      </c>
      <c r="E12" s="10" t="s">
        <v>42</v>
      </c>
      <c r="F12" s="11" t="s">
        <v>26</v>
      </c>
      <c r="G12" s="11" t="s">
        <v>35</v>
      </c>
      <c r="H12" s="11" t="s">
        <v>27</v>
      </c>
      <c r="I12" s="11" t="s">
        <v>36</v>
      </c>
      <c r="J12" s="11" t="s">
        <v>43</v>
      </c>
      <c r="K12" s="11" t="s">
        <v>23</v>
      </c>
      <c r="L12" s="11"/>
      <c r="M12" s="11"/>
      <c r="N12" s="12">
        <v>0</v>
      </c>
      <c r="O12" s="12">
        <v>0</v>
      </c>
      <c r="P12" s="12">
        <v>0</v>
      </c>
      <c r="Q12" s="12">
        <v>0</v>
      </c>
      <c r="R12" s="12">
        <v>0</v>
      </c>
      <c r="S12" s="12">
        <v>0</v>
      </c>
      <c r="T12" s="12">
        <v>0</v>
      </c>
      <c r="U12" s="12">
        <v>0</v>
      </c>
      <c r="V12" s="12">
        <v>0</v>
      </c>
    </row>
    <row r="13" spans="2:22" ht="51" x14ac:dyDescent="0.2">
      <c r="B13" s="8">
        <v>7</v>
      </c>
      <c r="C13" s="9" t="s">
        <v>44</v>
      </c>
      <c r="D13" s="8" t="s">
        <v>1</v>
      </c>
      <c r="E13" s="10" t="s">
        <v>45</v>
      </c>
      <c r="F13" s="11" t="s">
        <v>26</v>
      </c>
      <c r="G13" s="11" t="s">
        <v>35</v>
      </c>
      <c r="H13" s="11" t="s">
        <v>27</v>
      </c>
      <c r="I13" s="11" t="s">
        <v>28</v>
      </c>
      <c r="J13" s="11" t="s">
        <v>46</v>
      </c>
      <c r="K13" s="11" t="s">
        <v>23</v>
      </c>
      <c r="L13" s="11"/>
      <c r="M13" s="11"/>
      <c r="N13" s="12">
        <v>0</v>
      </c>
      <c r="O13" s="12">
        <v>0</v>
      </c>
      <c r="P13" s="12">
        <v>0</v>
      </c>
      <c r="Q13" s="12">
        <v>0</v>
      </c>
      <c r="R13" s="12">
        <v>0</v>
      </c>
      <c r="S13" s="12">
        <v>0</v>
      </c>
      <c r="T13" s="12">
        <v>0</v>
      </c>
      <c r="U13" s="12">
        <v>0</v>
      </c>
      <c r="V13" s="12">
        <v>0</v>
      </c>
    </row>
    <row r="14" spans="2:22" ht="51" x14ac:dyDescent="0.2">
      <c r="B14" s="8">
        <v>8</v>
      </c>
      <c r="C14" s="9" t="s">
        <v>47</v>
      </c>
      <c r="D14" s="8" t="s">
        <v>1</v>
      </c>
      <c r="E14" s="10" t="s">
        <v>48</v>
      </c>
      <c r="F14" s="11" t="s">
        <v>26</v>
      </c>
      <c r="G14" s="11" t="s">
        <v>35</v>
      </c>
      <c r="H14" s="11" t="s">
        <v>27</v>
      </c>
      <c r="I14" s="11" t="s">
        <v>28</v>
      </c>
      <c r="J14" s="11" t="s">
        <v>43</v>
      </c>
      <c r="K14" s="11" t="s">
        <v>23</v>
      </c>
      <c r="L14" s="11"/>
      <c r="M14" s="11"/>
      <c r="N14" s="12">
        <v>0</v>
      </c>
      <c r="O14" s="12">
        <v>0</v>
      </c>
      <c r="P14" s="12">
        <v>0</v>
      </c>
      <c r="Q14" s="12">
        <v>0</v>
      </c>
      <c r="R14" s="12">
        <v>0</v>
      </c>
      <c r="S14" s="12">
        <v>0</v>
      </c>
      <c r="T14" s="12">
        <v>0</v>
      </c>
      <c r="U14" s="12">
        <v>0</v>
      </c>
      <c r="V14" s="12">
        <v>0</v>
      </c>
    </row>
    <row r="15" spans="2:22" ht="25.5" x14ac:dyDescent="0.2">
      <c r="B15" s="8">
        <v>9</v>
      </c>
      <c r="C15" s="9" t="s">
        <v>49</v>
      </c>
      <c r="D15" s="8" t="s">
        <v>1</v>
      </c>
      <c r="E15" s="10" t="s">
        <v>50</v>
      </c>
      <c r="F15" s="11" t="s">
        <v>18</v>
      </c>
      <c r="G15" s="11" t="s">
        <v>31</v>
      </c>
      <c r="H15" s="11" t="s">
        <v>20</v>
      </c>
      <c r="I15" s="11" t="s">
        <v>32</v>
      </c>
      <c r="J15" s="11" t="s">
        <v>22</v>
      </c>
      <c r="K15" s="11"/>
      <c r="L15" s="11" t="s">
        <v>23</v>
      </c>
      <c r="M15" s="11"/>
      <c r="N15" s="12">
        <v>0.26500000000000001</v>
      </c>
      <c r="O15" s="12">
        <v>0.315</v>
      </c>
      <c r="P15" s="12">
        <v>0.37</v>
      </c>
      <c r="Q15" s="12">
        <v>0.43</v>
      </c>
      <c r="R15" s="12">
        <v>0.495</v>
      </c>
      <c r="S15" s="12">
        <v>0.56000000000000005</v>
      </c>
      <c r="T15" s="12">
        <v>0.63</v>
      </c>
      <c r="U15" s="12">
        <v>0.69499999999999995</v>
      </c>
      <c r="V15" s="12">
        <v>0.76500000000000001</v>
      </c>
    </row>
    <row r="16" spans="2:22" ht="25.5" x14ac:dyDescent="0.2">
      <c r="B16" s="8">
        <v>10</v>
      </c>
      <c r="C16" s="9" t="s">
        <v>51</v>
      </c>
      <c r="D16" s="8" t="s">
        <v>1</v>
      </c>
      <c r="E16" s="10" t="s">
        <v>52</v>
      </c>
      <c r="F16" s="11" t="s">
        <v>18</v>
      </c>
      <c r="G16" s="11" t="s">
        <v>35</v>
      </c>
      <c r="H16" s="11" t="s">
        <v>20</v>
      </c>
      <c r="I16" s="11" t="s">
        <v>36</v>
      </c>
      <c r="J16" s="11" t="s">
        <v>22</v>
      </c>
      <c r="K16" s="11"/>
      <c r="L16" s="11" t="s">
        <v>23</v>
      </c>
      <c r="M16" s="11" t="s">
        <v>23</v>
      </c>
      <c r="N16" s="12">
        <v>1.1200000000000001</v>
      </c>
      <c r="O16" s="12">
        <v>1.145</v>
      </c>
      <c r="P16" s="12">
        <v>1.165</v>
      </c>
      <c r="Q16" s="12">
        <v>1.1850000000000001</v>
      </c>
      <c r="R16" s="12">
        <v>1.2</v>
      </c>
      <c r="S16" s="12">
        <v>1.2150000000000001</v>
      </c>
      <c r="T16" s="12">
        <v>1.23</v>
      </c>
      <c r="U16" s="12">
        <v>1.2450000000000001</v>
      </c>
      <c r="V16" s="12">
        <v>1.26</v>
      </c>
    </row>
    <row r="17" spans="1:22" ht="38.25" x14ac:dyDescent="0.2">
      <c r="B17" s="8">
        <v>11</v>
      </c>
      <c r="C17" s="9" t="s">
        <v>53</v>
      </c>
      <c r="D17" s="8" t="s">
        <v>1</v>
      </c>
      <c r="E17" s="10" t="s">
        <v>54</v>
      </c>
      <c r="F17" s="11" t="s">
        <v>18</v>
      </c>
      <c r="G17" s="11" t="s">
        <v>35</v>
      </c>
      <c r="H17" s="11" t="s">
        <v>20</v>
      </c>
      <c r="I17" s="11" t="s">
        <v>36</v>
      </c>
      <c r="J17" s="11" t="s">
        <v>22</v>
      </c>
      <c r="K17" s="11"/>
      <c r="L17" s="11"/>
      <c r="M17" s="11" t="s">
        <v>23</v>
      </c>
      <c r="N17" s="12">
        <v>0.11</v>
      </c>
      <c r="O17" s="12">
        <v>0.11</v>
      </c>
      <c r="P17" s="12">
        <v>0.11</v>
      </c>
      <c r="Q17" s="12">
        <v>0.11</v>
      </c>
      <c r="R17" s="12">
        <v>0.11</v>
      </c>
      <c r="S17" s="12">
        <v>0.11</v>
      </c>
      <c r="T17" s="12">
        <v>0.11</v>
      </c>
      <c r="U17" s="12">
        <v>0.11</v>
      </c>
      <c r="V17" s="12">
        <v>0.11</v>
      </c>
    </row>
    <row r="18" spans="1:22" ht="25.5" x14ac:dyDescent="0.2">
      <c r="B18" s="8">
        <v>12</v>
      </c>
      <c r="C18" s="9" t="s">
        <v>55</v>
      </c>
      <c r="D18" s="8" t="s">
        <v>0</v>
      </c>
      <c r="E18" s="10" t="s">
        <v>56</v>
      </c>
      <c r="F18" s="11" t="s">
        <v>18</v>
      </c>
      <c r="G18" s="11" t="s">
        <v>31</v>
      </c>
      <c r="H18" s="11" t="s">
        <v>20</v>
      </c>
      <c r="I18" s="11" t="s">
        <v>36</v>
      </c>
      <c r="J18" s="11" t="s">
        <v>57</v>
      </c>
      <c r="K18" s="11"/>
      <c r="L18" s="11"/>
      <c r="M18" s="11"/>
      <c r="N18" s="12">
        <v>13.87</v>
      </c>
      <c r="O18" s="12">
        <v>15</v>
      </c>
      <c r="P18" s="12">
        <v>17.5</v>
      </c>
      <c r="Q18" s="12">
        <v>10.7</v>
      </c>
      <c r="R18" s="12">
        <v>0</v>
      </c>
      <c r="S18" s="12">
        <v>0</v>
      </c>
      <c r="T18" s="12">
        <v>0</v>
      </c>
      <c r="U18" s="12">
        <v>0</v>
      </c>
      <c r="V18" s="12">
        <v>0</v>
      </c>
    </row>
    <row r="19" spans="1:22" ht="38.25" x14ac:dyDescent="0.2">
      <c r="B19" s="8">
        <v>13</v>
      </c>
      <c r="C19" s="9" t="s">
        <v>58</v>
      </c>
      <c r="D19" s="8" t="s">
        <v>0</v>
      </c>
      <c r="E19" s="10" t="s">
        <v>59</v>
      </c>
      <c r="F19" s="11" t="s">
        <v>18</v>
      </c>
      <c r="G19" s="11" t="s">
        <v>31</v>
      </c>
      <c r="H19" s="11" t="s">
        <v>20</v>
      </c>
      <c r="I19" s="11" t="s">
        <v>36</v>
      </c>
      <c r="J19" s="11" t="s">
        <v>22</v>
      </c>
      <c r="K19" s="11"/>
      <c r="L19" s="11"/>
      <c r="M19" s="11"/>
      <c r="N19" s="12">
        <v>0</v>
      </c>
      <c r="O19" s="12">
        <v>0</v>
      </c>
      <c r="P19" s="12">
        <v>0</v>
      </c>
      <c r="Q19" s="12">
        <v>6.8</v>
      </c>
      <c r="R19" s="12">
        <v>18.267490903690632</v>
      </c>
      <c r="S19" s="12">
        <v>19.081447983960388</v>
      </c>
      <c r="T19" s="12">
        <v>19.895405064230726</v>
      </c>
      <c r="U19" s="12">
        <v>20.709362144501064</v>
      </c>
      <c r="V19" s="12">
        <v>21.523319224771694</v>
      </c>
    </row>
    <row r="20" spans="1:22" ht="38.25" x14ac:dyDescent="0.2">
      <c r="B20" s="8">
        <v>14</v>
      </c>
      <c r="C20" s="9" t="s">
        <v>60</v>
      </c>
      <c r="D20" s="8" t="s">
        <v>0</v>
      </c>
      <c r="E20" s="10" t="s">
        <v>61</v>
      </c>
      <c r="F20" s="11" t="s">
        <v>26</v>
      </c>
      <c r="G20" s="11" t="s">
        <v>39</v>
      </c>
      <c r="H20" s="11" t="s">
        <v>20</v>
      </c>
      <c r="I20" s="11" t="s">
        <v>36</v>
      </c>
      <c r="J20" s="11" t="s">
        <v>43</v>
      </c>
      <c r="K20" s="11" t="s">
        <v>23</v>
      </c>
      <c r="L20" s="11" t="s">
        <v>23</v>
      </c>
      <c r="M20" s="11" t="s">
        <v>23</v>
      </c>
      <c r="N20" s="12">
        <v>19</v>
      </c>
      <c r="O20" s="12">
        <v>19</v>
      </c>
      <c r="P20" s="12">
        <v>19</v>
      </c>
      <c r="Q20" s="12">
        <v>19</v>
      </c>
      <c r="R20" s="12">
        <v>19</v>
      </c>
      <c r="S20" s="12">
        <v>22.8</v>
      </c>
      <c r="T20" s="12">
        <v>22.8</v>
      </c>
      <c r="U20" s="12">
        <v>22.8</v>
      </c>
      <c r="V20" s="12">
        <v>22.8</v>
      </c>
    </row>
    <row r="21" spans="1:22" ht="25.5" x14ac:dyDescent="0.2">
      <c r="B21" s="8">
        <v>15</v>
      </c>
      <c r="C21" s="9" t="s">
        <v>62</v>
      </c>
      <c r="D21" s="8" t="s">
        <v>0</v>
      </c>
      <c r="E21" s="10" t="s">
        <v>63</v>
      </c>
      <c r="F21" s="11" t="s">
        <v>26</v>
      </c>
      <c r="G21" s="11" t="s">
        <v>39</v>
      </c>
      <c r="H21" s="11" t="s">
        <v>20</v>
      </c>
      <c r="I21" s="11" t="s">
        <v>64</v>
      </c>
      <c r="J21" s="11" t="s">
        <v>43</v>
      </c>
      <c r="K21" s="11" t="s">
        <v>23</v>
      </c>
      <c r="L21" s="11" t="s">
        <v>23</v>
      </c>
      <c r="M21" s="11" t="s">
        <v>23</v>
      </c>
      <c r="N21" s="12">
        <v>3.8</v>
      </c>
      <c r="O21" s="12">
        <v>3.8</v>
      </c>
      <c r="P21" s="12">
        <v>3.8</v>
      </c>
      <c r="Q21" s="12">
        <v>3.8</v>
      </c>
      <c r="R21" s="12">
        <v>3.8</v>
      </c>
      <c r="S21" s="12">
        <v>3.8</v>
      </c>
      <c r="T21" s="12">
        <v>3.8</v>
      </c>
      <c r="U21" s="12">
        <v>3.8</v>
      </c>
      <c r="V21" s="12">
        <v>3.8</v>
      </c>
    </row>
    <row r="22" spans="1:22" ht="51" x14ac:dyDescent="0.2">
      <c r="B22" s="8">
        <v>16</v>
      </c>
      <c r="C22" s="9" t="s">
        <v>65</v>
      </c>
      <c r="D22" s="8" t="s">
        <v>0</v>
      </c>
      <c r="E22" s="10" t="s">
        <v>66</v>
      </c>
      <c r="F22" s="11" t="s">
        <v>26</v>
      </c>
      <c r="G22" s="11" t="s">
        <v>19</v>
      </c>
      <c r="H22" s="11" t="s">
        <v>20</v>
      </c>
      <c r="I22" s="11" t="s">
        <v>21</v>
      </c>
      <c r="J22" s="11" t="s">
        <v>22</v>
      </c>
      <c r="K22" s="11" t="s">
        <v>23</v>
      </c>
      <c r="L22" s="11"/>
      <c r="M22" s="11"/>
      <c r="N22" s="12">
        <v>2.8</v>
      </c>
      <c r="O22" s="12">
        <v>2.8</v>
      </c>
      <c r="P22" s="12">
        <v>2.8</v>
      </c>
      <c r="Q22" s="12">
        <v>2.8</v>
      </c>
      <c r="R22" s="12">
        <v>4.8</v>
      </c>
      <c r="S22" s="12">
        <v>6.8</v>
      </c>
      <c r="T22" s="12">
        <v>8.8000000000000007</v>
      </c>
      <c r="U22" s="12">
        <v>11.2</v>
      </c>
      <c r="V22" s="12">
        <v>13.2</v>
      </c>
    </row>
    <row r="23" spans="1:22" ht="38.25" x14ac:dyDescent="0.2">
      <c r="B23" s="8">
        <v>17</v>
      </c>
      <c r="C23" s="9" t="s">
        <v>67</v>
      </c>
      <c r="D23" s="8" t="s">
        <v>0</v>
      </c>
      <c r="E23" s="10" t="s">
        <v>68</v>
      </c>
      <c r="F23" s="11" t="s">
        <v>18</v>
      </c>
      <c r="G23" s="11" t="s">
        <v>31</v>
      </c>
      <c r="H23" s="11" t="s">
        <v>20</v>
      </c>
      <c r="I23" s="11" t="s">
        <v>32</v>
      </c>
      <c r="J23" s="11" t="s">
        <v>22</v>
      </c>
      <c r="K23" s="11"/>
      <c r="L23" s="11" t="s">
        <v>23</v>
      </c>
      <c r="M23" s="11"/>
      <c r="N23" s="12">
        <v>5.2190000000000003</v>
      </c>
      <c r="O23" s="12">
        <v>5.2190000000000003</v>
      </c>
      <c r="P23" s="12">
        <v>5.2190000000000003</v>
      </c>
      <c r="Q23" s="12">
        <v>5.2190000000000003</v>
      </c>
      <c r="R23" s="12">
        <v>7.0609999999999999</v>
      </c>
      <c r="S23" s="12">
        <v>8.5960000000000001</v>
      </c>
      <c r="T23" s="12">
        <v>10.131</v>
      </c>
      <c r="U23" s="12">
        <v>11.666</v>
      </c>
      <c r="V23" s="12">
        <v>13.201000000000001</v>
      </c>
    </row>
    <row r="24" spans="1:22" ht="38.25" x14ac:dyDescent="0.2">
      <c r="B24" s="8">
        <v>18</v>
      </c>
      <c r="C24" s="9" t="s">
        <v>69</v>
      </c>
      <c r="D24" s="8" t="s">
        <v>0</v>
      </c>
      <c r="E24" s="10" t="s">
        <v>70</v>
      </c>
      <c r="F24" s="11" t="s">
        <v>26</v>
      </c>
      <c r="G24" s="11" t="s">
        <v>39</v>
      </c>
      <c r="H24" s="11" t="s">
        <v>20</v>
      </c>
      <c r="I24" s="11" t="s">
        <v>36</v>
      </c>
      <c r="J24" s="11" t="s">
        <v>22</v>
      </c>
      <c r="K24" s="11" t="s">
        <v>23</v>
      </c>
      <c r="L24" s="11"/>
      <c r="M24" s="11" t="s">
        <v>23</v>
      </c>
      <c r="N24" s="12">
        <v>8.4</v>
      </c>
      <c r="O24" s="12">
        <v>12.8</v>
      </c>
      <c r="P24" s="12">
        <v>17.2</v>
      </c>
      <c r="Q24" s="12">
        <v>21.6</v>
      </c>
      <c r="R24" s="12">
        <v>21.6</v>
      </c>
      <c r="S24" s="12">
        <v>21.6</v>
      </c>
      <c r="T24" s="12">
        <v>21.6</v>
      </c>
      <c r="U24" s="12">
        <v>21.6</v>
      </c>
      <c r="V24" s="12">
        <v>21.6</v>
      </c>
    </row>
    <row r="25" spans="1:22" ht="38.25" x14ac:dyDescent="0.2">
      <c r="B25" s="8">
        <v>19</v>
      </c>
      <c r="C25" s="9" t="s">
        <v>71</v>
      </c>
      <c r="D25" s="8" t="s">
        <v>0</v>
      </c>
      <c r="E25" s="10" t="s">
        <v>72</v>
      </c>
      <c r="F25" s="11" t="s">
        <v>18</v>
      </c>
      <c r="G25" s="11" t="s">
        <v>73</v>
      </c>
      <c r="H25" s="11" t="s">
        <v>20</v>
      </c>
      <c r="I25" s="11" t="s">
        <v>74</v>
      </c>
      <c r="J25" s="11" t="s">
        <v>22</v>
      </c>
      <c r="K25" s="11"/>
      <c r="L25" s="11" t="s">
        <v>23</v>
      </c>
      <c r="M25" s="11" t="s">
        <v>23</v>
      </c>
      <c r="N25" s="12">
        <v>8.3000000000000004E-2</v>
      </c>
      <c r="O25" s="12">
        <v>8.3000000000000004E-2</v>
      </c>
      <c r="P25" s="12">
        <v>8.3000000000000004E-2</v>
      </c>
      <c r="Q25" s="12">
        <v>8.3000000000000004E-2</v>
      </c>
      <c r="R25" s="12">
        <v>8.3000000000000004E-2</v>
      </c>
      <c r="S25" s="12">
        <v>0.16600000000000001</v>
      </c>
      <c r="T25" s="12">
        <v>0.249</v>
      </c>
      <c r="U25" s="12">
        <v>0.249</v>
      </c>
      <c r="V25" s="12">
        <v>0.33200000000000002</v>
      </c>
    </row>
    <row r="26" spans="1:22" ht="25.5" x14ac:dyDescent="0.2">
      <c r="B26" s="8">
        <v>20</v>
      </c>
      <c r="C26" s="9" t="s">
        <v>75</v>
      </c>
      <c r="D26" s="8" t="s">
        <v>0</v>
      </c>
      <c r="E26" s="10" t="s">
        <v>76</v>
      </c>
      <c r="F26" s="11" t="s">
        <v>18</v>
      </c>
      <c r="G26" s="11" t="s">
        <v>73</v>
      </c>
      <c r="H26" s="11" t="s">
        <v>20</v>
      </c>
      <c r="I26" s="11" t="s">
        <v>74</v>
      </c>
      <c r="J26" s="11" t="s">
        <v>22</v>
      </c>
      <c r="K26" s="11"/>
      <c r="L26" s="11" t="s">
        <v>23</v>
      </c>
      <c r="M26" s="11"/>
      <c r="N26" s="12">
        <v>0.41499999999999998</v>
      </c>
      <c r="O26" s="12">
        <v>0.41499999999999998</v>
      </c>
      <c r="P26" s="12">
        <v>0.41499999999999998</v>
      </c>
      <c r="Q26" s="12">
        <v>0.41499999999999998</v>
      </c>
      <c r="R26" s="12">
        <v>0.498</v>
      </c>
      <c r="S26" s="12">
        <v>0.498</v>
      </c>
      <c r="T26" s="12">
        <v>0.58099999999999996</v>
      </c>
      <c r="U26" s="12">
        <v>0.66400000000000003</v>
      </c>
      <c r="V26" s="12">
        <v>0.66400000000000003</v>
      </c>
    </row>
    <row r="27" spans="1:22" ht="38.25" customHeight="1" x14ac:dyDescent="0.2">
      <c r="A27" s="13"/>
      <c r="B27" s="86">
        <v>21</v>
      </c>
      <c r="C27" s="83" t="s">
        <v>77</v>
      </c>
      <c r="D27" s="88" t="s">
        <v>2</v>
      </c>
      <c r="E27" s="83" t="s">
        <v>78</v>
      </c>
      <c r="F27" s="83" t="s">
        <v>18</v>
      </c>
      <c r="G27" s="83" t="s">
        <v>31</v>
      </c>
      <c r="H27" s="83" t="s">
        <v>20</v>
      </c>
      <c r="I27" s="83" t="s">
        <v>36</v>
      </c>
      <c r="J27" s="83" t="s">
        <v>22</v>
      </c>
      <c r="K27" s="14"/>
      <c r="L27" s="14" t="s">
        <v>23</v>
      </c>
      <c r="M27" s="14"/>
      <c r="N27" s="15">
        <v>2.8679999999999999</v>
      </c>
      <c r="O27" s="15">
        <v>3.456</v>
      </c>
      <c r="P27" s="15">
        <v>4.1159999999999997</v>
      </c>
      <c r="Q27" s="15">
        <v>4.8419999999999996</v>
      </c>
      <c r="R27" s="15">
        <v>5.64</v>
      </c>
      <c r="S27" s="15">
        <v>6.5039999999999996</v>
      </c>
      <c r="T27" s="15">
        <v>7.4340000000000002</v>
      </c>
      <c r="U27" s="15">
        <v>8.4179999999999993</v>
      </c>
      <c r="V27" s="15">
        <v>9.4559999999999995</v>
      </c>
    </row>
    <row r="28" spans="1:22" x14ac:dyDescent="0.2">
      <c r="A28" s="13"/>
      <c r="B28" s="87"/>
      <c r="C28" s="84"/>
      <c r="D28" s="89"/>
      <c r="E28" s="84"/>
      <c r="F28" s="84"/>
      <c r="G28" s="84"/>
      <c r="H28" s="84"/>
      <c r="I28" s="84"/>
      <c r="J28" s="84"/>
      <c r="K28" s="14"/>
      <c r="L28" s="14" t="s">
        <v>23</v>
      </c>
      <c r="M28" s="14"/>
      <c r="N28" s="12">
        <v>2.39</v>
      </c>
      <c r="O28" s="12">
        <v>2.88</v>
      </c>
      <c r="P28" s="12">
        <v>3.43</v>
      </c>
      <c r="Q28" s="12">
        <v>4.0350000000000001</v>
      </c>
      <c r="R28" s="12">
        <v>4.7</v>
      </c>
      <c r="S28" s="12">
        <v>5.42</v>
      </c>
      <c r="T28" s="12">
        <v>6.1950000000000003</v>
      </c>
      <c r="U28" s="12">
        <v>7.0149999999999997</v>
      </c>
      <c r="V28" s="12">
        <v>7.88</v>
      </c>
    </row>
    <row r="29" spans="1:22" ht="38.25" x14ac:dyDescent="0.2">
      <c r="B29" s="8">
        <v>22</v>
      </c>
      <c r="C29" s="9" t="s">
        <v>79</v>
      </c>
      <c r="D29" s="8" t="s">
        <v>0</v>
      </c>
      <c r="E29" s="10" t="s">
        <v>80</v>
      </c>
      <c r="F29" s="11" t="s">
        <v>26</v>
      </c>
      <c r="G29" s="11" t="s">
        <v>39</v>
      </c>
      <c r="H29" s="11" t="s">
        <v>20</v>
      </c>
      <c r="I29" s="11" t="s">
        <v>36</v>
      </c>
      <c r="J29" s="11" t="s">
        <v>22</v>
      </c>
      <c r="K29" s="11"/>
      <c r="L29" s="11"/>
      <c r="M29" s="11" t="s">
        <v>23</v>
      </c>
      <c r="N29" s="12">
        <v>0.64800000000000002</v>
      </c>
      <c r="O29" s="12">
        <v>0.97799999999999998</v>
      </c>
      <c r="P29" s="12">
        <v>1.38</v>
      </c>
      <c r="Q29" s="12">
        <v>1.788</v>
      </c>
      <c r="R29" s="12">
        <v>2.4660000000000002</v>
      </c>
      <c r="S29" s="12">
        <v>3.2759999999999998</v>
      </c>
      <c r="T29" s="12">
        <v>4.1820000000000004</v>
      </c>
      <c r="U29" s="12">
        <v>5.2859999999999996</v>
      </c>
      <c r="V29" s="12">
        <v>6.6779999999999999</v>
      </c>
    </row>
    <row r="30" spans="1:22" ht="38.25" x14ac:dyDescent="0.2">
      <c r="B30" s="8">
        <v>23</v>
      </c>
      <c r="C30" s="9" t="s">
        <v>81</v>
      </c>
      <c r="D30" s="8" t="s">
        <v>0</v>
      </c>
      <c r="E30" s="9" t="s">
        <v>82</v>
      </c>
      <c r="F30" s="11" t="s">
        <v>26</v>
      </c>
      <c r="G30" s="11" t="s">
        <v>39</v>
      </c>
      <c r="H30" s="11" t="s">
        <v>20</v>
      </c>
      <c r="I30" s="11" t="s">
        <v>36</v>
      </c>
      <c r="J30" s="11" t="s">
        <v>22</v>
      </c>
      <c r="K30" s="11"/>
      <c r="L30" s="11"/>
      <c r="M30" s="11" t="s">
        <v>23</v>
      </c>
      <c r="N30" s="16">
        <v>0.09</v>
      </c>
      <c r="O30" s="16">
        <v>0.13800000000000001</v>
      </c>
      <c r="P30" s="16">
        <v>0.19800000000000001</v>
      </c>
      <c r="Q30" s="16">
        <v>0.252</v>
      </c>
      <c r="R30" s="16">
        <v>0.34799999999999998</v>
      </c>
      <c r="S30" s="16">
        <v>0.46200000000000002</v>
      </c>
      <c r="T30" s="16">
        <v>0.59399999999999997</v>
      </c>
      <c r="U30" s="16">
        <v>0.75</v>
      </c>
      <c r="V30" s="16">
        <v>0.94799999999999995</v>
      </c>
    </row>
    <row r="31" spans="1:22" ht="38.25" x14ac:dyDescent="0.2">
      <c r="B31" s="8">
        <v>24</v>
      </c>
      <c r="C31" s="9" t="s">
        <v>83</v>
      </c>
      <c r="D31" s="8" t="s">
        <v>1</v>
      </c>
      <c r="E31" s="10" t="s">
        <v>84</v>
      </c>
      <c r="F31" s="11" t="s">
        <v>18</v>
      </c>
      <c r="G31" s="11" t="s">
        <v>31</v>
      </c>
      <c r="H31" s="11" t="s">
        <v>20</v>
      </c>
      <c r="I31" s="11" t="s">
        <v>32</v>
      </c>
      <c r="J31" s="11" t="s">
        <v>22</v>
      </c>
      <c r="K31" s="8"/>
      <c r="L31" s="8" t="s">
        <v>23</v>
      </c>
      <c r="M31" s="8"/>
      <c r="N31" s="16">
        <v>0.2</v>
      </c>
      <c r="O31" s="16">
        <v>0.4</v>
      </c>
      <c r="P31" s="16">
        <v>0.4</v>
      </c>
      <c r="Q31" s="16">
        <v>0.6</v>
      </c>
      <c r="R31" s="16">
        <v>0.8</v>
      </c>
      <c r="S31" s="16">
        <v>1</v>
      </c>
      <c r="T31" s="16">
        <v>1.2</v>
      </c>
      <c r="U31" s="16">
        <v>1.4</v>
      </c>
      <c r="V31" s="16">
        <v>1.8</v>
      </c>
    </row>
    <row r="33" spans="1:2" x14ac:dyDescent="0.2">
      <c r="A33" s="17" t="s">
        <v>4</v>
      </c>
      <c r="B33" s="1" t="s">
        <v>85</v>
      </c>
    </row>
    <row r="34" spans="1:2" x14ac:dyDescent="0.2">
      <c r="B34" s="72" t="s">
        <v>185</v>
      </c>
    </row>
  </sheetData>
  <mergeCells count="11">
    <mergeCell ref="J27:J28"/>
    <mergeCell ref="K5:M5"/>
    <mergeCell ref="N5:V5"/>
    <mergeCell ref="B27:B28"/>
    <mergeCell ref="C27:C28"/>
    <mergeCell ref="D27:D28"/>
    <mergeCell ref="E27:E28"/>
    <mergeCell ref="F27:F28"/>
    <mergeCell ref="G27:G28"/>
    <mergeCell ref="H27:H28"/>
    <mergeCell ref="I27:I28"/>
  </mergeCells>
  <hyperlinks>
    <hyperlink ref="B34" r:id="rId1"/>
  </hyperlinks>
  <pageMargins left="0.7" right="0.7" top="0.75" bottom="0.75" header="0.3" footer="0.3"/>
  <pageSetup orientation="portrait" r:id="rId2"/>
  <headerFooter>
    <oddHeader>&amp;LAppendix D-2: DER Preferred Portfolio Selection&amp;RClean Energy Implementation Plan</oddHeader>
    <oddFooter>&amp;LDECEMBER 17, 2021&amp;C&amp;P of &amp;N&amp;RPuget Sound Energy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7"/>
  <sheetViews>
    <sheetView zoomScaleNormal="100" workbookViewId="0">
      <selection activeCell="D20" sqref="D20"/>
    </sheetView>
  </sheetViews>
  <sheetFormatPr defaultColWidth="10.7109375" defaultRowHeight="12.75" x14ac:dyDescent="0.25"/>
  <cols>
    <col min="1" max="1" width="2.7109375" style="1" customWidth="1"/>
    <col min="2" max="2" width="8.7109375" style="1" customWidth="1"/>
    <col min="3" max="3" width="60.7109375" style="2" customWidth="1"/>
    <col min="4" max="4" width="30.7109375" style="73" customWidth="1"/>
    <col min="5" max="5" width="2.7109375" style="1" customWidth="1"/>
    <col min="6" max="16384" width="10.7109375" style="1"/>
  </cols>
  <sheetData>
    <row r="2" spans="2:4" x14ac:dyDescent="0.25">
      <c r="B2" s="29" t="s">
        <v>98</v>
      </c>
      <c r="C2" s="18" t="s">
        <v>106</v>
      </c>
      <c r="D2" s="18" t="s">
        <v>170</v>
      </c>
    </row>
    <row r="3" spans="2:4" ht="38.25" x14ac:dyDescent="0.25">
      <c r="B3" s="30">
        <v>1</v>
      </c>
      <c r="C3" s="2" t="s">
        <v>189</v>
      </c>
      <c r="D3" s="77" t="s">
        <v>171</v>
      </c>
    </row>
    <row r="4" spans="2:4" ht="38.25" customHeight="1" x14ac:dyDescent="0.25">
      <c r="B4" s="30">
        <v>2</v>
      </c>
      <c r="C4" s="2" t="s">
        <v>155</v>
      </c>
      <c r="D4" s="90" t="s">
        <v>172</v>
      </c>
    </row>
    <row r="5" spans="2:4" x14ac:dyDescent="0.25">
      <c r="B5" s="30">
        <v>3</v>
      </c>
      <c r="C5" s="2" t="s">
        <v>99</v>
      </c>
      <c r="D5" s="90"/>
    </row>
    <row r="6" spans="2:4" ht="25.5" x14ac:dyDescent="0.25">
      <c r="B6" s="30">
        <v>4</v>
      </c>
      <c r="C6" s="2" t="s">
        <v>100</v>
      </c>
      <c r="D6" s="90"/>
    </row>
    <row r="7" spans="2:4" ht="38.25" x14ac:dyDescent="0.25">
      <c r="B7" s="30">
        <v>5</v>
      </c>
      <c r="C7" s="2" t="s">
        <v>101</v>
      </c>
      <c r="D7" s="77" t="s">
        <v>173</v>
      </c>
    </row>
  </sheetData>
  <mergeCells count="1">
    <mergeCell ref="D4:D6"/>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Y46"/>
  <sheetViews>
    <sheetView zoomScaleNormal="100" workbookViewId="0">
      <pane xSplit="8" ySplit="17" topLeftCell="I18" activePane="bottomRight" state="frozen"/>
      <selection activeCell="D20" sqref="D20"/>
      <selection pane="topRight" activeCell="D20" sqref="D20"/>
      <selection pane="bottomLeft" activeCell="D20" sqref="D20"/>
      <selection pane="bottomRight" activeCell="D20" sqref="D20"/>
    </sheetView>
  </sheetViews>
  <sheetFormatPr defaultColWidth="10.7109375" defaultRowHeight="15" outlineLevelRow="1" outlineLevelCol="1" x14ac:dyDescent="0.25"/>
  <cols>
    <col min="1" max="1" width="2.7109375" style="2" customWidth="1"/>
    <col min="2" max="2" width="5.7109375" style="2" customWidth="1"/>
    <col min="3" max="3" width="30.7109375" style="2" customWidth="1"/>
    <col min="4" max="8" width="10.7109375" style="2" customWidth="1"/>
    <col min="9" max="12" width="7.7109375" style="2" customWidth="1"/>
    <col min="13" max="17" width="7.7109375" style="2" hidden="1" customWidth="1" outlineLevel="1"/>
    <col min="18" max="18" width="10.7109375" style="2" customWidth="1" collapsed="1"/>
    <col min="19" max="19" width="16.140625" style="2" customWidth="1"/>
    <col min="20" max="20" width="8.7109375" style="2" customWidth="1"/>
    <col min="21" max="21" width="10.7109375" style="2" customWidth="1"/>
    <col min="22" max="22" width="6.7109375" style="2" customWidth="1" outlineLevel="1"/>
    <col min="23" max="23" width="60.7109375" style="2" customWidth="1"/>
    <col min="25" max="16384" width="10.7109375" style="2"/>
  </cols>
  <sheetData>
    <row r="1" spans="2:24" x14ac:dyDescent="0.25">
      <c r="B1" s="18" t="s">
        <v>109</v>
      </c>
      <c r="C1" s="18" t="s">
        <v>110</v>
      </c>
    </row>
    <row r="2" spans="2:24" ht="12.75" x14ac:dyDescent="0.2">
      <c r="B2" s="51" t="s">
        <v>124</v>
      </c>
      <c r="C2" s="52" t="s">
        <v>188</v>
      </c>
      <c r="X2" s="3"/>
    </row>
    <row r="3" spans="2:24" ht="12.75" x14ac:dyDescent="0.2">
      <c r="B3" s="53" t="s">
        <v>123</v>
      </c>
      <c r="C3" s="1" t="s">
        <v>156</v>
      </c>
      <c r="X3" s="3"/>
    </row>
    <row r="4" spans="2:24" ht="12.75" x14ac:dyDescent="0.2">
      <c r="B4" s="51">
        <v>1</v>
      </c>
      <c r="C4" s="1" t="s">
        <v>190</v>
      </c>
      <c r="X4" s="3"/>
    </row>
    <row r="5" spans="2:24" ht="12.75" x14ac:dyDescent="0.2">
      <c r="B5" s="51">
        <v>2</v>
      </c>
      <c r="C5" s="1" t="s">
        <v>174</v>
      </c>
      <c r="X5" s="3"/>
    </row>
    <row r="6" spans="2:24" ht="12.75" x14ac:dyDescent="0.2">
      <c r="B6" s="51">
        <v>3</v>
      </c>
      <c r="C6" s="1" t="s">
        <v>175</v>
      </c>
      <c r="X6" s="3"/>
    </row>
    <row r="7" spans="2:24" ht="12.75" x14ac:dyDescent="0.2">
      <c r="B7" s="51">
        <v>4</v>
      </c>
      <c r="C7" s="1" t="s">
        <v>111</v>
      </c>
      <c r="X7" s="3"/>
    </row>
    <row r="8" spans="2:24" s="73" customFormat="1" ht="12.75" x14ac:dyDescent="0.2">
      <c r="B8" s="51" t="s">
        <v>176</v>
      </c>
      <c r="C8" s="1" t="s">
        <v>177</v>
      </c>
      <c r="X8" s="3"/>
    </row>
    <row r="9" spans="2:24" ht="25.5" hidden="1" customHeight="1" outlineLevel="1" x14ac:dyDescent="0.2">
      <c r="B9" s="6" t="s">
        <v>4</v>
      </c>
      <c r="C9" s="92" t="s">
        <v>169</v>
      </c>
      <c r="D9" s="92"/>
      <c r="E9" s="92"/>
      <c r="F9" s="92"/>
      <c r="G9" s="92"/>
      <c r="H9" s="92"/>
      <c r="I9" s="92"/>
      <c r="J9" s="92"/>
      <c r="K9" s="92"/>
      <c r="L9" s="92"/>
      <c r="M9" s="92"/>
      <c r="N9" s="92"/>
      <c r="O9" s="92"/>
      <c r="P9" s="92"/>
      <c r="Q9" s="92"/>
      <c r="R9" s="92"/>
      <c r="S9" s="92"/>
      <c r="T9" s="92"/>
      <c r="U9" s="92"/>
      <c r="V9" s="92"/>
      <c r="W9" s="92"/>
      <c r="X9" s="3"/>
    </row>
    <row r="10" spans="2:24" ht="12.75" hidden="1" outlineLevel="1" x14ac:dyDescent="0.2">
      <c r="B10" s="6"/>
      <c r="C10" s="72" t="s">
        <v>204</v>
      </c>
      <c r="X10" s="3"/>
    </row>
    <row r="11" spans="2:24" ht="12.75" hidden="1" outlineLevel="1" x14ac:dyDescent="0.2">
      <c r="B11" s="6" t="s">
        <v>146</v>
      </c>
      <c r="C11" s="1" t="s">
        <v>187</v>
      </c>
      <c r="X11" s="3"/>
    </row>
    <row r="12" spans="2:24" ht="12.75" hidden="1" outlineLevel="1" x14ac:dyDescent="0.2">
      <c r="B12" s="6" t="s">
        <v>147</v>
      </c>
      <c r="C12" s="1" t="s">
        <v>186</v>
      </c>
      <c r="X12" s="3"/>
    </row>
    <row r="13" spans="2:24" ht="12.75" hidden="1" outlineLevel="1" x14ac:dyDescent="0.2">
      <c r="B13" s="6" t="s">
        <v>149</v>
      </c>
      <c r="C13" s="1" t="s">
        <v>168</v>
      </c>
      <c r="X13" s="3"/>
    </row>
    <row r="14" spans="2:24" ht="12.75" hidden="1" outlineLevel="1" x14ac:dyDescent="0.2">
      <c r="B14" s="6"/>
      <c r="C14" s="72" t="s">
        <v>203</v>
      </c>
      <c r="X14" s="3"/>
    </row>
    <row r="15" spans="2:24" ht="12.75" hidden="1" outlineLevel="1" x14ac:dyDescent="0.2">
      <c r="B15" s="6" t="s">
        <v>153</v>
      </c>
      <c r="C15" s="1" t="s">
        <v>167</v>
      </c>
      <c r="X15" s="3"/>
    </row>
    <row r="16" spans="2:24" ht="12.75" collapsed="1" x14ac:dyDescent="0.2">
      <c r="H16" s="18"/>
      <c r="I16" s="91" t="s">
        <v>4</v>
      </c>
      <c r="J16" s="91"/>
      <c r="K16" s="91"/>
      <c r="L16" s="91"/>
      <c r="M16" s="91"/>
      <c r="N16" s="91"/>
      <c r="O16" s="91"/>
      <c r="P16" s="91"/>
      <c r="Q16" s="91"/>
      <c r="R16" s="91"/>
      <c r="S16" s="71" t="s">
        <v>146</v>
      </c>
      <c r="T16" s="71" t="s">
        <v>147</v>
      </c>
      <c r="U16" s="71" t="s">
        <v>149</v>
      </c>
      <c r="V16" s="71" t="s">
        <v>153</v>
      </c>
      <c r="W16" s="55"/>
      <c r="X16" s="3"/>
    </row>
    <row r="17" spans="2:23" s="18" customFormat="1" ht="38.25" x14ac:dyDescent="0.25">
      <c r="B17" s="7" t="s">
        <v>7</v>
      </c>
      <c r="C17" s="7" t="s">
        <v>8</v>
      </c>
      <c r="D17" s="7" t="s">
        <v>9</v>
      </c>
      <c r="E17" s="7" t="s">
        <v>11</v>
      </c>
      <c r="F17" s="7" t="s">
        <v>12</v>
      </c>
      <c r="G17" s="7" t="s">
        <v>13</v>
      </c>
      <c r="H17" s="7" t="s">
        <v>14</v>
      </c>
      <c r="I17" s="7">
        <v>2022</v>
      </c>
      <c r="J17" s="7">
        <v>2023</v>
      </c>
      <c r="K17" s="7">
        <v>2024</v>
      </c>
      <c r="L17" s="7">
        <v>2025</v>
      </c>
      <c r="M17" s="7">
        <v>2026</v>
      </c>
      <c r="N17" s="7">
        <v>2027</v>
      </c>
      <c r="O17" s="7">
        <v>2028</v>
      </c>
      <c r="P17" s="7">
        <v>2029</v>
      </c>
      <c r="Q17" s="7">
        <v>2030</v>
      </c>
      <c r="R17" s="7" t="s">
        <v>89</v>
      </c>
      <c r="S17" s="7" t="s">
        <v>104</v>
      </c>
      <c r="T17" s="7" t="s">
        <v>88</v>
      </c>
      <c r="U17" s="36" t="s">
        <v>140</v>
      </c>
      <c r="V17" s="7" t="s">
        <v>103</v>
      </c>
      <c r="W17" s="7" t="s">
        <v>91</v>
      </c>
    </row>
    <row r="18" spans="2:23" ht="25.5" x14ac:dyDescent="0.25">
      <c r="B18" s="11">
        <v>14</v>
      </c>
      <c r="C18" s="9" t="s">
        <v>60</v>
      </c>
      <c r="D18" s="11" t="s">
        <v>0</v>
      </c>
      <c r="E18" s="58" t="s">
        <v>26</v>
      </c>
      <c r="F18" s="38" t="s">
        <v>39</v>
      </c>
      <c r="G18" s="58" t="s">
        <v>20</v>
      </c>
      <c r="H18" s="38" t="s">
        <v>36</v>
      </c>
      <c r="I18" s="81">
        <v>5.6</v>
      </c>
      <c r="J18" s="81">
        <v>4.8</v>
      </c>
      <c r="K18" s="81">
        <v>5.6</v>
      </c>
      <c r="L18" s="81">
        <v>0</v>
      </c>
      <c r="M18" s="12">
        <f>INDEX('DER Concepts'!$B$6:$V$31,MATCH($B18,'DER Concepts'!$B$6:$B$31,0),MATCH(M$17,'DER Concepts'!$B$6:$V$6,0))</f>
        <v>19</v>
      </c>
      <c r="N18" s="12">
        <f>INDEX('DER Concepts'!$B$6:$V$31,MATCH($B18,'DER Concepts'!$B$6:$B$31,0),MATCH(N$17,'DER Concepts'!$B$6:$V$6,0))</f>
        <v>22.8</v>
      </c>
      <c r="O18" s="12">
        <f>INDEX('DER Concepts'!$B$6:$V$31,MATCH($B18,'DER Concepts'!$B$6:$B$31,0),MATCH(O$17,'DER Concepts'!$B$6:$V$6,0))</f>
        <v>22.8</v>
      </c>
      <c r="P18" s="12">
        <f>INDEX('DER Concepts'!$B$6:$V$31,MATCH($B18,'DER Concepts'!$B$6:$B$31,0),MATCH(P$17,'DER Concepts'!$B$6:$V$6,0))</f>
        <v>22.8</v>
      </c>
      <c r="Q18" s="12">
        <f>INDEX('DER Concepts'!$B$6:$V$31,MATCH($B18,'DER Concepts'!$B$6:$B$31,0),MATCH(Q$17,'DER Concepts'!$B$6:$V$6,0))</f>
        <v>22.8</v>
      </c>
      <c r="R18" s="12">
        <f t="shared" ref="R18:R43" si="0">SUM(I18:L18)</f>
        <v>15.999999999999998</v>
      </c>
      <c r="S18" s="46">
        <v>-1.8382226655134737</v>
      </c>
      <c r="T18" s="20">
        <v>0.27205278634052843</v>
      </c>
      <c r="U18" s="19">
        <f>INDEX(CBI!$B$10:$H$35,MATCH($B18,CBI!$B$10:$B$35,0),MATCH(U$17,CBI!$B$10:$H$10,0))</f>
        <v>14</v>
      </c>
      <c r="V18" s="21" t="s">
        <v>23</v>
      </c>
      <c r="W18" s="9" t="s">
        <v>92</v>
      </c>
    </row>
    <row r="19" spans="2:23" ht="25.5" x14ac:dyDescent="0.25">
      <c r="B19" s="11">
        <v>24</v>
      </c>
      <c r="C19" s="9" t="s">
        <v>83</v>
      </c>
      <c r="D19" s="11" t="s">
        <v>1</v>
      </c>
      <c r="E19" s="58" t="s">
        <v>18</v>
      </c>
      <c r="F19" s="11" t="s">
        <v>31</v>
      </c>
      <c r="G19" s="58" t="s">
        <v>20</v>
      </c>
      <c r="H19" s="11" t="s">
        <v>32</v>
      </c>
      <c r="I19" s="81">
        <v>0</v>
      </c>
      <c r="J19" s="81">
        <f>INDEX('DER Concepts'!$B$6:$V$31,MATCH($B19,'DER Concepts'!$B$6:$B$31,0),MATCH(J$17,'DER Concepts'!$B$6:$V$6,0))+(VLOOKUP($B19,'DER Concepts'!$B$6:$N$31,13,FALSE)/3)</f>
        <v>0.46666666666666667</v>
      </c>
      <c r="K19" s="81">
        <f>INDEX('DER Concepts'!$B$6:$V$31,MATCH($B19,'DER Concepts'!$B$6:$B$31,0),MATCH(K$17,'DER Concepts'!$B$6:$V$6,0))+(VLOOKUP($B19,'DER Concepts'!$B$6:$N$31,13,FALSE)/3)</f>
        <v>0.46666666666666667</v>
      </c>
      <c r="L19" s="81">
        <f>INDEX('DER Concepts'!$B$6:$V$31,MATCH($B19,'DER Concepts'!$B$6:$B$31,0),MATCH(L$17,'DER Concepts'!$B$6:$V$6,0))+(VLOOKUP($B19,'DER Concepts'!$B$6:$N$31,13,FALSE)/3)</f>
        <v>0.66666666666666663</v>
      </c>
      <c r="M19" s="12">
        <f>INDEX('DER Concepts'!$B$6:$V$31,MATCH($B19,'DER Concepts'!$B$6:$B$31,0),MATCH(M$17,'DER Concepts'!$B$6:$V$6,0))</f>
        <v>0.8</v>
      </c>
      <c r="N19" s="12">
        <f>INDEX('DER Concepts'!$B$6:$V$31,MATCH($B19,'DER Concepts'!$B$6:$B$31,0),MATCH(N$17,'DER Concepts'!$B$6:$V$6,0))</f>
        <v>1</v>
      </c>
      <c r="O19" s="12">
        <f>INDEX('DER Concepts'!$B$6:$V$31,MATCH($B19,'DER Concepts'!$B$6:$B$31,0),MATCH(O$17,'DER Concepts'!$B$6:$V$6,0))</f>
        <v>1.2</v>
      </c>
      <c r="P19" s="12">
        <f>INDEX('DER Concepts'!$B$6:$V$31,MATCH($B19,'DER Concepts'!$B$6:$B$31,0),MATCH(P$17,'DER Concepts'!$B$6:$V$6,0))</f>
        <v>1.4</v>
      </c>
      <c r="Q19" s="12">
        <f>INDEX('DER Concepts'!$B$6:$V$31,MATCH($B19,'DER Concepts'!$B$6:$B$31,0),MATCH(Q$17,'DER Concepts'!$B$6:$V$6,0))</f>
        <v>1.8</v>
      </c>
      <c r="R19" s="12">
        <f t="shared" si="0"/>
        <v>1.6</v>
      </c>
      <c r="S19" s="46">
        <v>-0.52515932611883698</v>
      </c>
      <c r="T19" s="20">
        <v>0.25758908336664499</v>
      </c>
      <c r="U19" s="19">
        <f>INDEX(CBI!$B$10:$H$35,MATCH($B19,CBI!$B$10:$B$35,0),MATCH(U$17,CBI!$B$10:$H$10,0))</f>
        <v>13</v>
      </c>
      <c r="V19" s="21"/>
      <c r="W19" s="9"/>
    </row>
    <row r="20" spans="2:23" ht="25.5" x14ac:dyDescent="0.25">
      <c r="B20" s="11">
        <v>2</v>
      </c>
      <c r="C20" s="9" t="s">
        <v>24</v>
      </c>
      <c r="D20" s="11" t="s">
        <v>1</v>
      </c>
      <c r="E20" s="58" t="s">
        <v>26</v>
      </c>
      <c r="F20" s="11" t="s">
        <v>19</v>
      </c>
      <c r="G20" s="58" t="s">
        <v>27</v>
      </c>
      <c r="H20" s="11" t="s">
        <v>28</v>
      </c>
      <c r="I20" s="81">
        <v>0</v>
      </c>
      <c r="J20" s="81">
        <f>INDEX('DER Concepts'!$B$6:$V$31,MATCH($B20,'DER Concepts'!$B$6:$B$31,0),MATCH(J$17,'DER Concepts'!$B$6:$V$6,0))+(VLOOKUP($B20,'DER Concepts'!$B$6:$N$31,13,FALSE)/3)</f>
        <v>0</v>
      </c>
      <c r="K20" s="81">
        <f>INDEX('DER Concepts'!$B$6:$V$31,MATCH($B20,'DER Concepts'!$B$6:$B$31,0),MATCH(K$17,'DER Concepts'!$B$6:$V$6,0))+(VLOOKUP($B20,'DER Concepts'!$B$6:$N$31,13,FALSE)/3)</f>
        <v>0</v>
      </c>
      <c r="L20" s="81">
        <f>INDEX('DER Concepts'!$B$6:$V$31,MATCH($B20,'DER Concepts'!$B$6:$B$31,0),MATCH(L$17,'DER Concepts'!$B$6:$V$6,0))+(VLOOKUP($B20,'DER Concepts'!$B$6:$N$31,13,FALSE)/3)</f>
        <v>0</v>
      </c>
      <c r="M20" s="12">
        <f>INDEX('DER Concepts'!$B$6:$V$31,MATCH($B20,'DER Concepts'!$B$6:$B$31,0),MATCH(M$17,'DER Concepts'!$B$6:$V$6,0))</f>
        <v>0</v>
      </c>
      <c r="N20" s="12">
        <f>INDEX('DER Concepts'!$B$6:$V$31,MATCH($B20,'DER Concepts'!$B$6:$B$31,0),MATCH(N$17,'DER Concepts'!$B$6:$V$6,0))</f>
        <v>0</v>
      </c>
      <c r="O20" s="12">
        <f>INDEX('DER Concepts'!$B$6:$V$31,MATCH($B20,'DER Concepts'!$B$6:$B$31,0),MATCH(O$17,'DER Concepts'!$B$6:$V$6,0))</f>
        <v>5</v>
      </c>
      <c r="P20" s="12">
        <f>INDEX('DER Concepts'!$B$6:$V$31,MATCH($B20,'DER Concepts'!$B$6:$B$31,0),MATCH(P$17,'DER Concepts'!$B$6:$V$6,0))</f>
        <v>5</v>
      </c>
      <c r="Q20" s="12">
        <f>INDEX('DER Concepts'!$B$6:$V$31,MATCH($B20,'DER Concepts'!$B$6:$B$31,0),MATCH(Q$17,'DER Concepts'!$B$6:$V$6,0))</f>
        <v>5</v>
      </c>
      <c r="R20" s="12">
        <f t="shared" si="0"/>
        <v>0</v>
      </c>
      <c r="S20" s="46">
        <v>0</v>
      </c>
      <c r="T20" s="20">
        <v>0</v>
      </c>
      <c r="U20" s="19">
        <f>INDEX(CBI!$B$10:$H$35,MATCH($B20,CBI!$B$10:$B$35,0),MATCH(U$17,CBI!$B$10:$H$10,0))</f>
        <v>14</v>
      </c>
      <c r="V20" s="21"/>
      <c r="W20" s="9"/>
    </row>
    <row r="21" spans="2:23" ht="25.5" x14ac:dyDescent="0.25">
      <c r="B21" s="11">
        <v>12</v>
      </c>
      <c r="C21" s="9" t="s">
        <v>55</v>
      </c>
      <c r="D21" s="11" t="s">
        <v>0</v>
      </c>
      <c r="E21" s="58" t="s">
        <v>18</v>
      </c>
      <c r="F21" s="11" t="s">
        <v>31</v>
      </c>
      <c r="G21" s="58" t="s">
        <v>20</v>
      </c>
      <c r="H21" s="11" t="s">
        <v>36</v>
      </c>
      <c r="I21" s="81">
        <f>INDEX('DER Concepts'!$B$6:$V$31,MATCH($B21,'DER Concepts'!$B$6:$B$31,0),MATCH(I$17,'DER Concepts'!$B$6:$V$6,0))</f>
        <v>13.87</v>
      </c>
      <c r="J21" s="81">
        <f>INDEX('DER Concepts'!$B$6:$V$31,MATCH($B21,'DER Concepts'!$B$6:$B$31,0),MATCH(J$17,'DER Concepts'!$B$6:$V$6,0))</f>
        <v>15</v>
      </c>
      <c r="K21" s="81">
        <f>INDEX('DER Concepts'!$B$6:$V$31,MATCH($B21,'DER Concepts'!$B$6:$B$31,0),MATCH(K$17,'DER Concepts'!$B$6:$V$6,0))</f>
        <v>17.5</v>
      </c>
      <c r="L21" s="81">
        <f>INDEX('DER Concepts'!$B$6:$V$31,MATCH($B21,'DER Concepts'!$B$6:$B$31,0),MATCH(L$17,'DER Concepts'!$B$6:$V$6,0))</f>
        <v>10.7</v>
      </c>
      <c r="M21" s="12">
        <f>INDEX('DER Concepts'!$B$6:$V$31,MATCH($B21,'DER Concepts'!$B$6:$B$31,0),MATCH(M$17,'DER Concepts'!$B$6:$V$6,0))</f>
        <v>0</v>
      </c>
      <c r="N21" s="12">
        <f>INDEX('DER Concepts'!$B$6:$V$31,MATCH($B21,'DER Concepts'!$B$6:$B$31,0),MATCH(N$17,'DER Concepts'!$B$6:$V$6,0))</f>
        <v>0</v>
      </c>
      <c r="O21" s="12">
        <f>INDEX('DER Concepts'!$B$6:$V$31,MATCH($B21,'DER Concepts'!$B$6:$B$31,0),MATCH(O$17,'DER Concepts'!$B$6:$V$6,0))</f>
        <v>0</v>
      </c>
      <c r="P21" s="12">
        <f>INDEX('DER Concepts'!$B$6:$V$31,MATCH($B21,'DER Concepts'!$B$6:$B$31,0),MATCH(P$17,'DER Concepts'!$B$6:$V$6,0))</f>
        <v>0</v>
      </c>
      <c r="Q21" s="12">
        <f>INDEX('DER Concepts'!$B$6:$V$31,MATCH($B21,'DER Concepts'!$B$6:$B$31,0),MATCH(Q$17,'DER Concepts'!$B$6:$V$6,0))</f>
        <v>0</v>
      </c>
      <c r="R21" s="12">
        <f t="shared" si="0"/>
        <v>57.069999999999993</v>
      </c>
      <c r="S21" s="46">
        <v>0</v>
      </c>
      <c r="T21" s="20">
        <v>0.27591767984729265</v>
      </c>
      <c r="U21" s="19">
        <f>INDEX(CBI!$B$10:$H$35,MATCH($B21,CBI!$B$10:$B$35,0),MATCH(U$17,CBI!$B$10:$H$10,0))</f>
        <v>0</v>
      </c>
      <c r="V21" s="21" t="s">
        <v>23</v>
      </c>
      <c r="W21" s="9" t="s">
        <v>93</v>
      </c>
    </row>
    <row r="22" spans="2:23" ht="25.5" x14ac:dyDescent="0.25">
      <c r="B22" s="11">
        <v>13</v>
      </c>
      <c r="C22" s="9" t="s">
        <v>58</v>
      </c>
      <c r="D22" s="11" t="s">
        <v>0</v>
      </c>
      <c r="E22" s="58" t="s">
        <v>18</v>
      </c>
      <c r="F22" s="11" t="s">
        <v>31</v>
      </c>
      <c r="G22" s="58" t="s">
        <v>20</v>
      </c>
      <c r="H22" s="11" t="s">
        <v>36</v>
      </c>
      <c r="I22" s="81">
        <f>INDEX('DER Concepts'!$B$6:$V$31,MATCH($B22,'DER Concepts'!$B$6:$B$31,0),MATCH(I$17,'DER Concepts'!$B$6:$V$6,0))</f>
        <v>0</v>
      </c>
      <c r="J22" s="81">
        <f>INDEX('DER Concepts'!$B$6:$V$31,MATCH($B22,'DER Concepts'!$B$6:$B$31,0),MATCH(J$17,'DER Concepts'!$B$6:$V$6,0))</f>
        <v>0</v>
      </c>
      <c r="K22" s="81">
        <f>INDEX('DER Concepts'!$B$6:$V$31,MATCH($B22,'DER Concepts'!$B$6:$B$31,0),MATCH(K$17,'DER Concepts'!$B$6:$V$6,0))</f>
        <v>0</v>
      </c>
      <c r="L22" s="81">
        <f>INDEX('DER Concepts'!$B$6:$V$31,MATCH($B22,'DER Concepts'!$B$6:$B$31,0),MATCH(L$17,'DER Concepts'!$B$6:$V$6,0))</f>
        <v>6.8</v>
      </c>
      <c r="M22" s="12">
        <f>INDEX('DER Concepts'!$B$6:$V$31,MATCH($B22,'DER Concepts'!$B$6:$B$31,0),MATCH(M$17,'DER Concepts'!$B$6:$V$6,0))</f>
        <v>18.267490903690632</v>
      </c>
      <c r="N22" s="12">
        <f>INDEX('DER Concepts'!$B$6:$V$31,MATCH($B22,'DER Concepts'!$B$6:$B$31,0),MATCH(N$17,'DER Concepts'!$B$6:$V$6,0))</f>
        <v>19.081447983960388</v>
      </c>
      <c r="O22" s="12">
        <f>INDEX('DER Concepts'!$B$6:$V$31,MATCH($B22,'DER Concepts'!$B$6:$B$31,0),MATCH(O$17,'DER Concepts'!$B$6:$V$6,0))</f>
        <v>19.895405064230726</v>
      </c>
      <c r="P22" s="12">
        <f>INDEX('DER Concepts'!$B$6:$V$31,MATCH($B22,'DER Concepts'!$B$6:$B$31,0),MATCH(P$17,'DER Concepts'!$B$6:$V$6,0))</f>
        <v>20.709362144501064</v>
      </c>
      <c r="Q22" s="12">
        <f>INDEX('DER Concepts'!$B$6:$V$31,MATCH($B22,'DER Concepts'!$B$6:$B$31,0),MATCH(Q$17,'DER Concepts'!$B$6:$V$6,0))</f>
        <v>21.523319224771694</v>
      </c>
      <c r="R22" s="12">
        <f t="shared" si="0"/>
        <v>6.8</v>
      </c>
      <c r="S22" s="46">
        <v>0</v>
      </c>
      <c r="T22" s="20">
        <v>0.27591767984729254</v>
      </c>
      <c r="U22" s="19">
        <f>INDEX(CBI!$B$10:$H$35,MATCH($B22,CBI!$B$10:$B$35,0),MATCH(U$17,CBI!$B$10:$H$10,0))</f>
        <v>0</v>
      </c>
      <c r="V22" s="21" t="s">
        <v>23</v>
      </c>
      <c r="W22" s="9" t="s">
        <v>93</v>
      </c>
    </row>
    <row r="23" spans="2:23" ht="25.5" x14ac:dyDescent="0.25">
      <c r="B23" s="11">
        <v>17</v>
      </c>
      <c r="C23" s="9" t="s">
        <v>67</v>
      </c>
      <c r="D23" s="11" t="s">
        <v>0</v>
      </c>
      <c r="E23" s="58" t="s">
        <v>18</v>
      </c>
      <c r="F23" s="11" t="s">
        <v>31</v>
      </c>
      <c r="G23" s="58" t="s">
        <v>20</v>
      </c>
      <c r="H23" s="11" t="s">
        <v>32</v>
      </c>
      <c r="I23" s="81">
        <v>0</v>
      </c>
      <c r="J23" s="81">
        <f>INDEX('DER Concepts'!$B$6:$V$31,MATCH($B23,'DER Concepts'!$B$6:$B$31,0),MATCH(J$17,'DER Concepts'!$B$6:$V$6,0))+(VLOOKUP($B23,'DER Concepts'!$B$6:$N$31,13,FALSE)/3)</f>
        <v>6.9586666666666668</v>
      </c>
      <c r="K23" s="81">
        <f>INDEX('DER Concepts'!$B$6:$V$31,MATCH($B23,'DER Concepts'!$B$6:$B$31,0),MATCH(K$17,'DER Concepts'!$B$6:$V$6,0))+(VLOOKUP($B23,'DER Concepts'!$B$6:$N$31,13,FALSE)/3)</f>
        <v>6.9586666666666668</v>
      </c>
      <c r="L23" s="81">
        <f>INDEX('DER Concepts'!$B$6:$V$31,MATCH($B23,'DER Concepts'!$B$6:$B$31,0),MATCH(L$17,'DER Concepts'!$B$6:$V$6,0))+(VLOOKUP($B23,'DER Concepts'!$B$6:$N$31,13,FALSE)/3)</f>
        <v>6.9586666666666668</v>
      </c>
      <c r="M23" s="12">
        <f>INDEX('DER Concepts'!$B$6:$V$31,MATCH($B23,'DER Concepts'!$B$6:$B$31,0),MATCH(M$17,'DER Concepts'!$B$6:$V$6,0))</f>
        <v>7.0609999999999999</v>
      </c>
      <c r="N23" s="12">
        <f>INDEX('DER Concepts'!$B$6:$V$31,MATCH($B23,'DER Concepts'!$B$6:$B$31,0),MATCH(N$17,'DER Concepts'!$B$6:$V$6,0))</f>
        <v>8.5960000000000001</v>
      </c>
      <c r="O23" s="12">
        <f>INDEX('DER Concepts'!$B$6:$V$31,MATCH($B23,'DER Concepts'!$B$6:$B$31,0),MATCH(O$17,'DER Concepts'!$B$6:$V$6,0))</f>
        <v>10.131</v>
      </c>
      <c r="P23" s="12">
        <f>INDEX('DER Concepts'!$B$6:$V$31,MATCH($B23,'DER Concepts'!$B$6:$B$31,0),MATCH(P$17,'DER Concepts'!$B$6:$V$6,0))</f>
        <v>11.666</v>
      </c>
      <c r="Q23" s="12">
        <f>INDEX('DER Concepts'!$B$6:$V$31,MATCH($B23,'DER Concepts'!$B$6:$B$31,0),MATCH(Q$17,'DER Concepts'!$B$6:$V$6,0))</f>
        <v>13.201000000000001</v>
      </c>
      <c r="R23" s="12">
        <f t="shared" si="0"/>
        <v>20.876000000000001</v>
      </c>
      <c r="S23" s="46">
        <v>0.45340382079178365</v>
      </c>
      <c r="T23" s="20">
        <v>0.49574268401292115</v>
      </c>
      <c r="U23" s="19">
        <f>INDEX(CBI!$B$10:$H$35,MATCH($B23,CBI!$B$10:$B$35,0),MATCH(U$17,CBI!$B$10:$H$10,0))</f>
        <v>16</v>
      </c>
      <c r="V23" s="21"/>
      <c r="W23" s="9"/>
    </row>
    <row r="24" spans="2:23" ht="89.25" x14ac:dyDescent="0.25">
      <c r="B24" s="11">
        <v>25</v>
      </c>
      <c r="C24" s="9" t="s">
        <v>133</v>
      </c>
      <c r="D24" s="11" t="s">
        <v>0</v>
      </c>
      <c r="E24" s="22" t="s">
        <v>26</v>
      </c>
      <c r="F24" s="11" t="s">
        <v>39</v>
      </c>
      <c r="G24" s="58" t="s">
        <v>20</v>
      </c>
      <c r="H24" s="11" t="s">
        <v>36</v>
      </c>
      <c r="I24" s="81">
        <v>0</v>
      </c>
      <c r="J24" s="81">
        <v>0</v>
      </c>
      <c r="K24" s="81">
        <v>0</v>
      </c>
      <c r="L24" s="81">
        <v>5.2</v>
      </c>
      <c r="M24" s="12">
        <v>4.7</v>
      </c>
      <c r="N24" s="12">
        <v>5.42</v>
      </c>
      <c r="O24" s="12">
        <v>6.1950000000000003</v>
      </c>
      <c r="P24" s="12">
        <v>7.0149999999999997</v>
      </c>
      <c r="Q24" s="12">
        <v>7.88</v>
      </c>
      <c r="R24" s="12">
        <f t="shared" si="0"/>
        <v>5.2</v>
      </c>
      <c r="S24" s="46">
        <v>3.08</v>
      </c>
      <c r="T24" s="20">
        <v>0.49127613822504879</v>
      </c>
      <c r="U24" s="19">
        <f>U32</f>
        <v>16</v>
      </c>
      <c r="V24" s="21"/>
      <c r="W24" s="9" t="s">
        <v>144</v>
      </c>
    </row>
    <row r="25" spans="2:23" ht="25.5" x14ac:dyDescent="0.25">
      <c r="B25" s="11">
        <v>16</v>
      </c>
      <c r="C25" s="9" t="s">
        <v>65</v>
      </c>
      <c r="D25" s="11" t="s">
        <v>0</v>
      </c>
      <c r="E25" s="58" t="s">
        <v>26</v>
      </c>
      <c r="F25" s="38" t="s">
        <v>19</v>
      </c>
      <c r="G25" s="58" t="s">
        <v>20</v>
      </c>
      <c r="H25" s="38" t="s">
        <v>21</v>
      </c>
      <c r="I25" s="81">
        <v>0</v>
      </c>
      <c r="J25" s="81">
        <f>INDEX('DER Concepts'!$B$6:$V$31,MATCH($B25,'DER Concepts'!$B$6:$B$31,0),MATCH(J$17,'DER Concepts'!$B$6:$V$6,0))+(VLOOKUP($B25,'DER Concepts'!$B$6:$N$31,13,FALSE)/3)</f>
        <v>3.7333333333333329</v>
      </c>
      <c r="K25" s="81">
        <f>INDEX('DER Concepts'!$B$6:$V$31,MATCH($B25,'DER Concepts'!$B$6:$B$31,0),MATCH(K$17,'DER Concepts'!$B$6:$V$6,0))+(VLOOKUP($B25,'DER Concepts'!$B$6:$N$31,13,FALSE)/3)</f>
        <v>3.7333333333333329</v>
      </c>
      <c r="L25" s="81">
        <f>INDEX('DER Concepts'!$B$6:$V$31,MATCH($B25,'DER Concepts'!$B$6:$B$31,0),MATCH(L$17,'DER Concepts'!$B$6:$V$6,0))+(VLOOKUP($B25,'DER Concepts'!$B$6:$N$31,13,FALSE)/3)</f>
        <v>3.7333333333333329</v>
      </c>
      <c r="M25" s="12">
        <f>INDEX('DER Concepts'!$B$6:$V$31,MATCH($B25,'DER Concepts'!$B$6:$B$31,0),MATCH(M$17,'DER Concepts'!$B$6:$V$6,0))</f>
        <v>4.8</v>
      </c>
      <c r="N25" s="12">
        <f>INDEX('DER Concepts'!$B$6:$V$31,MATCH($B25,'DER Concepts'!$B$6:$B$31,0),MATCH(N$17,'DER Concepts'!$B$6:$V$6,0))</f>
        <v>6.8</v>
      </c>
      <c r="O25" s="12">
        <f>INDEX('DER Concepts'!$B$6:$V$31,MATCH($B25,'DER Concepts'!$B$6:$B$31,0),MATCH(O$17,'DER Concepts'!$B$6:$V$6,0))</f>
        <v>8.8000000000000007</v>
      </c>
      <c r="P25" s="12">
        <f>INDEX('DER Concepts'!$B$6:$V$31,MATCH($B25,'DER Concepts'!$B$6:$B$31,0),MATCH(P$17,'DER Concepts'!$B$6:$V$6,0))</f>
        <v>11.2</v>
      </c>
      <c r="Q25" s="12">
        <f>INDEX('DER Concepts'!$B$6:$V$31,MATCH($B25,'DER Concepts'!$B$6:$B$31,0),MATCH(Q$17,'DER Concepts'!$B$6:$V$6,0))</f>
        <v>13.2</v>
      </c>
      <c r="R25" s="12">
        <f t="shared" si="0"/>
        <v>11.2</v>
      </c>
      <c r="S25" s="46">
        <v>4.6354712939937226</v>
      </c>
      <c r="T25" s="20">
        <v>0.65399230103020356</v>
      </c>
      <c r="U25" s="19">
        <f>INDEX(CBI!$B$10:$H$35,MATCH($B25,CBI!$B$10:$B$35,0),MATCH(U$17,CBI!$B$10:$H$10,0))</f>
        <v>15</v>
      </c>
      <c r="V25" s="21"/>
      <c r="W25" s="9"/>
    </row>
    <row r="26" spans="2:23" ht="25.5" x14ac:dyDescent="0.25">
      <c r="B26" s="11">
        <v>7</v>
      </c>
      <c r="C26" s="9" t="s">
        <v>44</v>
      </c>
      <c r="D26" s="11" t="s">
        <v>1</v>
      </c>
      <c r="E26" s="58" t="s">
        <v>26</v>
      </c>
      <c r="F26" s="11" t="s">
        <v>35</v>
      </c>
      <c r="G26" s="58" t="s">
        <v>27</v>
      </c>
      <c r="H26" s="11" t="s">
        <v>28</v>
      </c>
      <c r="I26" s="81">
        <v>0</v>
      </c>
      <c r="J26" s="81">
        <f>INDEX('DER Concepts'!$B$6:$V$31,MATCH($B26,'DER Concepts'!$B$6:$B$31,0),MATCH(J$17,'DER Concepts'!$B$6:$V$6,0))+(VLOOKUP($B26,'DER Concepts'!$B$6:$N$31,13,FALSE)/3)</f>
        <v>0</v>
      </c>
      <c r="K26" s="81">
        <f>INDEX('DER Concepts'!$B$6:$V$31,MATCH($B26,'DER Concepts'!$B$6:$B$31,0),MATCH(K$17,'DER Concepts'!$B$6:$V$6,0))+(VLOOKUP($B26,'DER Concepts'!$B$6:$N$31,13,FALSE)/3)</f>
        <v>0</v>
      </c>
      <c r="L26" s="81">
        <f>INDEX('DER Concepts'!$B$6:$V$31,MATCH($B26,'DER Concepts'!$B$6:$B$31,0),MATCH(L$17,'DER Concepts'!$B$6:$V$6,0))+(VLOOKUP($B26,'DER Concepts'!$B$6:$N$31,13,FALSE)/3)</f>
        <v>0</v>
      </c>
      <c r="M26" s="12">
        <f>INDEX('DER Concepts'!$B$6:$V$31,MATCH($B26,'DER Concepts'!$B$6:$B$31,0),MATCH(M$17,'DER Concepts'!$B$6:$V$6,0))</f>
        <v>0</v>
      </c>
      <c r="N26" s="12">
        <f>INDEX('DER Concepts'!$B$6:$V$31,MATCH($B26,'DER Concepts'!$B$6:$B$31,0),MATCH(N$17,'DER Concepts'!$B$6:$V$6,0))</f>
        <v>0</v>
      </c>
      <c r="O26" s="12">
        <f>INDEX('DER Concepts'!$B$6:$V$31,MATCH($B26,'DER Concepts'!$B$6:$B$31,0),MATCH(O$17,'DER Concepts'!$B$6:$V$6,0))</f>
        <v>0</v>
      </c>
      <c r="P26" s="12">
        <f>INDEX('DER Concepts'!$B$6:$V$31,MATCH($B26,'DER Concepts'!$B$6:$B$31,0),MATCH(P$17,'DER Concepts'!$B$6:$V$6,0))</f>
        <v>0</v>
      </c>
      <c r="Q26" s="12">
        <f>INDEX('DER Concepts'!$B$6:$V$31,MATCH($B26,'DER Concepts'!$B$6:$B$31,0),MATCH(Q$17,'DER Concepts'!$B$6:$V$6,0))</f>
        <v>0</v>
      </c>
      <c r="R26" s="12">
        <f t="shared" si="0"/>
        <v>0</v>
      </c>
      <c r="S26" s="46">
        <v>4.712471923828125</v>
      </c>
      <c r="T26" s="20">
        <v>0.46</v>
      </c>
      <c r="U26" s="19">
        <f>INDEX(CBI!$B$10:$H$35,MATCH($B26,CBI!$B$10:$B$35,0),MATCH(U$17,CBI!$B$10:$H$10,0))</f>
        <v>12</v>
      </c>
      <c r="V26" s="21"/>
      <c r="W26" s="9"/>
    </row>
    <row r="27" spans="2:23" ht="25.5" x14ac:dyDescent="0.25">
      <c r="B27" s="11">
        <v>3</v>
      </c>
      <c r="C27" s="9" t="s">
        <v>29</v>
      </c>
      <c r="D27" s="11" t="s">
        <v>1</v>
      </c>
      <c r="E27" s="58" t="s">
        <v>18</v>
      </c>
      <c r="F27" s="11" t="s">
        <v>31</v>
      </c>
      <c r="G27" s="58" t="s">
        <v>20</v>
      </c>
      <c r="H27" s="11" t="s">
        <v>32</v>
      </c>
      <c r="I27" s="81">
        <v>0</v>
      </c>
      <c r="J27" s="81">
        <f>INDEX('DER Concepts'!$B$6:$V$31,MATCH($B27,'DER Concepts'!$B$6:$B$31,0),MATCH(J$17,'DER Concepts'!$B$6:$V$6,0))+(VLOOKUP($B27,'DER Concepts'!$B$6:$N$31,13,FALSE)/3)</f>
        <v>0.73333333333333328</v>
      </c>
      <c r="K27" s="81">
        <f>INDEX('DER Concepts'!$B$6:$V$31,MATCH($B27,'DER Concepts'!$B$6:$B$31,0),MATCH(K$17,'DER Concepts'!$B$6:$V$6,0))+(VLOOKUP($B27,'DER Concepts'!$B$6:$N$31,13,FALSE)/3)</f>
        <v>0.93333333333333335</v>
      </c>
      <c r="L27" s="81">
        <f>INDEX('DER Concepts'!$B$6:$V$31,MATCH($B27,'DER Concepts'!$B$6:$B$31,0),MATCH(L$17,'DER Concepts'!$B$6:$V$6,0))+(VLOOKUP($B27,'DER Concepts'!$B$6:$N$31,13,FALSE)/3)</f>
        <v>1.3333333333333333</v>
      </c>
      <c r="M27" s="12">
        <f>INDEX('DER Concepts'!$B$6:$V$31,MATCH($B27,'DER Concepts'!$B$6:$B$31,0),MATCH(M$17,'DER Concepts'!$B$6:$V$6,0))</f>
        <v>1.6</v>
      </c>
      <c r="N27" s="12">
        <f>INDEX('DER Concepts'!$B$6:$V$31,MATCH($B27,'DER Concepts'!$B$6:$B$31,0),MATCH(N$17,'DER Concepts'!$B$6:$V$6,0))</f>
        <v>2</v>
      </c>
      <c r="O27" s="12">
        <f>INDEX('DER Concepts'!$B$6:$V$31,MATCH($B27,'DER Concepts'!$B$6:$B$31,0),MATCH(O$17,'DER Concepts'!$B$6:$V$6,0))</f>
        <v>2.4</v>
      </c>
      <c r="P27" s="12">
        <f>INDEX('DER Concepts'!$B$6:$V$31,MATCH($B27,'DER Concepts'!$B$6:$B$31,0),MATCH(P$17,'DER Concepts'!$B$6:$V$6,0))</f>
        <v>2.8</v>
      </c>
      <c r="Q27" s="12">
        <f>INDEX('DER Concepts'!$B$6:$V$31,MATCH($B27,'DER Concepts'!$B$6:$B$31,0),MATCH(Q$17,'DER Concepts'!$B$6:$V$6,0))</f>
        <v>3.4</v>
      </c>
      <c r="R27" s="12">
        <f t="shared" si="0"/>
        <v>3</v>
      </c>
      <c r="S27" s="46">
        <v>5.2236608394434931</v>
      </c>
      <c r="T27" s="20">
        <v>0.17005155150118925</v>
      </c>
      <c r="U27" s="19">
        <f>INDEX(CBI!$B$10:$H$35,MATCH($B27,CBI!$B$10:$B$35,0),MATCH(U$17,CBI!$B$10:$H$10,0))</f>
        <v>13</v>
      </c>
      <c r="V27" s="21"/>
      <c r="W27" s="9"/>
    </row>
    <row r="28" spans="2:23" ht="25.5" x14ac:dyDescent="0.25">
      <c r="B28" s="11">
        <v>9</v>
      </c>
      <c r="C28" s="9" t="s">
        <v>49</v>
      </c>
      <c r="D28" s="11" t="s">
        <v>1</v>
      </c>
      <c r="E28" s="58" t="s">
        <v>18</v>
      </c>
      <c r="F28" s="11" t="s">
        <v>31</v>
      </c>
      <c r="G28" s="58" t="s">
        <v>20</v>
      </c>
      <c r="H28" s="11" t="s">
        <v>32</v>
      </c>
      <c r="I28" s="81">
        <v>0</v>
      </c>
      <c r="J28" s="81">
        <f>INDEX('DER Concepts'!$B$6:$V$31,MATCH($B28,'DER Concepts'!$B$6:$B$31,0),MATCH(J$17,'DER Concepts'!$B$6:$V$6,0))+(VLOOKUP($B28,'DER Concepts'!$B$6:$N$31,13,FALSE)/3)</f>
        <v>0.40333333333333332</v>
      </c>
      <c r="K28" s="81">
        <f>INDEX('DER Concepts'!$B$6:$V$31,MATCH($B28,'DER Concepts'!$B$6:$B$31,0),MATCH(K$17,'DER Concepts'!$B$6:$V$6,0))+(VLOOKUP($B28,'DER Concepts'!$B$6:$N$31,13,FALSE)/3)</f>
        <v>0.45833333333333331</v>
      </c>
      <c r="L28" s="81">
        <f>INDEX('DER Concepts'!$B$6:$V$31,MATCH($B28,'DER Concepts'!$B$6:$B$31,0),MATCH(L$17,'DER Concepts'!$B$6:$V$6,0))+(VLOOKUP($B28,'DER Concepts'!$B$6:$N$31,13,FALSE)/3)</f>
        <v>0.51833333333333331</v>
      </c>
      <c r="M28" s="12">
        <f>INDEX('DER Concepts'!$B$6:$V$31,MATCH($B28,'DER Concepts'!$B$6:$B$31,0),MATCH(M$17,'DER Concepts'!$B$6:$V$6,0))</f>
        <v>0.495</v>
      </c>
      <c r="N28" s="12">
        <f>INDEX('DER Concepts'!$B$6:$V$31,MATCH($B28,'DER Concepts'!$B$6:$B$31,0),MATCH(N$17,'DER Concepts'!$B$6:$V$6,0))</f>
        <v>0.56000000000000005</v>
      </c>
      <c r="O28" s="12">
        <f>INDEX('DER Concepts'!$B$6:$V$31,MATCH($B28,'DER Concepts'!$B$6:$B$31,0),MATCH(O$17,'DER Concepts'!$B$6:$V$6,0))</f>
        <v>0.63</v>
      </c>
      <c r="P28" s="12">
        <f>INDEX('DER Concepts'!$B$6:$V$31,MATCH($B28,'DER Concepts'!$B$6:$B$31,0),MATCH(P$17,'DER Concepts'!$B$6:$V$6,0))</f>
        <v>0.69499999999999995</v>
      </c>
      <c r="Q28" s="12">
        <f>INDEX('DER Concepts'!$B$6:$V$31,MATCH($B28,'DER Concepts'!$B$6:$B$31,0),MATCH(Q$17,'DER Concepts'!$B$6:$V$6,0))</f>
        <v>0.76500000000000001</v>
      </c>
      <c r="R28" s="12">
        <f t="shared" si="0"/>
        <v>1.38</v>
      </c>
      <c r="S28" s="46">
        <v>6.3576728588689448</v>
      </c>
      <c r="T28" s="20">
        <v>0.18697381815723682</v>
      </c>
      <c r="U28" s="19">
        <f>INDEX(CBI!$B$10:$H$35,MATCH($B28,CBI!$B$10:$B$35,0),MATCH(U$17,CBI!$B$10:$H$10,0))</f>
        <v>15</v>
      </c>
      <c r="V28" s="21"/>
      <c r="W28" s="9"/>
    </row>
    <row r="29" spans="2:23" ht="25.5" x14ac:dyDescent="0.25">
      <c r="B29" s="11">
        <v>6</v>
      </c>
      <c r="C29" s="9" t="s">
        <v>41</v>
      </c>
      <c r="D29" s="11" t="s">
        <v>1</v>
      </c>
      <c r="E29" s="58" t="s">
        <v>26</v>
      </c>
      <c r="F29" s="38" t="s">
        <v>35</v>
      </c>
      <c r="G29" s="58" t="s">
        <v>27</v>
      </c>
      <c r="H29" s="38" t="s">
        <v>36</v>
      </c>
      <c r="I29" s="81">
        <v>0</v>
      </c>
      <c r="J29" s="81">
        <f>INDEX('DER Concepts'!$B$6:$V$31,MATCH($B29,'DER Concepts'!$B$6:$B$31,0),MATCH(J$17,'DER Concepts'!$B$6:$V$6,0))+(VLOOKUP($B29,'DER Concepts'!$B$6:$N$31,13,FALSE)/3)</f>
        <v>0</v>
      </c>
      <c r="K29" s="81">
        <f>INDEX('DER Concepts'!$B$6:$V$31,MATCH($B29,'DER Concepts'!$B$6:$B$31,0),MATCH(K$17,'DER Concepts'!$B$6:$V$6,0))+(VLOOKUP($B29,'DER Concepts'!$B$6:$N$31,13,FALSE)/3)</f>
        <v>0</v>
      </c>
      <c r="L29" s="81">
        <f>INDEX('DER Concepts'!$B$6:$V$31,MATCH($B29,'DER Concepts'!$B$6:$B$31,0),MATCH(L$17,'DER Concepts'!$B$6:$V$6,0))+(VLOOKUP($B29,'DER Concepts'!$B$6:$N$31,13,FALSE)/3)</f>
        <v>0</v>
      </c>
      <c r="M29" s="12">
        <f>INDEX('DER Concepts'!$B$6:$V$31,MATCH($B29,'DER Concepts'!$B$6:$B$31,0),MATCH(M$17,'DER Concepts'!$B$6:$V$6,0))</f>
        <v>0</v>
      </c>
      <c r="N29" s="12">
        <f>INDEX('DER Concepts'!$B$6:$V$31,MATCH($B29,'DER Concepts'!$B$6:$B$31,0),MATCH(N$17,'DER Concepts'!$B$6:$V$6,0))</f>
        <v>0</v>
      </c>
      <c r="O29" s="12">
        <f>INDEX('DER Concepts'!$B$6:$V$31,MATCH($B29,'DER Concepts'!$B$6:$B$31,0),MATCH(O$17,'DER Concepts'!$B$6:$V$6,0))</f>
        <v>0</v>
      </c>
      <c r="P29" s="12">
        <f>INDEX('DER Concepts'!$B$6:$V$31,MATCH($B29,'DER Concepts'!$B$6:$B$31,0),MATCH(P$17,'DER Concepts'!$B$6:$V$6,0))</f>
        <v>0</v>
      </c>
      <c r="Q29" s="12">
        <f>INDEX('DER Concepts'!$B$6:$V$31,MATCH($B29,'DER Concepts'!$B$6:$B$31,0),MATCH(Q$17,'DER Concepts'!$B$6:$V$6,0))</f>
        <v>0</v>
      </c>
      <c r="R29" s="12">
        <f t="shared" si="0"/>
        <v>0</v>
      </c>
      <c r="S29" s="46">
        <v>6.3874646759033205</v>
      </c>
      <c r="T29" s="20">
        <v>0.4123</v>
      </c>
      <c r="U29" s="19">
        <f>INDEX(CBI!$B$10:$H$35,MATCH($B29,CBI!$B$10:$B$35,0),MATCH(U$17,CBI!$B$10:$H$10,0))</f>
        <v>12</v>
      </c>
      <c r="V29" s="21"/>
      <c r="W29" s="9"/>
    </row>
    <row r="30" spans="2:23" ht="25.5" x14ac:dyDescent="0.25">
      <c r="B30" s="11" t="s">
        <v>86</v>
      </c>
      <c r="C30" s="9" t="s">
        <v>77</v>
      </c>
      <c r="D30" s="11" t="s">
        <v>0</v>
      </c>
      <c r="E30" s="22" t="s">
        <v>18</v>
      </c>
      <c r="F30" s="23" t="s">
        <v>31</v>
      </c>
      <c r="G30" s="22" t="s">
        <v>20</v>
      </c>
      <c r="H30" s="23" t="s">
        <v>36</v>
      </c>
      <c r="I30" s="81">
        <v>0</v>
      </c>
      <c r="J30" s="81">
        <f>3.456+('DER Concepts'!$N$27/3)</f>
        <v>4.4119999999999999</v>
      </c>
      <c r="K30" s="81">
        <f>4.116+('DER Concepts'!$N$27/3)</f>
        <v>5.0719999999999992</v>
      </c>
      <c r="L30" s="81">
        <f>4.842+('DER Concepts'!$N$27/3)</f>
        <v>5.798</v>
      </c>
      <c r="M30" s="12">
        <v>5.64</v>
      </c>
      <c r="N30" s="12">
        <v>6.5039999999999996</v>
      </c>
      <c r="O30" s="12">
        <v>7.4340000000000002</v>
      </c>
      <c r="P30" s="12">
        <v>8.4179999999999993</v>
      </c>
      <c r="Q30" s="12">
        <v>9.4559999999999995</v>
      </c>
      <c r="R30" s="12">
        <f t="shared" si="0"/>
        <v>15.281999999999998</v>
      </c>
      <c r="S30" s="46">
        <v>6.4572802308164361</v>
      </c>
      <c r="T30" s="20">
        <v>0.17516959361661694</v>
      </c>
      <c r="U30" s="19">
        <v>19</v>
      </c>
      <c r="V30" s="21"/>
      <c r="W30" s="9" t="s">
        <v>125</v>
      </c>
    </row>
    <row r="31" spans="2:23" ht="25.5" x14ac:dyDescent="0.25">
      <c r="B31" s="11" t="s">
        <v>87</v>
      </c>
      <c r="C31" s="9" t="s">
        <v>77</v>
      </c>
      <c r="D31" s="11" t="s">
        <v>1</v>
      </c>
      <c r="E31" s="22" t="s">
        <v>18</v>
      </c>
      <c r="F31" s="23" t="s">
        <v>31</v>
      </c>
      <c r="G31" s="22" t="s">
        <v>20</v>
      </c>
      <c r="H31" s="23" t="s">
        <v>36</v>
      </c>
      <c r="I31" s="81">
        <v>0</v>
      </c>
      <c r="J31" s="81">
        <f>2.88+('DER Concepts'!$N$28/3)</f>
        <v>3.6766666666666667</v>
      </c>
      <c r="K31" s="81">
        <f>3.43+('DER Concepts'!$N$28/3)</f>
        <v>4.2266666666666666</v>
      </c>
      <c r="L31" s="81">
        <f>4.035+('DER Concepts'!$N$28/3)</f>
        <v>4.831666666666667</v>
      </c>
      <c r="M31" s="12">
        <v>4.7</v>
      </c>
      <c r="N31" s="12">
        <v>5.42</v>
      </c>
      <c r="O31" s="12">
        <v>6.1950000000000003</v>
      </c>
      <c r="P31" s="12">
        <v>7.0149999999999997</v>
      </c>
      <c r="Q31" s="12">
        <v>7.88</v>
      </c>
      <c r="R31" s="12">
        <f t="shared" si="0"/>
        <v>12.734999999999999</v>
      </c>
      <c r="S31" s="46">
        <v>6.4572802308164361</v>
      </c>
      <c r="T31" s="20">
        <v>0.17516959361661694</v>
      </c>
      <c r="U31" s="19">
        <v>19</v>
      </c>
      <c r="V31" s="21"/>
      <c r="W31" s="9" t="s">
        <v>125</v>
      </c>
    </row>
    <row r="32" spans="2:23" ht="25.5" x14ac:dyDescent="0.25">
      <c r="B32" s="11">
        <v>15</v>
      </c>
      <c r="C32" s="9" t="s">
        <v>62</v>
      </c>
      <c r="D32" s="11" t="s">
        <v>0</v>
      </c>
      <c r="E32" s="58" t="s">
        <v>26</v>
      </c>
      <c r="F32" s="11" t="s">
        <v>39</v>
      </c>
      <c r="G32" s="58" t="s">
        <v>20</v>
      </c>
      <c r="H32" s="11" t="s">
        <v>64</v>
      </c>
      <c r="I32" s="81">
        <v>1.4</v>
      </c>
      <c r="J32" s="81">
        <v>1.2</v>
      </c>
      <c r="K32" s="81">
        <v>1.4</v>
      </c>
      <c r="L32" s="81">
        <v>0</v>
      </c>
      <c r="M32" s="12">
        <f>INDEX('DER Concepts'!$B$6:$V$31,MATCH($B32,'DER Concepts'!$B$6:$B$31,0),MATCH(M$17,'DER Concepts'!$B$6:$V$6,0))</f>
        <v>3.8</v>
      </c>
      <c r="N32" s="12">
        <f>INDEX('DER Concepts'!$B$6:$V$31,MATCH($B32,'DER Concepts'!$B$6:$B$31,0),MATCH(N$17,'DER Concepts'!$B$6:$V$6,0))</f>
        <v>3.8</v>
      </c>
      <c r="O32" s="12">
        <f>INDEX('DER Concepts'!$B$6:$V$31,MATCH($B32,'DER Concepts'!$B$6:$B$31,0),MATCH(O$17,'DER Concepts'!$B$6:$V$6,0))</f>
        <v>3.8</v>
      </c>
      <c r="P32" s="12">
        <f>INDEX('DER Concepts'!$B$6:$V$31,MATCH($B32,'DER Concepts'!$B$6:$B$31,0),MATCH(P$17,'DER Concepts'!$B$6:$V$6,0))</f>
        <v>3.8</v>
      </c>
      <c r="Q32" s="12">
        <f>INDEX('DER Concepts'!$B$6:$V$31,MATCH($B32,'DER Concepts'!$B$6:$B$31,0),MATCH(Q$17,'DER Concepts'!$B$6:$V$6,0))</f>
        <v>3.8</v>
      </c>
      <c r="R32" s="12">
        <f t="shared" si="0"/>
        <v>3.9999999999999996</v>
      </c>
      <c r="S32" s="46">
        <v>7.0994352087150769</v>
      </c>
      <c r="T32" s="20">
        <v>0.50710307656030273</v>
      </c>
      <c r="U32" s="19">
        <f>INDEX(CBI!$B$10:$H$35,MATCH($B32,CBI!$B$10:$B$35,0),MATCH(U$17,CBI!$B$10:$H$10,0))</f>
        <v>16</v>
      </c>
      <c r="V32" s="21" t="s">
        <v>23</v>
      </c>
      <c r="W32" s="9" t="s">
        <v>92</v>
      </c>
    </row>
    <row r="33" spans="2:25" ht="25.5" x14ac:dyDescent="0.25">
      <c r="B33" s="11">
        <v>8</v>
      </c>
      <c r="C33" s="9" t="s">
        <v>47</v>
      </c>
      <c r="D33" s="11" t="s">
        <v>1</v>
      </c>
      <c r="E33" s="58" t="s">
        <v>26</v>
      </c>
      <c r="F33" s="11" t="s">
        <v>35</v>
      </c>
      <c r="G33" s="58" t="s">
        <v>27</v>
      </c>
      <c r="H33" s="11" t="s">
        <v>28</v>
      </c>
      <c r="I33" s="12">
        <v>0</v>
      </c>
      <c r="J33" s="12">
        <f>INDEX('DER Concepts'!$B$6:$V$31,MATCH($B33,'DER Concepts'!$B$6:$B$31,0),MATCH(J$17,'DER Concepts'!$B$6:$V$6,0))+(VLOOKUP($B33,'DER Concepts'!$B$6:$N$31,13,FALSE)/3)</f>
        <v>0</v>
      </c>
      <c r="K33" s="12">
        <f>INDEX('DER Concepts'!$B$6:$V$31,MATCH($B33,'DER Concepts'!$B$6:$B$31,0),MATCH(K$17,'DER Concepts'!$B$6:$V$6,0))+(VLOOKUP($B33,'DER Concepts'!$B$6:$N$31,13,FALSE)/3)</f>
        <v>0</v>
      </c>
      <c r="L33" s="12">
        <f>INDEX('DER Concepts'!$B$6:$V$31,MATCH($B33,'DER Concepts'!$B$6:$B$31,0),MATCH(L$17,'DER Concepts'!$B$6:$V$6,0))+(VLOOKUP($B33,'DER Concepts'!$B$6:$N$31,13,FALSE)/3)</f>
        <v>0</v>
      </c>
      <c r="M33" s="12">
        <f>INDEX('DER Concepts'!$B$6:$V$31,MATCH($B33,'DER Concepts'!$B$6:$B$31,0),MATCH(M$17,'DER Concepts'!$B$6:$V$6,0))</f>
        <v>0</v>
      </c>
      <c r="N33" s="12">
        <f>INDEX('DER Concepts'!$B$6:$V$31,MATCH($B33,'DER Concepts'!$B$6:$B$31,0),MATCH(N$17,'DER Concepts'!$B$6:$V$6,0))</f>
        <v>0</v>
      </c>
      <c r="O33" s="12">
        <f>INDEX('DER Concepts'!$B$6:$V$31,MATCH($B33,'DER Concepts'!$B$6:$B$31,0),MATCH(O$17,'DER Concepts'!$B$6:$V$6,0))</f>
        <v>0</v>
      </c>
      <c r="P33" s="12">
        <f>INDEX('DER Concepts'!$B$6:$V$31,MATCH($B33,'DER Concepts'!$B$6:$B$31,0),MATCH(P$17,'DER Concepts'!$B$6:$V$6,0))</f>
        <v>0</v>
      </c>
      <c r="Q33" s="12">
        <f>INDEX('DER Concepts'!$B$6:$V$31,MATCH($B33,'DER Concepts'!$B$6:$B$31,0),MATCH(Q$17,'DER Concepts'!$B$6:$V$6,0))</f>
        <v>0</v>
      </c>
      <c r="R33" s="12">
        <f t="shared" si="0"/>
        <v>0</v>
      </c>
      <c r="S33" s="46">
        <v>8.8681755371093747</v>
      </c>
      <c r="T33" s="20">
        <v>0.31419999999999998</v>
      </c>
      <c r="U33" s="19">
        <f>INDEX(CBI!$B$10:$H$35,MATCH($B33,CBI!$B$10:$B$35,0),MATCH(U$17,CBI!$B$10:$H$10,0))</f>
        <v>14</v>
      </c>
      <c r="V33" s="21"/>
      <c r="W33" s="9"/>
    </row>
    <row r="34" spans="2:25" ht="25.5" x14ac:dyDescent="0.25">
      <c r="B34" s="11">
        <v>18</v>
      </c>
      <c r="C34" s="9" t="s">
        <v>69</v>
      </c>
      <c r="D34" s="11" t="s">
        <v>0</v>
      </c>
      <c r="E34" s="58" t="s">
        <v>26</v>
      </c>
      <c r="F34" s="11" t="s">
        <v>39</v>
      </c>
      <c r="G34" s="58" t="s">
        <v>20</v>
      </c>
      <c r="H34" s="11" t="s">
        <v>36</v>
      </c>
      <c r="I34" s="12">
        <v>0</v>
      </c>
      <c r="J34" s="12">
        <f>INDEX('DER Concepts'!$B$6:$V$31,MATCH($B34,'DER Concepts'!$B$6:$B$31,0),MATCH(J$17,'DER Concepts'!$B$6:$V$6,0))+(VLOOKUP($B34,'DER Concepts'!$B$6:$N$31,13,FALSE)/3)</f>
        <v>15.600000000000001</v>
      </c>
      <c r="K34" s="12">
        <f>INDEX('DER Concepts'!$B$6:$V$31,MATCH($B34,'DER Concepts'!$B$6:$B$31,0),MATCH(K$17,'DER Concepts'!$B$6:$V$6,0))+(VLOOKUP($B34,'DER Concepts'!$B$6:$N$31,13,FALSE)/3)</f>
        <v>20</v>
      </c>
      <c r="L34" s="12">
        <f>INDEX('DER Concepts'!$B$6:$V$31,MATCH($B34,'DER Concepts'!$B$6:$B$31,0),MATCH(L$17,'DER Concepts'!$B$6:$V$6,0))+(VLOOKUP($B34,'DER Concepts'!$B$6:$N$31,13,FALSE)/3)</f>
        <v>24.400000000000002</v>
      </c>
      <c r="M34" s="12">
        <f>INDEX('DER Concepts'!$B$6:$V$31,MATCH($B34,'DER Concepts'!$B$6:$B$31,0),MATCH(M$17,'DER Concepts'!$B$6:$V$6,0))</f>
        <v>21.6</v>
      </c>
      <c r="N34" s="12">
        <f>INDEX('DER Concepts'!$B$6:$V$31,MATCH($B34,'DER Concepts'!$B$6:$B$31,0),MATCH(N$17,'DER Concepts'!$B$6:$V$6,0))</f>
        <v>21.6</v>
      </c>
      <c r="O34" s="12">
        <f>INDEX('DER Concepts'!$B$6:$V$31,MATCH($B34,'DER Concepts'!$B$6:$B$31,0),MATCH(O$17,'DER Concepts'!$B$6:$V$6,0))</f>
        <v>21.6</v>
      </c>
      <c r="P34" s="12">
        <f>INDEX('DER Concepts'!$B$6:$V$31,MATCH($B34,'DER Concepts'!$B$6:$B$31,0),MATCH(P$17,'DER Concepts'!$B$6:$V$6,0))</f>
        <v>21.6</v>
      </c>
      <c r="Q34" s="12">
        <f>INDEX('DER Concepts'!$B$6:$V$31,MATCH($B34,'DER Concepts'!$B$6:$B$31,0),MATCH(Q$17,'DER Concepts'!$B$6:$V$6,0))</f>
        <v>21.6</v>
      </c>
      <c r="R34" s="12">
        <f t="shared" si="0"/>
        <v>60</v>
      </c>
      <c r="S34" s="46">
        <v>8.964012775361347</v>
      </c>
      <c r="T34" s="20">
        <v>0.3794284339748269</v>
      </c>
      <c r="U34" s="19">
        <f>INDEX(CBI!$B$10:$H$35,MATCH($B34,CBI!$B$10:$B$35,0),MATCH(U$17,CBI!$B$10:$H$10,0))</f>
        <v>16</v>
      </c>
      <c r="V34" s="21"/>
      <c r="W34" s="9"/>
    </row>
    <row r="35" spans="2:25" ht="38.25" x14ac:dyDescent="0.25">
      <c r="B35" s="11">
        <v>20</v>
      </c>
      <c r="C35" s="9" t="s">
        <v>75</v>
      </c>
      <c r="D35" s="11" t="s">
        <v>0</v>
      </c>
      <c r="E35" s="58" t="s">
        <v>18</v>
      </c>
      <c r="F35" s="11" t="s">
        <v>73</v>
      </c>
      <c r="G35" s="58" t="s">
        <v>20</v>
      </c>
      <c r="H35" s="11" t="s">
        <v>74</v>
      </c>
      <c r="I35" s="12">
        <v>0</v>
      </c>
      <c r="J35" s="12">
        <f>INDEX('DER Concepts'!$B$6:$V$31,MATCH($B35,'DER Concepts'!$B$6:$B$31,0),MATCH(J$17,'DER Concepts'!$B$6:$V$6,0))+(VLOOKUP($B35,'DER Concepts'!$B$6:$N$31,13,FALSE)/3)</f>
        <v>0.55333333333333334</v>
      </c>
      <c r="K35" s="12">
        <f>INDEX('DER Concepts'!$B$6:$V$31,MATCH($B35,'DER Concepts'!$B$6:$B$31,0),MATCH(K$17,'DER Concepts'!$B$6:$V$6,0))+(VLOOKUP($B35,'DER Concepts'!$B$6:$N$31,13,FALSE)/3)</f>
        <v>0.55333333333333334</v>
      </c>
      <c r="L35" s="12">
        <f>INDEX('DER Concepts'!$B$6:$V$31,MATCH($B35,'DER Concepts'!$B$6:$B$31,0),MATCH(L$17,'DER Concepts'!$B$6:$V$6,0))+(VLOOKUP($B35,'DER Concepts'!$B$6:$N$31,13,FALSE)/3)</f>
        <v>0.55333333333333334</v>
      </c>
      <c r="M35" s="12">
        <f>INDEX('DER Concepts'!$B$6:$V$31,MATCH($B35,'DER Concepts'!$B$6:$B$31,0),MATCH(M$17,'DER Concepts'!$B$6:$V$6,0))</f>
        <v>0.498</v>
      </c>
      <c r="N35" s="12">
        <f>INDEX('DER Concepts'!$B$6:$V$31,MATCH($B35,'DER Concepts'!$B$6:$B$31,0),MATCH(N$17,'DER Concepts'!$B$6:$V$6,0))</f>
        <v>0.498</v>
      </c>
      <c r="O35" s="12">
        <f>INDEX('DER Concepts'!$B$6:$V$31,MATCH($B35,'DER Concepts'!$B$6:$B$31,0),MATCH(O$17,'DER Concepts'!$B$6:$V$6,0))</f>
        <v>0.58099999999999996</v>
      </c>
      <c r="P35" s="12">
        <f>INDEX('DER Concepts'!$B$6:$V$31,MATCH($B35,'DER Concepts'!$B$6:$B$31,0),MATCH(P$17,'DER Concepts'!$B$6:$V$6,0))</f>
        <v>0.66400000000000003</v>
      </c>
      <c r="Q35" s="12">
        <f>INDEX('DER Concepts'!$B$6:$V$31,MATCH($B35,'DER Concepts'!$B$6:$B$31,0),MATCH(Q$17,'DER Concepts'!$B$6:$V$6,0))</f>
        <v>0.66400000000000003</v>
      </c>
      <c r="R35" s="12">
        <f t="shared" si="0"/>
        <v>1.6600000000000001</v>
      </c>
      <c r="S35" s="46">
        <v>9.2076025756029747</v>
      </c>
      <c r="T35" s="20">
        <v>0.1173427519052541</v>
      </c>
      <c r="U35" s="19">
        <f>INDEX(CBI!$B$10:$H$35,MATCH($B35,CBI!$B$10:$B$35,0),MATCH(U$17,CBI!$B$10:$H$10,0))</f>
        <v>16</v>
      </c>
      <c r="V35" s="21"/>
      <c r="W35" s="9"/>
    </row>
    <row r="36" spans="2:25" ht="25.5" x14ac:dyDescent="0.25">
      <c r="B36" s="11">
        <v>1</v>
      </c>
      <c r="C36" s="9" t="s">
        <v>16</v>
      </c>
      <c r="D36" s="11" t="s">
        <v>1</v>
      </c>
      <c r="E36" s="58" t="s">
        <v>18</v>
      </c>
      <c r="F36" s="11" t="s">
        <v>19</v>
      </c>
      <c r="G36" s="58" t="s">
        <v>20</v>
      </c>
      <c r="H36" s="11" t="s">
        <v>21</v>
      </c>
      <c r="I36" s="12">
        <v>0</v>
      </c>
      <c r="J36" s="12">
        <f>INDEX('DER Concepts'!$B$6:$V$31,MATCH($B36,'DER Concepts'!$B$6:$B$31,0),MATCH(J$17,'DER Concepts'!$B$6:$V$6,0))+(VLOOKUP($B36,'DER Concepts'!$B$6:$N$31,13,FALSE)/3)</f>
        <v>9.2666666666666657</v>
      </c>
      <c r="K36" s="12">
        <f>INDEX('DER Concepts'!$B$6:$V$31,MATCH($B36,'DER Concepts'!$B$6:$B$31,0),MATCH(K$17,'DER Concepts'!$B$6:$V$6,0))+(VLOOKUP($B36,'DER Concepts'!$B$6:$N$31,13,FALSE)/3)</f>
        <v>9.4666666666666668</v>
      </c>
      <c r="L36" s="12">
        <f>INDEX('DER Concepts'!$B$6:$V$31,MATCH($B36,'DER Concepts'!$B$6:$B$31,0),MATCH(L$17,'DER Concepts'!$B$6:$V$6,0))+(VLOOKUP($B36,'DER Concepts'!$B$6:$N$31,13,FALSE)/3)</f>
        <v>9.6666666666666679</v>
      </c>
      <c r="M36" s="12">
        <f>INDEX('DER Concepts'!$B$6:$V$31,MATCH($B36,'DER Concepts'!$B$6:$B$31,0),MATCH(M$17,'DER Concepts'!$B$6:$V$6,0))</f>
        <v>7.4</v>
      </c>
      <c r="N36" s="12">
        <f>INDEX('DER Concepts'!$B$6:$V$31,MATCH($B36,'DER Concepts'!$B$6:$B$31,0),MATCH(N$17,'DER Concepts'!$B$6:$V$6,0))</f>
        <v>7.6</v>
      </c>
      <c r="O36" s="12">
        <f>INDEX('DER Concepts'!$B$6:$V$31,MATCH($B36,'DER Concepts'!$B$6:$B$31,0),MATCH(O$17,'DER Concepts'!$B$6:$V$6,0))</f>
        <v>7.6</v>
      </c>
      <c r="P36" s="12">
        <f>INDEX('DER Concepts'!$B$6:$V$31,MATCH($B36,'DER Concepts'!$B$6:$B$31,0),MATCH(P$17,'DER Concepts'!$B$6:$V$6,0))</f>
        <v>7.8</v>
      </c>
      <c r="Q36" s="12">
        <f>INDEX('DER Concepts'!$B$6:$V$31,MATCH($B36,'DER Concepts'!$B$6:$B$31,0),MATCH(Q$17,'DER Concepts'!$B$6:$V$6,0))</f>
        <v>7.8</v>
      </c>
      <c r="R36" s="12">
        <f t="shared" si="0"/>
        <v>28.400000000000002</v>
      </c>
      <c r="S36" s="46">
        <v>13.101785311970335</v>
      </c>
      <c r="T36" s="20">
        <v>0.28160000000000002</v>
      </c>
      <c r="U36" s="19">
        <f>INDEX(CBI!$B$10:$H$35,MATCH($B36,CBI!$B$10:$B$35,0),MATCH(U$17,CBI!$B$10:$H$10,0))</f>
        <v>16</v>
      </c>
      <c r="V36" s="21"/>
      <c r="W36" s="9"/>
    </row>
    <row r="37" spans="2:25" ht="25.5" x14ac:dyDescent="0.25">
      <c r="B37" s="11">
        <v>10</v>
      </c>
      <c r="C37" s="9" t="s">
        <v>51</v>
      </c>
      <c r="D37" s="11" t="s">
        <v>1</v>
      </c>
      <c r="E37" s="58" t="s">
        <v>18</v>
      </c>
      <c r="F37" s="11" t="s">
        <v>35</v>
      </c>
      <c r="G37" s="58" t="s">
        <v>20</v>
      </c>
      <c r="H37" s="11" t="s">
        <v>36</v>
      </c>
      <c r="I37" s="12">
        <v>0</v>
      </c>
      <c r="J37" s="12">
        <f>INDEX('DER Concepts'!$B$6:$V$31,MATCH($B37,'DER Concepts'!$B$6:$B$31,0),MATCH(J$17,'DER Concepts'!$B$6:$V$6,0))+(VLOOKUP($B37,'DER Concepts'!$B$6:$N$31,13,FALSE)/3)</f>
        <v>1.5183333333333333</v>
      </c>
      <c r="K37" s="12">
        <f>INDEX('DER Concepts'!$B$6:$V$31,MATCH($B37,'DER Concepts'!$B$6:$B$31,0),MATCH(K$17,'DER Concepts'!$B$6:$V$6,0))+(VLOOKUP($B37,'DER Concepts'!$B$6:$N$31,13,FALSE)/3)</f>
        <v>1.5383333333333333</v>
      </c>
      <c r="L37" s="12">
        <f>INDEX('DER Concepts'!$B$6:$V$31,MATCH($B37,'DER Concepts'!$B$6:$B$31,0),MATCH(L$17,'DER Concepts'!$B$6:$V$6,0))+(VLOOKUP($B37,'DER Concepts'!$B$6:$N$31,13,FALSE)/3)</f>
        <v>1.5583333333333333</v>
      </c>
      <c r="M37" s="12">
        <f>INDEX('DER Concepts'!$B$6:$V$31,MATCH($B37,'DER Concepts'!$B$6:$B$31,0),MATCH(M$17,'DER Concepts'!$B$6:$V$6,0))</f>
        <v>1.2</v>
      </c>
      <c r="N37" s="12">
        <f>INDEX('DER Concepts'!$B$6:$V$31,MATCH($B37,'DER Concepts'!$B$6:$B$31,0),MATCH(N$17,'DER Concepts'!$B$6:$V$6,0))</f>
        <v>1.2150000000000001</v>
      </c>
      <c r="O37" s="12">
        <f>INDEX('DER Concepts'!$B$6:$V$31,MATCH($B37,'DER Concepts'!$B$6:$B$31,0),MATCH(O$17,'DER Concepts'!$B$6:$V$6,0))</f>
        <v>1.23</v>
      </c>
      <c r="P37" s="12">
        <f>INDEX('DER Concepts'!$B$6:$V$31,MATCH($B37,'DER Concepts'!$B$6:$B$31,0),MATCH(P$17,'DER Concepts'!$B$6:$V$6,0))</f>
        <v>1.2450000000000001</v>
      </c>
      <c r="Q37" s="12">
        <f>INDEX('DER Concepts'!$B$6:$V$31,MATCH($B37,'DER Concepts'!$B$6:$B$31,0),MATCH(Q$17,'DER Concepts'!$B$6:$V$6,0))</f>
        <v>1.26</v>
      </c>
      <c r="R37" s="12">
        <f t="shared" si="0"/>
        <v>4.6150000000000002</v>
      </c>
      <c r="S37" s="46">
        <v>13.920828306662617</v>
      </c>
      <c r="T37" s="20">
        <v>0.17699999999999999</v>
      </c>
      <c r="U37" s="19">
        <f>INDEX(CBI!$B$10:$H$35,MATCH($B37,CBI!$B$10:$B$35,0),MATCH(U$17,CBI!$B$10:$H$10,0))</f>
        <v>19</v>
      </c>
      <c r="V37" s="21"/>
      <c r="W37" s="9"/>
    </row>
    <row r="38" spans="2:25" ht="51" x14ac:dyDescent="0.25">
      <c r="B38" s="11">
        <v>5</v>
      </c>
      <c r="C38" s="9" t="s">
        <v>37</v>
      </c>
      <c r="D38" s="11" t="s">
        <v>1</v>
      </c>
      <c r="E38" s="74" t="s">
        <v>18</v>
      </c>
      <c r="F38" s="74" t="s">
        <v>39</v>
      </c>
      <c r="G38" s="74" t="s">
        <v>27</v>
      </c>
      <c r="H38" s="74" t="s">
        <v>40</v>
      </c>
      <c r="I38" s="12">
        <v>0</v>
      </c>
      <c r="J38" s="12">
        <f>INDEX('DER Concepts'!$B$6:$V$31,MATCH($B38,'DER Concepts'!$B$6:$B$31,0),MATCH(J$17,'DER Concepts'!$B$6:$V$6,0))+(VLOOKUP($B38,'DER Concepts'!$B$6:$N$31,13,FALSE)/3)</f>
        <v>0.91666666666666663</v>
      </c>
      <c r="K38" s="12">
        <f>INDEX('DER Concepts'!$B$6:$V$31,MATCH($B38,'DER Concepts'!$B$6:$B$31,0),MATCH(K$17,'DER Concepts'!$B$6:$V$6,0))+(VLOOKUP($B38,'DER Concepts'!$B$6:$N$31,13,FALSE)/3)</f>
        <v>0.91666666666666663</v>
      </c>
      <c r="L38" s="12">
        <f>INDEX('DER Concepts'!$B$6:$V$31,MATCH($B38,'DER Concepts'!$B$6:$B$31,0),MATCH(L$17,'DER Concepts'!$B$6:$V$6,0))+(VLOOKUP($B38,'DER Concepts'!$B$6:$N$31,13,FALSE)/3)</f>
        <v>0.91666666666666663</v>
      </c>
      <c r="M38" s="12">
        <f>INDEX('DER Concepts'!$B$6:$V$31,MATCH($B38,'DER Concepts'!$B$6:$B$31,0),MATCH(M$17,'DER Concepts'!$B$6:$V$6,0))</f>
        <v>1.75</v>
      </c>
      <c r="N38" s="12">
        <f>INDEX('DER Concepts'!$B$6:$V$31,MATCH($B38,'DER Concepts'!$B$6:$B$31,0),MATCH(N$17,'DER Concepts'!$B$6:$V$6,0))</f>
        <v>1.75</v>
      </c>
      <c r="O38" s="12">
        <f>INDEX('DER Concepts'!$B$6:$V$31,MATCH($B38,'DER Concepts'!$B$6:$B$31,0),MATCH(O$17,'DER Concepts'!$B$6:$V$6,0))</f>
        <v>3.25</v>
      </c>
      <c r="P38" s="12">
        <f>INDEX('DER Concepts'!$B$6:$V$31,MATCH($B38,'DER Concepts'!$B$6:$B$31,0),MATCH(P$17,'DER Concepts'!$B$6:$V$6,0))</f>
        <v>4.25</v>
      </c>
      <c r="Q38" s="12">
        <f>INDEX('DER Concepts'!$B$6:$V$31,MATCH($B38,'DER Concepts'!$B$6:$B$31,0),MATCH(Q$17,'DER Concepts'!$B$6:$V$6,0))</f>
        <v>4.25</v>
      </c>
      <c r="R38" s="12">
        <f t="shared" si="0"/>
        <v>2.75</v>
      </c>
      <c r="S38" s="46">
        <v>14.188653289794923</v>
      </c>
      <c r="T38" s="20">
        <v>0.1842</v>
      </c>
      <c r="U38" s="19">
        <f>INDEX(CBI!$B$10:$H$35,MATCH($B38,CBI!$B$10:$B$35,0),MATCH(U$17,CBI!$B$10:$H$10,0))</f>
        <v>17</v>
      </c>
      <c r="V38" s="21"/>
      <c r="W38" s="9"/>
    </row>
    <row r="39" spans="2:25" ht="25.5" x14ac:dyDescent="0.25">
      <c r="B39" s="11">
        <v>11</v>
      </c>
      <c r="C39" s="9" t="s">
        <v>53</v>
      </c>
      <c r="D39" s="11" t="s">
        <v>1</v>
      </c>
      <c r="E39" s="74" t="s">
        <v>18</v>
      </c>
      <c r="F39" s="74" t="s">
        <v>35</v>
      </c>
      <c r="G39" s="74" t="s">
        <v>20</v>
      </c>
      <c r="H39" s="74" t="s">
        <v>36</v>
      </c>
      <c r="I39" s="12">
        <v>0</v>
      </c>
      <c r="J39" s="12">
        <f>INDEX('DER Concepts'!$B$6:$V$31,MATCH($B39,'DER Concepts'!$B$6:$B$31,0),MATCH(J$17,'DER Concepts'!$B$6:$V$6,0))+(VLOOKUP($B39,'DER Concepts'!$B$6:$N$31,13,FALSE)/3)</f>
        <v>0.14666666666666667</v>
      </c>
      <c r="K39" s="12">
        <f>INDEX('DER Concepts'!$B$6:$V$31,MATCH($B39,'DER Concepts'!$B$6:$B$31,0),MATCH(K$17,'DER Concepts'!$B$6:$V$6,0))+(VLOOKUP($B39,'DER Concepts'!$B$6:$N$31,13,FALSE)/3)</f>
        <v>0.14666666666666667</v>
      </c>
      <c r="L39" s="12">
        <f>INDEX('DER Concepts'!$B$6:$V$31,MATCH($B39,'DER Concepts'!$B$6:$B$31,0),MATCH(L$17,'DER Concepts'!$B$6:$V$6,0))+(VLOOKUP($B39,'DER Concepts'!$B$6:$N$31,13,FALSE)/3)</f>
        <v>0.14666666666666667</v>
      </c>
      <c r="M39" s="12">
        <f>INDEX('DER Concepts'!$B$6:$V$31,MATCH($B39,'DER Concepts'!$B$6:$B$31,0),MATCH(M$17,'DER Concepts'!$B$6:$V$6,0))</f>
        <v>0.11</v>
      </c>
      <c r="N39" s="12">
        <f>INDEX('DER Concepts'!$B$6:$V$31,MATCH($B39,'DER Concepts'!$B$6:$B$31,0),MATCH(N$17,'DER Concepts'!$B$6:$V$6,0))</f>
        <v>0.11</v>
      </c>
      <c r="O39" s="12">
        <f>INDEX('DER Concepts'!$B$6:$V$31,MATCH($B39,'DER Concepts'!$B$6:$B$31,0),MATCH(O$17,'DER Concepts'!$B$6:$V$6,0))</f>
        <v>0.11</v>
      </c>
      <c r="P39" s="12">
        <f>INDEX('DER Concepts'!$B$6:$V$31,MATCH($B39,'DER Concepts'!$B$6:$B$31,0),MATCH(P$17,'DER Concepts'!$B$6:$V$6,0))</f>
        <v>0.11</v>
      </c>
      <c r="Q39" s="12">
        <f>INDEX('DER Concepts'!$B$6:$V$31,MATCH($B39,'DER Concepts'!$B$6:$B$31,0),MATCH(Q$17,'DER Concepts'!$B$6:$V$6,0))</f>
        <v>0.11</v>
      </c>
      <c r="R39" s="12">
        <f t="shared" si="0"/>
        <v>0.44</v>
      </c>
      <c r="S39" s="46">
        <v>16.132658183982102</v>
      </c>
      <c r="T39" s="20">
        <v>0.1946</v>
      </c>
      <c r="U39" s="19">
        <f>INDEX(CBI!$B$10:$H$35,MATCH($B39,CBI!$B$10:$B$35,0),MATCH(U$17,CBI!$B$10:$H$10,0))</f>
        <v>20</v>
      </c>
      <c r="V39" s="21"/>
      <c r="W39" s="9"/>
    </row>
    <row r="40" spans="2:25" ht="25.5" x14ac:dyDescent="0.25">
      <c r="B40" s="11">
        <v>22</v>
      </c>
      <c r="C40" s="9" t="s">
        <v>79</v>
      </c>
      <c r="D40" s="11" t="s">
        <v>0</v>
      </c>
      <c r="E40" s="58" t="s">
        <v>26</v>
      </c>
      <c r="F40" s="11" t="s">
        <v>39</v>
      </c>
      <c r="G40" s="58" t="s">
        <v>20</v>
      </c>
      <c r="H40" s="11" t="s">
        <v>36</v>
      </c>
      <c r="I40" s="12">
        <v>0</v>
      </c>
      <c r="J40" s="12">
        <f>INDEX('DER Concepts'!$B$6:$V$31,MATCH($B40,'DER Concepts'!$B$6:$B$31,0),MATCH(J$17,'DER Concepts'!$B$6:$V$6,0))+(VLOOKUP($B40,'DER Concepts'!$B$6:$N$31,13,FALSE)/3)</f>
        <v>1.194</v>
      </c>
      <c r="K40" s="12">
        <f>INDEX('DER Concepts'!$B$6:$V$31,MATCH($B40,'DER Concepts'!$B$6:$B$31,0),MATCH(K$17,'DER Concepts'!$B$6:$V$6,0))+(VLOOKUP($B40,'DER Concepts'!$B$6:$N$31,13,FALSE)/3)</f>
        <v>1.5959999999999999</v>
      </c>
      <c r="L40" s="12">
        <f>INDEX('DER Concepts'!$B$6:$V$31,MATCH($B40,'DER Concepts'!$B$6:$B$31,0),MATCH(L$17,'DER Concepts'!$B$6:$V$6,0))+(VLOOKUP($B40,'DER Concepts'!$B$6:$N$31,13,FALSE)/3)</f>
        <v>2.004</v>
      </c>
      <c r="M40" s="12">
        <f>INDEX('DER Concepts'!$B$6:$V$31,MATCH($B40,'DER Concepts'!$B$6:$B$31,0),MATCH(M$17,'DER Concepts'!$B$6:$V$6,0))</f>
        <v>2.4660000000000002</v>
      </c>
      <c r="N40" s="12">
        <f>INDEX('DER Concepts'!$B$6:$V$31,MATCH($B40,'DER Concepts'!$B$6:$B$31,0),MATCH(N$17,'DER Concepts'!$B$6:$V$6,0))</f>
        <v>3.2759999999999998</v>
      </c>
      <c r="O40" s="12">
        <f>INDEX('DER Concepts'!$B$6:$V$31,MATCH($B40,'DER Concepts'!$B$6:$B$31,0),MATCH(O$17,'DER Concepts'!$B$6:$V$6,0))</f>
        <v>4.1820000000000004</v>
      </c>
      <c r="P40" s="12">
        <f>INDEX('DER Concepts'!$B$6:$V$31,MATCH($B40,'DER Concepts'!$B$6:$B$31,0),MATCH(P$17,'DER Concepts'!$B$6:$V$6,0))</f>
        <v>5.2859999999999996</v>
      </c>
      <c r="Q40" s="12">
        <f>INDEX('DER Concepts'!$B$6:$V$31,MATCH($B40,'DER Concepts'!$B$6:$B$31,0),MATCH(Q$17,'DER Concepts'!$B$6:$V$6,0))</f>
        <v>6.6779999999999999</v>
      </c>
      <c r="R40" s="12">
        <f t="shared" si="0"/>
        <v>4.7940000000000005</v>
      </c>
      <c r="S40" s="46">
        <v>18.415985147405596</v>
      </c>
      <c r="T40" s="20">
        <v>0.21121505752351757</v>
      </c>
      <c r="U40" s="19">
        <f>INDEX(CBI!$B$10:$H$35,MATCH($B40,CBI!$B$10:$B$35,0),MATCH(U$17,CBI!$B$10:$H$10,0))</f>
        <v>16</v>
      </c>
      <c r="V40" s="21"/>
      <c r="W40" s="9"/>
      <c r="Y40" s="54"/>
    </row>
    <row r="41" spans="2:25" ht="38.25" x14ac:dyDescent="0.25">
      <c r="B41" s="11">
        <v>19</v>
      </c>
      <c r="C41" s="9" t="s">
        <v>71</v>
      </c>
      <c r="D41" s="11" t="s">
        <v>0</v>
      </c>
      <c r="E41" s="58" t="s">
        <v>18</v>
      </c>
      <c r="F41" s="11" t="s">
        <v>73</v>
      </c>
      <c r="G41" s="58" t="s">
        <v>20</v>
      </c>
      <c r="H41" s="11" t="s">
        <v>74</v>
      </c>
      <c r="I41" s="12">
        <v>0</v>
      </c>
      <c r="J41" s="12">
        <f>INDEX('DER Concepts'!$B$6:$V$31,MATCH($B41,'DER Concepts'!$B$6:$B$31,0),MATCH(J$17,'DER Concepts'!$B$6:$V$6,0))+(VLOOKUP($B41,'DER Concepts'!$B$6:$N$31,13,FALSE)/3)</f>
        <v>0.11066666666666668</v>
      </c>
      <c r="K41" s="12">
        <f>INDEX('DER Concepts'!$B$6:$V$31,MATCH($B41,'DER Concepts'!$B$6:$B$31,0),MATCH(K$17,'DER Concepts'!$B$6:$V$6,0))+(VLOOKUP($B41,'DER Concepts'!$B$6:$N$31,13,FALSE)/3)</f>
        <v>0.11066666666666668</v>
      </c>
      <c r="L41" s="12">
        <f>INDEX('DER Concepts'!$B$6:$V$31,MATCH($B41,'DER Concepts'!$B$6:$B$31,0),MATCH(L$17,'DER Concepts'!$B$6:$V$6,0))+(VLOOKUP($B41,'DER Concepts'!$B$6:$N$31,13,FALSE)/3)</f>
        <v>0.11066666666666668</v>
      </c>
      <c r="M41" s="12">
        <f>INDEX('DER Concepts'!$B$6:$V$31,MATCH($B41,'DER Concepts'!$B$6:$B$31,0),MATCH(M$17,'DER Concepts'!$B$6:$V$6,0))</f>
        <v>8.3000000000000004E-2</v>
      </c>
      <c r="N41" s="12">
        <f>INDEX('DER Concepts'!$B$6:$V$31,MATCH($B41,'DER Concepts'!$B$6:$B$31,0),MATCH(N$17,'DER Concepts'!$B$6:$V$6,0))</f>
        <v>0.16600000000000001</v>
      </c>
      <c r="O41" s="12">
        <f>INDEX('DER Concepts'!$B$6:$V$31,MATCH($B41,'DER Concepts'!$B$6:$B$31,0),MATCH(O$17,'DER Concepts'!$B$6:$V$6,0))</f>
        <v>0.249</v>
      </c>
      <c r="P41" s="12">
        <f>INDEX('DER Concepts'!$B$6:$V$31,MATCH($B41,'DER Concepts'!$B$6:$B$31,0),MATCH(P$17,'DER Concepts'!$B$6:$V$6,0))</f>
        <v>0.249</v>
      </c>
      <c r="Q41" s="12">
        <f>INDEX('DER Concepts'!$B$6:$V$31,MATCH($B41,'DER Concepts'!$B$6:$B$31,0),MATCH(Q$17,'DER Concepts'!$B$6:$V$6,0))</f>
        <v>0.33200000000000002</v>
      </c>
      <c r="R41" s="12">
        <f t="shared" si="0"/>
        <v>0.33200000000000002</v>
      </c>
      <c r="S41" s="46">
        <v>18.531135620948916</v>
      </c>
      <c r="T41" s="20">
        <v>0.16558823561576444</v>
      </c>
      <c r="U41" s="19">
        <f>INDEX(CBI!$B$10:$H$35,MATCH($B41,CBI!$B$10:$B$35,0),MATCH(U$17,CBI!$B$10:$H$10,0))</f>
        <v>16</v>
      </c>
      <c r="V41" s="21"/>
      <c r="W41" s="9"/>
    </row>
    <row r="42" spans="2:25" ht="25.5" x14ac:dyDescent="0.25">
      <c r="B42" s="11">
        <v>23</v>
      </c>
      <c r="C42" s="9" t="s">
        <v>81</v>
      </c>
      <c r="D42" s="11" t="s">
        <v>0</v>
      </c>
      <c r="E42" s="58" t="s">
        <v>26</v>
      </c>
      <c r="F42" s="11" t="s">
        <v>39</v>
      </c>
      <c r="G42" s="58" t="s">
        <v>20</v>
      </c>
      <c r="H42" s="11" t="s">
        <v>36</v>
      </c>
      <c r="I42" s="12">
        <v>0</v>
      </c>
      <c r="J42" s="12">
        <f>INDEX('DER Concepts'!$B$6:$V$31,MATCH($B42,'DER Concepts'!$B$6:$B$31,0),MATCH(J$17,'DER Concepts'!$B$6:$V$6,0))+(VLOOKUP($B42,'DER Concepts'!$B$6:$N$31,13,FALSE)/3)</f>
        <v>0.16800000000000001</v>
      </c>
      <c r="K42" s="12">
        <f>INDEX('DER Concepts'!$B$6:$V$31,MATCH($B42,'DER Concepts'!$B$6:$B$31,0),MATCH(K$17,'DER Concepts'!$B$6:$V$6,0))+(VLOOKUP($B42,'DER Concepts'!$B$6:$N$31,13,FALSE)/3)</f>
        <v>0.22800000000000001</v>
      </c>
      <c r="L42" s="12">
        <f>INDEX('DER Concepts'!$B$6:$V$31,MATCH($B42,'DER Concepts'!$B$6:$B$31,0),MATCH(L$17,'DER Concepts'!$B$6:$V$6,0))+(VLOOKUP($B42,'DER Concepts'!$B$6:$N$31,13,FALSE)/3)</f>
        <v>0.28200000000000003</v>
      </c>
      <c r="M42" s="12">
        <f>INDEX('DER Concepts'!$B$6:$V$31,MATCH($B42,'DER Concepts'!$B$6:$B$31,0),MATCH(M$17,'DER Concepts'!$B$6:$V$6,0))</f>
        <v>0.34799999999999998</v>
      </c>
      <c r="N42" s="12">
        <f>INDEX('DER Concepts'!$B$6:$V$31,MATCH($B42,'DER Concepts'!$B$6:$B$31,0),MATCH(N$17,'DER Concepts'!$B$6:$V$6,0))</f>
        <v>0.46200000000000002</v>
      </c>
      <c r="O42" s="12">
        <f>INDEX('DER Concepts'!$B$6:$V$31,MATCH($B42,'DER Concepts'!$B$6:$B$31,0),MATCH(O$17,'DER Concepts'!$B$6:$V$6,0))</f>
        <v>0.59399999999999997</v>
      </c>
      <c r="P42" s="12">
        <f>INDEX('DER Concepts'!$B$6:$V$31,MATCH($B42,'DER Concepts'!$B$6:$B$31,0),MATCH(P$17,'DER Concepts'!$B$6:$V$6,0))</f>
        <v>0.75</v>
      </c>
      <c r="Q42" s="12">
        <f>INDEX('DER Concepts'!$B$6:$V$31,MATCH($B42,'DER Concepts'!$B$6:$B$31,0),MATCH(Q$17,'DER Concepts'!$B$6:$V$6,0))</f>
        <v>0.94799999999999995</v>
      </c>
      <c r="R42" s="12">
        <f t="shared" si="0"/>
        <v>0.67800000000000005</v>
      </c>
      <c r="S42" s="46">
        <v>22.472664936145215</v>
      </c>
      <c r="T42" s="20">
        <v>0.17595976874201763</v>
      </c>
      <c r="U42" s="19">
        <f>INDEX(CBI!$B$10:$H$35,MATCH($B42,CBI!$B$10:$B$35,0),MATCH(U$17,CBI!$B$10:$H$10,0))</f>
        <v>17</v>
      </c>
      <c r="V42" s="21"/>
      <c r="W42" s="9"/>
    </row>
    <row r="43" spans="2:25" ht="25.5" x14ac:dyDescent="0.25">
      <c r="B43" s="56">
        <v>4</v>
      </c>
      <c r="C43" s="9" t="s">
        <v>33</v>
      </c>
      <c r="D43" s="56" t="s">
        <v>1</v>
      </c>
      <c r="E43" s="74" t="s">
        <v>26</v>
      </c>
      <c r="F43" s="56" t="s">
        <v>35</v>
      </c>
      <c r="G43" s="58" t="s">
        <v>20</v>
      </c>
      <c r="H43" s="56" t="s">
        <v>36</v>
      </c>
      <c r="I43" s="12">
        <v>0</v>
      </c>
      <c r="J43" s="12">
        <f>INDEX('DER Concepts'!$B$6:$V$31,MATCH($B43,'DER Concepts'!$B$6:$B$31,0),MATCH(J$17,'DER Concepts'!$B$6:$V$6,0))+(VLOOKUP($B43,'DER Concepts'!$B$6:$N$31,13,FALSE)/3)</f>
        <v>8.4</v>
      </c>
      <c r="K43" s="12">
        <f>INDEX('DER Concepts'!$B$6:$V$31,MATCH($B43,'DER Concepts'!$B$6:$B$31,0),MATCH(K$17,'DER Concepts'!$B$6:$V$6,0))+(VLOOKUP($B43,'DER Concepts'!$B$6:$N$31,13,FALSE)/3)</f>
        <v>8.4</v>
      </c>
      <c r="L43" s="12">
        <f>INDEX('DER Concepts'!$B$6:$V$31,MATCH($B43,'DER Concepts'!$B$6:$B$31,0),MATCH(L$17,'DER Concepts'!$B$6:$V$6,0))+(VLOOKUP($B43,'DER Concepts'!$B$6:$N$31,13,FALSE)/3)</f>
        <v>8.4</v>
      </c>
      <c r="M43" s="12">
        <f>INDEX('DER Concepts'!$B$6:$V$31,MATCH($B43,'DER Concepts'!$B$6:$B$31,0),MATCH(M$17,'DER Concepts'!$B$6:$V$6,0))</f>
        <v>14.4</v>
      </c>
      <c r="N43" s="12">
        <f>INDEX('DER Concepts'!$B$6:$V$31,MATCH($B43,'DER Concepts'!$B$6:$B$31,0),MATCH(N$17,'DER Concepts'!$B$6:$V$6,0))</f>
        <v>14.4</v>
      </c>
      <c r="O43" s="12">
        <f>INDEX('DER Concepts'!$B$6:$V$31,MATCH($B43,'DER Concepts'!$B$6:$B$31,0),MATCH(O$17,'DER Concepts'!$B$6:$V$6,0))</f>
        <v>28.8</v>
      </c>
      <c r="P43" s="12">
        <f>INDEX('DER Concepts'!$B$6:$V$31,MATCH($B43,'DER Concepts'!$B$6:$B$31,0),MATCH(P$17,'DER Concepts'!$B$6:$V$6,0))</f>
        <v>36</v>
      </c>
      <c r="Q43" s="12">
        <f>INDEX('DER Concepts'!$B$6:$V$31,MATCH($B43,'DER Concepts'!$B$6:$B$31,0),MATCH(Q$17,'DER Concepts'!$B$6:$V$6,0))</f>
        <v>36</v>
      </c>
      <c r="R43" s="12">
        <f t="shared" si="0"/>
        <v>25.200000000000003</v>
      </c>
      <c r="S43" s="46">
        <v>26.334972555837133</v>
      </c>
      <c r="T43" s="20">
        <v>0.2011</v>
      </c>
      <c r="U43" s="19">
        <f>INDEX(CBI!$B$10:$H$35,MATCH($B43,CBI!$B$10:$B$35,0),MATCH(U$17,CBI!$B$10:$H$10,0))</f>
        <v>17</v>
      </c>
      <c r="V43" s="21"/>
      <c r="W43" s="9"/>
    </row>
    <row r="45" spans="2:25" x14ac:dyDescent="0.25">
      <c r="L45" s="63" t="s">
        <v>131</v>
      </c>
      <c r="R45" s="2">
        <f>SUMIF($D$18:$D$43,"Solar",$R$18:$R$43)</f>
        <v>203.892</v>
      </c>
    </row>
    <row r="46" spans="2:25" x14ac:dyDescent="0.25">
      <c r="L46" s="63" t="s">
        <v>132</v>
      </c>
      <c r="R46" s="2">
        <f>SUMIF($D$18:$D$43,"Battery",$R$18:$R$43)</f>
        <v>80.12</v>
      </c>
    </row>
  </sheetData>
  <autoFilter ref="B17:W44">
    <sortState ref="B22:W50">
      <sortCondition ref="S21:S48"/>
    </sortState>
  </autoFilter>
  <mergeCells count="2">
    <mergeCell ref="I16:R16"/>
    <mergeCell ref="C9:W9"/>
  </mergeCells>
  <hyperlinks>
    <hyperlink ref="C10" r:id="rId1"/>
    <hyperlink ref="C14" r:id="rId2"/>
  </hyperlinks>
  <pageMargins left="0.7" right="0.7" top="0.75" bottom="0.75" header="0.3" footer="0.3"/>
  <pageSetup orientation="portrait" r:id="rId3"/>
  <headerFooter>
    <oddHeader>&amp;LAppendix D-2: DER Preferred Portfolio Selection&amp;RClean Energy Implementation Plan</oddHeader>
    <oddFooter>&amp;LDECEMBER 17, 2021&amp;C&amp;P of &amp;N&amp;RPuget Sound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dimension ref="B1:X27"/>
  <sheetViews>
    <sheetView zoomScaleNormal="100" workbookViewId="0">
      <pane xSplit="8" ySplit="12" topLeftCell="I13" activePane="bottomRight" state="frozen"/>
      <selection activeCell="D20" sqref="D20"/>
      <selection pane="topRight" activeCell="D20" sqref="D20"/>
      <selection pane="bottomLeft" activeCell="D20" sqref="D20"/>
      <selection pane="bottomRight" activeCell="D20" sqref="D20"/>
    </sheetView>
  </sheetViews>
  <sheetFormatPr defaultColWidth="10.7109375" defaultRowHeight="15" outlineLevelCol="1" x14ac:dyDescent="0.25"/>
  <cols>
    <col min="1" max="1" width="2.7109375" style="2" customWidth="1"/>
    <col min="2" max="2" width="5.7109375" style="2" customWidth="1"/>
    <col min="3" max="3" width="30.7109375" style="2" customWidth="1"/>
    <col min="4" max="8" width="10.7109375" style="2" customWidth="1"/>
    <col min="9" max="12" width="7.7109375" style="2" customWidth="1"/>
    <col min="13" max="17" width="7.7109375" style="2" hidden="1" customWidth="1" outlineLevel="1"/>
    <col min="18" max="18" width="10.7109375" style="2" customWidth="1" collapsed="1"/>
    <col min="19" max="19" width="16.140625" style="2" customWidth="1"/>
    <col min="20" max="20" width="8.7109375" style="2" customWidth="1"/>
    <col min="21" max="21" width="10.7109375" style="2" customWidth="1"/>
    <col min="22" max="22" width="6.7109375" style="2" customWidth="1" outlineLevel="1"/>
    <col min="23" max="23" width="60.7109375" style="2" customWidth="1"/>
    <col min="25" max="16384" width="10.7109375" style="2"/>
  </cols>
  <sheetData>
    <row r="1" spans="2:24" x14ac:dyDescent="0.25">
      <c r="B1" s="18" t="s">
        <v>109</v>
      </c>
      <c r="C1" s="18" t="s">
        <v>110</v>
      </c>
    </row>
    <row r="2" spans="2:24" x14ac:dyDescent="0.25">
      <c r="B2" s="30">
        <v>1</v>
      </c>
      <c r="C2" s="3" t="s">
        <v>112</v>
      </c>
    </row>
    <row r="3" spans="2:24" x14ac:dyDescent="0.25">
      <c r="B3" s="30">
        <v>2</v>
      </c>
      <c r="C3" s="1" t="s">
        <v>127</v>
      </c>
    </row>
    <row r="4" spans="2:24" x14ac:dyDescent="0.25">
      <c r="B4" s="30">
        <v>3</v>
      </c>
      <c r="C4" s="1" t="s">
        <v>126</v>
      </c>
    </row>
    <row r="5" spans="2:24" x14ac:dyDescent="0.25">
      <c r="B5" s="30">
        <v>4</v>
      </c>
      <c r="C5" s="1" t="s">
        <v>129</v>
      </c>
    </row>
    <row r="6" spans="2:24" s="76" customFormat="1" x14ac:dyDescent="0.25">
      <c r="B6" s="30">
        <v>5</v>
      </c>
      <c r="C6" s="1" t="s">
        <v>184</v>
      </c>
      <c r="X6"/>
    </row>
    <row r="7" spans="2:24" x14ac:dyDescent="0.25">
      <c r="B7" s="30">
        <v>6</v>
      </c>
      <c r="C7" s="3" t="s">
        <v>113</v>
      </c>
    </row>
    <row r="8" spans="2:24" x14ac:dyDescent="0.25">
      <c r="B8" s="30">
        <v>7</v>
      </c>
      <c r="C8" s="3" t="s">
        <v>114</v>
      </c>
    </row>
    <row r="9" spans="2:24" x14ac:dyDescent="0.25">
      <c r="B9" s="30">
        <v>8</v>
      </c>
      <c r="C9" s="3" t="s">
        <v>178</v>
      </c>
    </row>
    <row r="10" spans="2:24" x14ac:dyDescent="0.25">
      <c r="B10" s="30">
        <v>9</v>
      </c>
      <c r="C10" s="3" t="s">
        <v>115</v>
      </c>
    </row>
    <row r="11" spans="2:24" x14ac:dyDescent="0.25">
      <c r="H11" s="18"/>
      <c r="I11" s="93"/>
      <c r="J11" s="93"/>
      <c r="K11" s="93"/>
      <c r="L11" s="93"/>
      <c r="M11" s="93"/>
      <c r="N11" s="93"/>
      <c r="O11" s="93"/>
      <c r="P11" s="93"/>
      <c r="Q11" s="93"/>
      <c r="R11" s="93"/>
      <c r="S11" s="57"/>
      <c r="T11" s="57"/>
      <c r="U11" s="57"/>
      <c r="V11" s="55"/>
      <c r="W11" s="55"/>
    </row>
    <row r="12" spans="2:24" s="18" customFormat="1" ht="38.25" x14ac:dyDescent="0.2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49" t="s">
        <v>105</v>
      </c>
      <c r="X12" s="18" t="s">
        <v>128</v>
      </c>
    </row>
    <row r="13" spans="2:24" ht="48.75" hidden="1" customHeight="1" x14ac:dyDescent="0.25">
      <c r="B13" s="58">
        <v>12</v>
      </c>
      <c r="C13" s="9" t="s">
        <v>55</v>
      </c>
      <c r="D13" s="58" t="s">
        <v>0</v>
      </c>
      <c r="E13" s="58" t="s">
        <v>18</v>
      </c>
      <c r="F13" s="58" t="s">
        <v>31</v>
      </c>
      <c r="G13" s="58" t="s">
        <v>20</v>
      </c>
      <c r="H13" s="58" t="s">
        <v>36</v>
      </c>
      <c r="I13" s="12">
        <f>INDEX('DER Concepts'!$B$6:$V$31,MATCH($B13,'DER Concepts'!$B$6:$B$31,0),MATCH(I$12,'DER Concepts'!$B$6:$V$6,0))</f>
        <v>13.87</v>
      </c>
      <c r="J13" s="12">
        <f>INDEX('DER Concepts'!$B$6:$V$31,MATCH($B13,'DER Concepts'!$B$6:$B$31,0),MATCH(J$12,'DER Concepts'!$B$6:$V$6,0))</f>
        <v>15</v>
      </c>
      <c r="K13" s="12">
        <f>INDEX('DER Concepts'!$B$6:$V$31,MATCH($B13,'DER Concepts'!$B$6:$B$31,0),MATCH(K$12,'DER Concepts'!$B$6:$V$6,0))</f>
        <v>17.5</v>
      </c>
      <c r="L13" s="12">
        <f>INDEX('DER Concepts'!$B$6:$V$31,MATCH($B13,'DER Concepts'!$B$6:$B$31,0),MATCH(L$12,'DER Concepts'!$B$6:$V$6,0))</f>
        <v>10.7</v>
      </c>
      <c r="M13" s="12">
        <f>INDEX('DER Concepts'!$B$6:$V$31,MATCH($B13,'DER Concepts'!$B$6:$B$31,0),MATCH(M$12,'DER Concepts'!$B$6:$V$6,0))</f>
        <v>0</v>
      </c>
      <c r="N13" s="12">
        <f>INDEX('DER Concepts'!$B$6:$V$31,MATCH($B13,'DER Concepts'!$B$6:$B$31,0),MATCH(N$12,'DER Concepts'!$B$6:$V$6,0))</f>
        <v>0</v>
      </c>
      <c r="O13" s="12">
        <f>INDEX('DER Concepts'!$B$6:$V$31,MATCH($B13,'DER Concepts'!$B$6:$B$31,0),MATCH(O$12,'DER Concepts'!$B$6:$V$6,0))</f>
        <v>0</v>
      </c>
      <c r="P13" s="12">
        <f>INDEX('DER Concepts'!$B$6:$V$31,MATCH($B13,'DER Concepts'!$B$6:$B$31,0),MATCH(P$12,'DER Concepts'!$B$6:$V$6,0))</f>
        <v>0</v>
      </c>
      <c r="Q13" s="12">
        <f>INDEX('DER Concepts'!$B$6:$V$31,MATCH($B13,'DER Concepts'!$B$6:$B$31,0),MATCH(Q$12,'DER Concepts'!$B$6:$V$6,0))</f>
        <v>0</v>
      </c>
      <c r="R13" s="12">
        <f t="shared" ref="R13:R25" si="0">SUM(I13:L13)</f>
        <v>57.069999999999993</v>
      </c>
      <c r="S13" s="46">
        <v>0</v>
      </c>
      <c r="T13" s="20">
        <f>INDEX('S6-Summary'!$B$17:$W$43,MATCH($B13,'S6-Summary'!$B$17:$B$43,0),MATCH(T$12,'S6-Summary'!$B$17:$W$17,0))</f>
        <v>0.27591767984729265</v>
      </c>
      <c r="U13" s="19">
        <f>INDEX('S6-Summary'!$B$17:$W$43,MATCH($B13,'S6-Summary'!$B$17:$B$43,0),MATCH(U$12,'S6-Summary'!$B$17:$W$17,0))</f>
        <v>0</v>
      </c>
      <c r="V13" s="21" t="s">
        <v>23</v>
      </c>
      <c r="W13" s="9" t="s">
        <v>93</v>
      </c>
      <c r="X13" s="30"/>
    </row>
    <row r="14" spans="2:24" ht="38.25" hidden="1" customHeight="1" x14ac:dyDescent="0.25">
      <c r="B14" s="58">
        <v>13</v>
      </c>
      <c r="C14" s="9" t="s">
        <v>58</v>
      </c>
      <c r="D14" s="58" t="s">
        <v>0</v>
      </c>
      <c r="E14" s="58" t="s">
        <v>18</v>
      </c>
      <c r="F14" s="58" t="s">
        <v>31</v>
      </c>
      <c r="G14" s="58" t="s">
        <v>20</v>
      </c>
      <c r="H14" s="58" t="s">
        <v>36</v>
      </c>
      <c r="I14" s="12">
        <f>INDEX('DER Concepts'!$B$6:$V$31,MATCH($B14,'DER Concepts'!$B$6:$B$31,0),MATCH(I$12,'DER Concepts'!$B$6:$V$6,0))</f>
        <v>0</v>
      </c>
      <c r="J14" s="12">
        <f>INDEX('DER Concepts'!$B$6:$V$31,MATCH($B14,'DER Concepts'!$B$6:$B$31,0),MATCH(J$12,'DER Concepts'!$B$6:$V$6,0))</f>
        <v>0</v>
      </c>
      <c r="K14" s="12">
        <f>INDEX('DER Concepts'!$B$6:$V$31,MATCH($B14,'DER Concepts'!$B$6:$B$31,0),MATCH(K$12,'DER Concepts'!$B$6:$V$6,0))</f>
        <v>0</v>
      </c>
      <c r="L14" s="12">
        <f>INDEX('DER Concepts'!$B$6:$V$31,MATCH($B14,'DER Concepts'!$B$6:$B$31,0),MATCH(L$12,'DER Concepts'!$B$6:$V$6,0))</f>
        <v>6.8</v>
      </c>
      <c r="M14" s="12">
        <f>INDEX('DER Concepts'!$B$6:$V$31,MATCH($B14,'DER Concepts'!$B$6:$B$31,0),MATCH(M$12,'DER Concepts'!$B$6:$V$6,0))</f>
        <v>18.267490903690632</v>
      </c>
      <c r="N14" s="12">
        <f>INDEX('DER Concepts'!$B$6:$V$31,MATCH($B14,'DER Concepts'!$B$6:$B$31,0),MATCH(N$12,'DER Concepts'!$B$6:$V$6,0))</f>
        <v>19.081447983960388</v>
      </c>
      <c r="O14" s="12">
        <f>INDEX('DER Concepts'!$B$6:$V$31,MATCH($B14,'DER Concepts'!$B$6:$B$31,0),MATCH(O$12,'DER Concepts'!$B$6:$V$6,0))</f>
        <v>19.895405064230726</v>
      </c>
      <c r="P14" s="12">
        <f>INDEX('DER Concepts'!$B$6:$V$31,MATCH($B14,'DER Concepts'!$B$6:$B$31,0),MATCH(P$12,'DER Concepts'!$B$6:$V$6,0))</f>
        <v>20.709362144501064</v>
      </c>
      <c r="Q14" s="12">
        <f>INDEX('DER Concepts'!$B$6:$V$31,MATCH($B14,'DER Concepts'!$B$6:$B$31,0),MATCH(Q$12,'DER Concepts'!$B$6:$V$6,0))</f>
        <v>21.523319224771694</v>
      </c>
      <c r="R14" s="12">
        <f t="shared" si="0"/>
        <v>6.8</v>
      </c>
      <c r="S14" s="46">
        <v>0</v>
      </c>
      <c r="T14" s="20">
        <f>INDEX('S6-Summary'!$B$17:$W$43,MATCH($B14,'S6-Summary'!$B$17:$B$43,0),MATCH(T$12,'S6-Summary'!$B$17:$W$17,0))</f>
        <v>0.27591767984729254</v>
      </c>
      <c r="U14" s="19">
        <f>INDEX('S6-Summary'!$B$17:$W$43,MATCH($B14,'S6-Summary'!$B$17:$B$43,0),MATCH(U$12,'S6-Summary'!$B$17:$W$17,0))</f>
        <v>0</v>
      </c>
      <c r="V14" s="21" t="s">
        <v>23</v>
      </c>
      <c r="W14" s="9" t="s">
        <v>93</v>
      </c>
      <c r="X14" s="30"/>
    </row>
    <row r="15" spans="2:24" ht="47.25" hidden="1" customHeight="1" x14ac:dyDescent="0.25">
      <c r="B15" s="58">
        <v>14</v>
      </c>
      <c r="C15" s="9" t="s">
        <v>60</v>
      </c>
      <c r="D15" s="58" t="s">
        <v>0</v>
      </c>
      <c r="E15" s="58" t="s">
        <v>26</v>
      </c>
      <c r="F15" s="58" t="s">
        <v>39</v>
      </c>
      <c r="G15" s="58" t="s">
        <v>20</v>
      </c>
      <c r="H15" s="58" t="s">
        <v>36</v>
      </c>
      <c r="I15" s="27">
        <v>5.6</v>
      </c>
      <c r="J15" s="27">
        <v>4.8</v>
      </c>
      <c r="K15" s="27">
        <v>5.6</v>
      </c>
      <c r="L15" s="27"/>
      <c r="M15" s="12">
        <f>INDEX('DER Concepts'!$B$6:$V$31,MATCH($B15,'DER Concepts'!$B$6:$B$31,0),MATCH(M$12,'DER Concepts'!$B$6:$V$6,0))</f>
        <v>19</v>
      </c>
      <c r="N15" s="12">
        <f>INDEX('DER Concepts'!$B$6:$V$31,MATCH($B15,'DER Concepts'!$B$6:$B$31,0),MATCH(N$12,'DER Concepts'!$B$6:$V$6,0))</f>
        <v>22.8</v>
      </c>
      <c r="O15" s="12">
        <f>INDEX('DER Concepts'!$B$6:$V$31,MATCH($B15,'DER Concepts'!$B$6:$B$31,0),MATCH(O$12,'DER Concepts'!$B$6:$V$6,0))</f>
        <v>22.8</v>
      </c>
      <c r="P15" s="12">
        <f>INDEX('DER Concepts'!$B$6:$V$31,MATCH($B15,'DER Concepts'!$B$6:$B$31,0),MATCH(P$12,'DER Concepts'!$B$6:$V$6,0))</f>
        <v>22.8</v>
      </c>
      <c r="Q15" s="12">
        <f>INDEX('DER Concepts'!$B$6:$V$31,MATCH($B15,'DER Concepts'!$B$6:$B$31,0),MATCH(Q$12,'DER Concepts'!$B$6:$V$6,0))</f>
        <v>22.8</v>
      </c>
      <c r="R15" s="12">
        <f t="shared" si="0"/>
        <v>15.999999999999998</v>
      </c>
      <c r="S15" s="46">
        <v>-1.8382226655134737</v>
      </c>
      <c r="T15" s="20">
        <f>INDEX('S6-Summary'!$B$17:$W$43,MATCH($B15,'S6-Summary'!$B$17:$B$43,0),MATCH(T$12,'S6-Summary'!$B$17:$W$17,0))</f>
        <v>0.27205278634052843</v>
      </c>
      <c r="U15" s="19">
        <f>INDEX('S6-Summary'!$B$17:$W$43,MATCH($B15,'S6-Summary'!$B$17:$B$43,0),MATCH(U$12,'S6-Summary'!$B$17:$W$17,0))</f>
        <v>14</v>
      </c>
      <c r="V15" s="21" t="s">
        <v>23</v>
      </c>
      <c r="W15" s="9" t="s">
        <v>92</v>
      </c>
    </row>
    <row r="16" spans="2:24" ht="54" hidden="1" customHeight="1" x14ac:dyDescent="0.25">
      <c r="B16" s="58">
        <v>15</v>
      </c>
      <c r="C16" s="9" t="s">
        <v>62</v>
      </c>
      <c r="D16" s="58" t="s">
        <v>0</v>
      </c>
      <c r="E16" s="58" t="s">
        <v>26</v>
      </c>
      <c r="F16" s="58" t="s">
        <v>39</v>
      </c>
      <c r="G16" s="58" t="s">
        <v>20</v>
      </c>
      <c r="H16" s="58" t="s">
        <v>64</v>
      </c>
      <c r="I16" s="27">
        <v>1.4</v>
      </c>
      <c r="J16" s="27">
        <v>1.2</v>
      </c>
      <c r="K16" s="27">
        <v>1.4</v>
      </c>
      <c r="L16" s="27"/>
      <c r="M16" s="12">
        <f>INDEX('DER Concepts'!$B$6:$V$31,MATCH($B16,'DER Concepts'!$B$6:$B$31,0),MATCH(M$12,'DER Concepts'!$B$6:$V$6,0))</f>
        <v>3.8</v>
      </c>
      <c r="N16" s="12">
        <f>INDEX('DER Concepts'!$B$6:$V$31,MATCH($B16,'DER Concepts'!$B$6:$B$31,0),MATCH(N$12,'DER Concepts'!$B$6:$V$6,0))</f>
        <v>3.8</v>
      </c>
      <c r="O16" s="12">
        <f>INDEX('DER Concepts'!$B$6:$V$31,MATCH($B16,'DER Concepts'!$B$6:$B$31,0),MATCH(O$12,'DER Concepts'!$B$6:$V$6,0))</f>
        <v>3.8</v>
      </c>
      <c r="P16" s="12">
        <f>INDEX('DER Concepts'!$B$6:$V$31,MATCH($B16,'DER Concepts'!$B$6:$B$31,0),MATCH(P$12,'DER Concepts'!$B$6:$V$6,0))</f>
        <v>3.8</v>
      </c>
      <c r="Q16" s="12">
        <f>INDEX('DER Concepts'!$B$6:$V$31,MATCH($B16,'DER Concepts'!$B$6:$B$31,0),MATCH(Q$12,'DER Concepts'!$B$6:$V$6,0))</f>
        <v>3.8</v>
      </c>
      <c r="R16" s="12">
        <f t="shared" si="0"/>
        <v>3.9999999999999996</v>
      </c>
      <c r="S16" s="46">
        <v>7.0994352087150769</v>
      </c>
      <c r="T16" s="20">
        <f>INDEX('S6-Summary'!$B$17:$W$43,MATCH($B16,'S6-Summary'!$B$17:$B$43,0),MATCH(T$12,'S6-Summary'!$B$17:$W$17,0))</f>
        <v>0.50710307656030273</v>
      </c>
      <c r="U16" s="19">
        <f>INDEX('S6-Summary'!$B$17:$W$43,MATCH($B16,'S6-Summary'!$B$17:$B$43,0),MATCH(U$12,'S6-Summary'!$B$17:$W$17,0))</f>
        <v>16</v>
      </c>
      <c r="V16" s="21" t="s">
        <v>23</v>
      </c>
      <c r="W16" s="9" t="s">
        <v>92</v>
      </c>
    </row>
    <row r="17" spans="2:24" ht="51" x14ac:dyDescent="0.25">
      <c r="B17" s="58">
        <v>17</v>
      </c>
      <c r="C17" s="9" t="s">
        <v>67</v>
      </c>
      <c r="D17" s="58" t="s">
        <v>0</v>
      </c>
      <c r="E17" s="58" t="s">
        <v>18</v>
      </c>
      <c r="F17" s="58" t="s">
        <v>31</v>
      </c>
      <c r="G17" s="58" t="s">
        <v>20</v>
      </c>
      <c r="H17" s="58" t="s">
        <v>32</v>
      </c>
      <c r="I17" s="12">
        <f>INDEX('S6-Summary'!$B$17:$W$43,MATCH($B17,'S6-Summary'!$B$17:$B$43,0),MATCH(I$12,'S6-Summary'!$B$17:$W$17,0))</f>
        <v>0</v>
      </c>
      <c r="J17" s="12">
        <f>INDEX('S6-Summary'!$B$17:$W$43,MATCH($B17,'S6-Summary'!$B$17:$B$43,0),MATCH(J$12,'S6-Summary'!$B$17:$W$17,0))-0.159</f>
        <v>6.799666666666667</v>
      </c>
      <c r="K17" s="12">
        <f>INDEX('S6-Summary'!$B$17:$W$43,MATCH($B17,'S6-Summary'!$B$17:$B$43,0),MATCH(K$12,'S6-Summary'!$B$17:$W$17,0))-0.159</f>
        <v>6.799666666666667</v>
      </c>
      <c r="L17" s="12">
        <f>INDEX('S6-Summary'!$B$17:$W$43,MATCH($B17,'S6-Summary'!$B$17:$B$43,0),MATCH(L$12,'S6-Summary'!$B$17:$W$17,0))-0.159</f>
        <v>6.799666666666667</v>
      </c>
      <c r="M17" s="12">
        <f>INDEX('DER Concepts'!$B$6:$V$31,MATCH($B17,'DER Concepts'!$B$6:$B$31,0),MATCH(M$12,'DER Concepts'!$B$6:$V$6,0))</f>
        <v>7.0609999999999999</v>
      </c>
      <c r="N17" s="12">
        <f>INDEX('DER Concepts'!$B$6:$V$31,MATCH($B17,'DER Concepts'!$B$6:$B$31,0),MATCH(N$12,'DER Concepts'!$B$6:$V$6,0))</f>
        <v>8.5960000000000001</v>
      </c>
      <c r="O17" s="12">
        <f>INDEX('DER Concepts'!$B$6:$V$31,MATCH($B17,'DER Concepts'!$B$6:$B$31,0),MATCH(O$12,'DER Concepts'!$B$6:$V$6,0))</f>
        <v>10.131</v>
      </c>
      <c r="P17" s="12">
        <f>INDEX('DER Concepts'!$B$6:$V$31,MATCH($B17,'DER Concepts'!$B$6:$B$31,0),MATCH(P$12,'DER Concepts'!$B$6:$V$6,0))</f>
        <v>11.666</v>
      </c>
      <c r="Q17" s="12">
        <f>INDEX('DER Concepts'!$B$6:$V$31,MATCH($B17,'DER Concepts'!$B$6:$B$31,0),MATCH(Q$12,'DER Concepts'!$B$6:$V$6,0))</f>
        <v>13.201000000000001</v>
      </c>
      <c r="R17" s="12">
        <f t="shared" si="0"/>
        <v>20.399000000000001</v>
      </c>
      <c r="S17" s="46">
        <v>0.45340382079178365</v>
      </c>
      <c r="T17" s="75">
        <f>INDEX('S6-Summary'!$B$17:$W$43,MATCH($B17,'S6-Summary'!$B$17:$B$43,0),MATCH(T$12,'S6-Summary'!$B$17:$W$17,0))</f>
        <v>0.49574268401292115</v>
      </c>
      <c r="U17" s="19">
        <f>INDEX('S6-Summary'!$B$17:$W$43,MATCH($B17,'S6-Summary'!$B$17:$B$43,0),MATCH(U$12,'S6-Summary'!$B$17:$W$17,0))</f>
        <v>16</v>
      </c>
      <c r="V17" s="21"/>
      <c r="W17" s="9" t="s">
        <v>192</v>
      </c>
      <c r="X17" s="30" t="s">
        <v>20</v>
      </c>
    </row>
    <row r="18" spans="2:24" ht="51" x14ac:dyDescent="0.25">
      <c r="B18" s="58">
        <v>16</v>
      </c>
      <c r="C18" s="9" t="s">
        <v>65</v>
      </c>
      <c r="D18" s="58" t="s">
        <v>0</v>
      </c>
      <c r="E18" s="58" t="s">
        <v>26</v>
      </c>
      <c r="F18" s="58" t="s">
        <v>19</v>
      </c>
      <c r="G18" s="58" t="s">
        <v>20</v>
      </c>
      <c r="H18" s="58" t="s">
        <v>21</v>
      </c>
      <c r="I18" s="12">
        <f>INDEX('S6-Summary'!$B$17:$W$43,MATCH($B18,'S6-Summary'!$B$17:$B$43,0),MATCH(I$12,'S6-Summary'!$B$17:$W$17,0))</f>
        <v>0</v>
      </c>
      <c r="J18" s="12">
        <f>INDEX('S6-Summary'!$B$17:$W$43,MATCH($B18,'S6-Summary'!$B$17:$B$43,0),MATCH(J$12,'S6-Summary'!$B$17:$W$17,0))-0.033</f>
        <v>3.700333333333333</v>
      </c>
      <c r="K18" s="12">
        <f>INDEX('S6-Summary'!$B$17:$W$43,MATCH($B18,'S6-Summary'!$B$17:$B$43,0),MATCH(K$12,'S6-Summary'!$B$17:$W$17,0))-0.033</f>
        <v>3.700333333333333</v>
      </c>
      <c r="L18" s="12">
        <f>INDEX('S6-Summary'!$B$17:$W$43,MATCH($B18,'S6-Summary'!$B$17:$B$43,0),MATCH(L$12,'S6-Summary'!$B$17:$W$17,0))-0.033</f>
        <v>3.700333333333333</v>
      </c>
      <c r="M18" s="12">
        <f>INDEX('DER Concepts'!$B$6:$V$31,MATCH($B18,'DER Concepts'!$B$6:$B$31,0),MATCH(M$12,'DER Concepts'!$B$6:$V$6,0))</f>
        <v>4.8</v>
      </c>
      <c r="N18" s="12">
        <f>INDEX('DER Concepts'!$B$6:$V$31,MATCH($B18,'DER Concepts'!$B$6:$B$31,0),MATCH(N$12,'DER Concepts'!$B$6:$V$6,0))</f>
        <v>6.8</v>
      </c>
      <c r="O18" s="12">
        <f>INDEX('DER Concepts'!$B$6:$V$31,MATCH($B18,'DER Concepts'!$B$6:$B$31,0),MATCH(O$12,'DER Concepts'!$B$6:$V$6,0))</f>
        <v>8.8000000000000007</v>
      </c>
      <c r="P18" s="12">
        <f>INDEX('DER Concepts'!$B$6:$V$31,MATCH($B18,'DER Concepts'!$B$6:$B$31,0),MATCH(P$12,'DER Concepts'!$B$6:$V$6,0))</f>
        <v>11.2</v>
      </c>
      <c r="Q18" s="12">
        <f>INDEX('DER Concepts'!$B$6:$V$31,MATCH($B18,'DER Concepts'!$B$6:$B$31,0),MATCH(Q$12,'DER Concepts'!$B$6:$V$6,0))</f>
        <v>13.2</v>
      </c>
      <c r="R18" s="12">
        <f t="shared" si="0"/>
        <v>11.100999999999999</v>
      </c>
      <c r="S18" s="46">
        <v>4.6354712939937226</v>
      </c>
      <c r="T18" s="75">
        <f>INDEX('S6-Summary'!$B$17:$W$43,MATCH($B18,'S6-Summary'!$B$17:$B$43,0),MATCH(T$12,'S6-Summary'!$B$17:$W$17,0))</f>
        <v>0.65399230103020356</v>
      </c>
      <c r="U18" s="19">
        <f>INDEX('S6-Summary'!$B$17:$W$43,MATCH($B18,'S6-Summary'!$B$17:$B$43,0),MATCH(U$12,'S6-Summary'!$B$17:$W$17,0))</f>
        <v>15</v>
      </c>
      <c r="V18" s="21"/>
      <c r="W18" s="9" t="s">
        <v>193</v>
      </c>
      <c r="X18" s="30" t="s">
        <v>20</v>
      </c>
    </row>
    <row r="19" spans="2:24" ht="38.25" x14ac:dyDescent="0.25">
      <c r="B19" s="58">
        <v>25</v>
      </c>
      <c r="C19" s="9" t="s">
        <v>133</v>
      </c>
      <c r="D19" s="58" t="s">
        <v>0</v>
      </c>
      <c r="E19" s="22" t="s">
        <v>26</v>
      </c>
      <c r="F19" s="58" t="s">
        <v>39</v>
      </c>
      <c r="G19" s="58" t="s">
        <v>20</v>
      </c>
      <c r="H19" s="58" t="s">
        <v>36</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5.2</v>
      </c>
      <c r="M19" s="12">
        <f>INDEX('S6-Summary'!$B$17:$W$43,MATCH($B19,'S6-Summary'!$B$17:$B$43,0),MATCH(M$12,'S6-Summary'!$B$17:$W$17,0))+(VLOOKUP($B19,'S6-Summary'!$B$17:$I$43,8,FALSE)/3)</f>
        <v>4.7</v>
      </c>
      <c r="N19" s="12">
        <f>INDEX('S6-Summary'!$B$17:$W$43,MATCH($B19,'S6-Summary'!$B$17:$B$43,0),MATCH(N$12,'S6-Summary'!$B$17:$W$17,0))+(VLOOKUP($B19,'S6-Summary'!$B$17:$I$43,8,FALSE)/3)</f>
        <v>5.42</v>
      </c>
      <c r="O19" s="12">
        <f>INDEX('S6-Summary'!$B$17:$W$43,MATCH($B19,'S6-Summary'!$B$17:$B$43,0),MATCH(O$12,'S6-Summary'!$B$17:$W$17,0))+(VLOOKUP($B19,'S6-Summary'!$B$17:$I$43,8,FALSE)/3)</f>
        <v>6.1950000000000003</v>
      </c>
      <c r="P19" s="12">
        <f>INDEX('S6-Summary'!$B$17:$W$43,MATCH($B19,'S6-Summary'!$B$17:$B$43,0),MATCH(P$12,'S6-Summary'!$B$17:$W$17,0))+(VLOOKUP($B19,'S6-Summary'!$B$17:$I$43,8,FALSE)/3)</f>
        <v>7.0149999999999997</v>
      </c>
      <c r="Q19" s="12">
        <f>INDEX('S6-Summary'!$B$17:$W$43,MATCH($B19,'S6-Summary'!$B$17:$B$43,0),MATCH(Q$12,'S6-Summary'!$B$17:$W$17,0))+(VLOOKUP($B19,'S6-Summary'!$B$17:$I$43,8,FALSE)/3)</f>
        <v>7.88</v>
      </c>
      <c r="R19" s="12">
        <f t="shared" si="0"/>
        <v>5.2</v>
      </c>
      <c r="S19" s="46">
        <v>3.08</v>
      </c>
      <c r="T19" s="75">
        <f>INDEX('S6-Summary'!$B$17:$W$43,MATCH($B19,'S6-Summary'!$B$17:$B$43,0),MATCH(T$12,'S6-Summary'!$B$17:$W$17,0))</f>
        <v>0.49127613822504879</v>
      </c>
      <c r="U19" s="19">
        <f>INDEX('S6-Summary'!$B$17:$W$43,MATCH($B19,'S6-Summary'!$B$17:$B$43,0),MATCH(U$12,'S6-Summary'!$B$17:$W$17,0))</f>
        <v>16</v>
      </c>
      <c r="V19" s="21"/>
      <c r="W19" s="9" t="s">
        <v>191</v>
      </c>
      <c r="X19" s="30" t="s">
        <v>20</v>
      </c>
    </row>
    <row r="20" spans="2:24" ht="63.75" x14ac:dyDescent="0.25">
      <c r="B20" s="58">
        <v>18</v>
      </c>
      <c r="C20" s="9" t="s">
        <v>69</v>
      </c>
      <c r="D20" s="58" t="s">
        <v>0</v>
      </c>
      <c r="E20" s="58" t="s">
        <v>26</v>
      </c>
      <c r="F20" s="58" t="s">
        <v>39</v>
      </c>
      <c r="G20" s="58" t="s">
        <v>20</v>
      </c>
      <c r="H20" s="58" t="s">
        <v>36</v>
      </c>
      <c r="I20" s="12">
        <f>INDEX('S6-Summary'!$B$17:$W$43,MATCH($B20,'S6-Summary'!$B$17:$B$43,0),MATCH(I$12,'S6-Summary'!$B$17:$W$17,0))</f>
        <v>0</v>
      </c>
      <c r="J20" s="12">
        <f>INDEX('S6-Summary'!$B$17:$W$43,MATCH($B20,'S6-Summary'!$B$17:$B$43,0),MATCH(J$12,'S6-Summary'!$B$17:$W$17,0))</f>
        <v>15.600000000000001</v>
      </c>
      <c r="K20" s="12">
        <f>INDEX('S6-Summary'!$B$17:$W$43,MATCH($B20,'S6-Summary'!$B$17:$B$43,0),MATCH(K$12,'S6-Summary'!$B$17:$W$17,0))</f>
        <v>20</v>
      </c>
      <c r="L20" s="12">
        <f>INDEX('S6-Summary'!$B$17:$W$43,MATCH($B20,'S6-Summary'!$B$17:$B$43,0),MATCH(L$12,'S6-Summary'!$B$17:$W$17,0))</f>
        <v>24.400000000000002</v>
      </c>
      <c r="M20" s="12">
        <f>INDEX('DER Concepts'!$B$6:$V$31,MATCH($B20,'DER Concepts'!$B$6:$B$31,0),MATCH(M$12,'DER Concepts'!$B$6:$V$6,0))</f>
        <v>21.6</v>
      </c>
      <c r="N20" s="12">
        <f>INDEX('DER Concepts'!$B$6:$V$31,MATCH($B20,'DER Concepts'!$B$6:$B$31,0),MATCH(N$12,'DER Concepts'!$B$6:$V$6,0))</f>
        <v>21.6</v>
      </c>
      <c r="O20" s="12">
        <f>INDEX('DER Concepts'!$B$6:$V$31,MATCH($B20,'DER Concepts'!$B$6:$B$31,0),MATCH(O$12,'DER Concepts'!$B$6:$V$6,0))</f>
        <v>21.6</v>
      </c>
      <c r="P20" s="12">
        <f>INDEX('DER Concepts'!$B$6:$V$31,MATCH($B20,'DER Concepts'!$B$6:$B$31,0),MATCH(P$12,'DER Concepts'!$B$6:$V$6,0))</f>
        <v>21.6</v>
      </c>
      <c r="Q20" s="12">
        <f>INDEX('DER Concepts'!$B$6:$V$31,MATCH($B20,'DER Concepts'!$B$6:$B$31,0),MATCH(Q$12,'DER Concepts'!$B$6:$V$6,0))</f>
        <v>21.6</v>
      </c>
      <c r="R20" s="12">
        <f t="shared" si="0"/>
        <v>60</v>
      </c>
      <c r="S20" s="46">
        <v>8.964012775361347</v>
      </c>
      <c r="T20" s="75">
        <f>INDEX('S6-Summary'!$B$17:$W$43,MATCH($B20,'S6-Summary'!$B$17:$B$43,0),MATCH(T$12,'S6-Summary'!$B$17:$W$17,0))</f>
        <v>0.3794284339748269</v>
      </c>
      <c r="U20" s="19">
        <f>INDEX('S6-Summary'!$B$17:$W$43,MATCH($B20,'S6-Summary'!$B$17:$B$43,0),MATCH(U$12,'S6-Summary'!$B$17:$W$17,0))</f>
        <v>16</v>
      </c>
      <c r="V20" s="21"/>
      <c r="W20" s="9" t="s">
        <v>194</v>
      </c>
      <c r="X20" s="30" t="s">
        <v>27</v>
      </c>
    </row>
    <row r="21" spans="2:24" ht="51" x14ac:dyDescent="0.25">
      <c r="B21" s="58" t="s">
        <v>86</v>
      </c>
      <c r="C21" s="9" t="s">
        <v>77</v>
      </c>
      <c r="D21" s="58" t="s">
        <v>0</v>
      </c>
      <c r="E21" s="22" t="s">
        <v>18</v>
      </c>
      <c r="F21" s="23" t="s">
        <v>31</v>
      </c>
      <c r="G21" s="22" t="s">
        <v>20</v>
      </c>
      <c r="H21" s="23" t="s">
        <v>36</v>
      </c>
      <c r="I21" s="12">
        <f>INDEX('S6-Summary'!$B$17:$W$43,MATCH($B21,'S6-Summary'!$B$17:$B$43,0),MATCH(I$12,'S6-Summary'!$B$17:$W$17,0))</f>
        <v>0</v>
      </c>
      <c r="J21" s="12">
        <f>INDEX('S6-Summary'!$B$17:$W$43,MATCH($B21,'S6-Summary'!$B$17:$B$43,0),MATCH(J$12,'S6-Summary'!$B$17:$W$17,0))-0.212</f>
        <v>4.2</v>
      </c>
      <c r="K21" s="12">
        <f>INDEX('S6-Summary'!$B$17:$W$43,MATCH($B21,'S6-Summary'!$B$17:$B$43,0),MATCH(K$12,'S6-Summary'!$B$17:$W$17,0))-0.172</f>
        <v>4.8999999999999995</v>
      </c>
      <c r="L21" s="12">
        <f>INDEX('S6-Summary'!$B$17:$W$43,MATCH($B21,'S6-Summary'!$B$17:$B$43,0),MATCH(L$12,'S6-Summary'!$B$17:$W$17,0))-0.198</f>
        <v>5.6</v>
      </c>
      <c r="M21" s="12">
        <v>5.64</v>
      </c>
      <c r="N21" s="12">
        <v>6.5039999999999996</v>
      </c>
      <c r="O21" s="12">
        <v>7.4340000000000002</v>
      </c>
      <c r="P21" s="12">
        <v>8.4179999999999993</v>
      </c>
      <c r="Q21" s="12">
        <v>9.4559999999999995</v>
      </c>
      <c r="R21" s="12">
        <f t="shared" si="0"/>
        <v>14.7</v>
      </c>
      <c r="S21" s="46">
        <v>6.4572802308164361</v>
      </c>
      <c r="T21" s="75">
        <f>INDEX('S6-Summary'!$B$17:$W$43,MATCH($B21,'S6-Summary'!$B$17:$B$43,0),MATCH(T$12,'S6-Summary'!$B$17:$W$17,0))</f>
        <v>0.17516959361661694</v>
      </c>
      <c r="U21" s="19">
        <f>INDEX('S6-Summary'!$B$17:$W$43,MATCH($B21,'S6-Summary'!$B$17:$B$43,0),MATCH(U$12,'S6-Summary'!$B$17:$W$17,0))</f>
        <v>19</v>
      </c>
      <c r="V21" s="21"/>
      <c r="W21" s="9" t="s">
        <v>195</v>
      </c>
      <c r="X21" s="30" t="s">
        <v>20</v>
      </c>
    </row>
    <row r="22" spans="2:24" ht="102" x14ac:dyDescent="0.25">
      <c r="B22" s="58">
        <v>19</v>
      </c>
      <c r="C22" s="9" t="s">
        <v>71</v>
      </c>
      <c r="D22" s="58" t="s">
        <v>0</v>
      </c>
      <c r="E22" s="58" t="s">
        <v>18</v>
      </c>
      <c r="F22" s="58" t="s">
        <v>73</v>
      </c>
      <c r="G22" s="58" t="s">
        <v>20</v>
      </c>
      <c r="H22" s="58" t="s">
        <v>74</v>
      </c>
      <c r="I22" s="12">
        <f>INDEX('S6-Summary'!$B$17:$W$43,MATCH($B22,'S6-Summary'!$B$17:$B$43,0),MATCH(I$12,'S6-Summary'!$B$17:$W$17,0))</f>
        <v>0</v>
      </c>
      <c r="J22" s="12">
        <f>INDEX('S6-Summary'!$B$17:$W$43,MATCH($B22,'S6-Summary'!$B$17:$B$43,0),MATCH(J$12,'S6-Summary'!$B$17:$W$17,0))</f>
        <v>0.11066666666666668</v>
      </c>
      <c r="K22" s="12">
        <f>INDEX('S6-Summary'!$B$17:$W$43,MATCH($B22,'S6-Summary'!$B$17:$B$43,0),MATCH(K$12,'S6-Summary'!$B$17:$W$17,0))</f>
        <v>0.11066666666666668</v>
      </c>
      <c r="L22" s="12">
        <f>INDEX('S6-Summary'!$B$17:$W$43,MATCH($B22,'S6-Summary'!$B$17:$B$43,0),MATCH(L$12,'S6-Summary'!$B$17:$W$17,0))</f>
        <v>0.11066666666666668</v>
      </c>
      <c r="M22" s="12">
        <f>INDEX('DER Concepts'!$B$6:$V$31,MATCH($B22,'DER Concepts'!$B$6:$B$31,0),MATCH(M$12,'DER Concepts'!$B$6:$V$6,0))</f>
        <v>8.3000000000000004E-2</v>
      </c>
      <c r="N22" s="12">
        <f>INDEX('DER Concepts'!$B$6:$V$31,MATCH($B22,'DER Concepts'!$B$6:$B$31,0),MATCH(N$12,'DER Concepts'!$B$6:$V$6,0))</f>
        <v>0.16600000000000001</v>
      </c>
      <c r="O22" s="12">
        <f>INDEX('DER Concepts'!$B$6:$V$31,MATCH($B22,'DER Concepts'!$B$6:$B$31,0),MATCH(O$12,'DER Concepts'!$B$6:$V$6,0))</f>
        <v>0.249</v>
      </c>
      <c r="P22" s="12">
        <f>INDEX('DER Concepts'!$B$6:$V$31,MATCH($B22,'DER Concepts'!$B$6:$B$31,0),MATCH(P$12,'DER Concepts'!$B$6:$V$6,0))</f>
        <v>0.249</v>
      </c>
      <c r="Q22" s="12">
        <f>INDEX('DER Concepts'!$B$6:$V$31,MATCH($B22,'DER Concepts'!$B$6:$B$31,0),MATCH(Q$12,'DER Concepts'!$B$6:$V$6,0))</f>
        <v>0.33200000000000002</v>
      </c>
      <c r="R22" s="12">
        <f t="shared" si="0"/>
        <v>0.33200000000000002</v>
      </c>
      <c r="S22" s="46">
        <v>18.531135620948916</v>
      </c>
      <c r="T22" s="75">
        <f>INDEX('S6-Summary'!$B$17:$W$43,MATCH($B22,'S6-Summary'!$B$17:$B$43,0),MATCH(T$12,'S6-Summary'!$B$17:$W$17,0))</f>
        <v>0.16558823561576444</v>
      </c>
      <c r="U22" s="19">
        <f>INDEX('S6-Summary'!$B$17:$W$43,MATCH($B22,'S6-Summary'!$B$17:$B$43,0),MATCH(U$12,'S6-Summary'!$B$17:$W$17,0))</f>
        <v>16</v>
      </c>
      <c r="V22" s="21"/>
      <c r="W22" s="9" t="s">
        <v>108</v>
      </c>
      <c r="X22" s="30" t="s">
        <v>20</v>
      </c>
    </row>
    <row r="23" spans="2:24" ht="38.25" x14ac:dyDescent="0.25">
      <c r="B23" s="58">
        <v>22</v>
      </c>
      <c r="C23" s="9" t="s">
        <v>79</v>
      </c>
      <c r="D23" s="58" t="s">
        <v>0</v>
      </c>
      <c r="E23" s="58" t="s">
        <v>26</v>
      </c>
      <c r="F23" s="58" t="s">
        <v>39</v>
      </c>
      <c r="G23" s="58" t="s">
        <v>20</v>
      </c>
      <c r="H23" s="58" t="s">
        <v>36</v>
      </c>
      <c r="I23" s="12">
        <f>INDEX('S6-Summary'!$B$17:$W$43,MATCH($B23,'S6-Summary'!$B$17:$B$43,0),MATCH(I$12,'S6-Summary'!$B$17:$W$17,0))</f>
        <v>0</v>
      </c>
      <c r="J23" s="12">
        <f>INDEX('S6-Summary'!$B$17:$W$43,MATCH($B23,'S6-Summary'!$B$17:$B$43,0),MATCH(J$12,'S6-Summary'!$B$17:$W$17,0))+0.106</f>
        <v>1.3</v>
      </c>
      <c r="K23" s="12">
        <f>INDEX('S6-Summary'!$B$17:$W$43,MATCH($B23,'S6-Summary'!$B$17:$B$43,0),MATCH(K$12,'S6-Summary'!$B$17:$W$17,0))+0.02</f>
        <v>1.6159999999999999</v>
      </c>
      <c r="L23" s="12">
        <f>INDEX('S6-Summary'!$B$17:$W$43,MATCH($B23,'S6-Summary'!$B$17:$B$43,0),MATCH(L$12,'S6-Summary'!$B$17:$W$17,0))-0.06</f>
        <v>1.944</v>
      </c>
      <c r="M23" s="12">
        <f>INDEX('DER Concepts'!$B$6:$V$31,MATCH($B23,'DER Concepts'!$B$6:$B$31,0),MATCH(M$12,'DER Concepts'!$B$6:$V$6,0))</f>
        <v>2.4660000000000002</v>
      </c>
      <c r="N23" s="12">
        <f>INDEX('DER Concepts'!$B$6:$V$31,MATCH($B23,'DER Concepts'!$B$6:$B$31,0),MATCH(N$12,'DER Concepts'!$B$6:$V$6,0))</f>
        <v>3.2759999999999998</v>
      </c>
      <c r="O23" s="12">
        <f>INDEX('DER Concepts'!$B$6:$V$31,MATCH($B23,'DER Concepts'!$B$6:$B$31,0),MATCH(O$12,'DER Concepts'!$B$6:$V$6,0))</f>
        <v>4.1820000000000004</v>
      </c>
      <c r="P23" s="12">
        <f>INDEX('DER Concepts'!$B$6:$V$31,MATCH($B23,'DER Concepts'!$B$6:$B$31,0),MATCH(P$12,'DER Concepts'!$B$6:$V$6,0))</f>
        <v>5.2859999999999996</v>
      </c>
      <c r="Q23" s="12">
        <f>INDEX('DER Concepts'!$B$6:$V$31,MATCH($B23,'DER Concepts'!$B$6:$B$31,0),MATCH(Q$12,'DER Concepts'!$B$6:$V$6,0))</f>
        <v>6.6779999999999999</v>
      </c>
      <c r="R23" s="12">
        <f t="shared" si="0"/>
        <v>4.8599999999999994</v>
      </c>
      <c r="S23" s="46">
        <v>18.415985147405596</v>
      </c>
      <c r="T23" s="75">
        <f>INDEX('S6-Summary'!$B$17:$W$43,MATCH($B23,'S6-Summary'!$B$17:$B$43,0),MATCH(T$12,'S6-Summary'!$B$17:$W$17,0))</f>
        <v>0.21121505752351757</v>
      </c>
      <c r="U23" s="19">
        <f>INDEX('S6-Summary'!$B$17:$W$43,MATCH($B23,'S6-Summary'!$B$17:$B$43,0),MATCH(U$12,'S6-Summary'!$B$17:$W$17,0))</f>
        <v>16</v>
      </c>
      <c r="V23" s="21"/>
      <c r="W23" s="9" t="s">
        <v>196</v>
      </c>
      <c r="X23" s="30" t="s">
        <v>20</v>
      </c>
    </row>
    <row r="24" spans="2:24" ht="63.75" x14ac:dyDescent="0.25">
      <c r="B24" s="58">
        <v>23</v>
      </c>
      <c r="C24" s="9" t="s">
        <v>81</v>
      </c>
      <c r="D24" s="58" t="s">
        <v>0</v>
      </c>
      <c r="E24" s="58" t="s">
        <v>26</v>
      </c>
      <c r="F24" s="58" t="s">
        <v>39</v>
      </c>
      <c r="G24" s="58" t="s">
        <v>20</v>
      </c>
      <c r="H24" s="58" t="s">
        <v>36</v>
      </c>
      <c r="I24" s="12">
        <f>INDEX('S6-Summary'!$B$17:$W$43,MATCH($B24,'S6-Summary'!$B$17:$B$43,0),MATCH(I$12,'S6-Summary'!$B$17:$W$17,0))</f>
        <v>0</v>
      </c>
      <c r="J24" s="12">
        <f>INDEX('S6-Summary'!$B$17:$W$43,MATCH($B24,'S6-Summary'!$B$17:$B$43,0),MATCH(J$12,'S6-Summary'!$B$17:$W$17,0))+0.01</f>
        <v>0.17800000000000002</v>
      </c>
      <c r="K24" s="12">
        <f>INDEX('S6-Summary'!$B$17:$W$43,MATCH($B24,'S6-Summary'!$B$17:$B$43,0),MATCH(K$12,'S6-Summary'!$B$17:$W$17,0))</f>
        <v>0.22800000000000001</v>
      </c>
      <c r="L24" s="12">
        <f>INDEX('S6-Summary'!$B$17:$W$43,MATCH($B24,'S6-Summary'!$B$17:$B$43,0),MATCH(L$12,'S6-Summary'!$B$17:$W$17,0))-0.01</f>
        <v>0.27200000000000002</v>
      </c>
      <c r="M24" s="12">
        <f>INDEX('DER Concepts'!$B$6:$V$31,MATCH($B24,'DER Concepts'!$B$6:$B$31,0),MATCH(M$12,'DER Concepts'!$B$6:$V$6,0))</f>
        <v>0.34799999999999998</v>
      </c>
      <c r="N24" s="12">
        <f>INDEX('DER Concepts'!$B$6:$V$31,MATCH($B24,'DER Concepts'!$B$6:$B$31,0),MATCH(N$12,'DER Concepts'!$B$6:$V$6,0))</f>
        <v>0.46200000000000002</v>
      </c>
      <c r="O24" s="12">
        <f>INDEX('DER Concepts'!$B$6:$V$31,MATCH($B24,'DER Concepts'!$B$6:$B$31,0),MATCH(O$12,'DER Concepts'!$B$6:$V$6,0))</f>
        <v>0.59399999999999997</v>
      </c>
      <c r="P24" s="12">
        <f>INDEX('DER Concepts'!$B$6:$V$31,MATCH($B24,'DER Concepts'!$B$6:$B$31,0),MATCH(P$12,'DER Concepts'!$B$6:$V$6,0))</f>
        <v>0.75</v>
      </c>
      <c r="Q24" s="12">
        <f>INDEX('DER Concepts'!$B$6:$V$31,MATCH($B24,'DER Concepts'!$B$6:$B$31,0),MATCH(Q$12,'DER Concepts'!$B$6:$V$6,0))</f>
        <v>0.94799999999999995</v>
      </c>
      <c r="R24" s="12">
        <f t="shared" si="0"/>
        <v>0.67800000000000005</v>
      </c>
      <c r="S24" s="46">
        <v>22.472664936145215</v>
      </c>
      <c r="T24" s="75">
        <f>INDEX('S6-Summary'!$B$17:$W$43,MATCH($B24,'S6-Summary'!$B$17:$B$43,0),MATCH(T$12,'S6-Summary'!$B$17:$W$17,0))</f>
        <v>0.17595976874201763</v>
      </c>
      <c r="U24" s="19">
        <f>INDEX('S6-Summary'!$B$17:$W$43,MATCH($B24,'S6-Summary'!$B$17:$B$43,0),MATCH(U$12,'S6-Summary'!$B$17:$W$17,0))</f>
        <v>17</v>
      </c>
      <c r="V24" s="21"/>
      <c r="W24" s="9" t="s">
        <v>197</v>
      </c>
      <c r="X24" s="30" t="s">
        <v>20</v>
      </c>
    </row>
    <row r="25" spans="2:24" ht="89.25" x14ac:dyDescent="0.25">
      <c r="B25" s="58">
        <v>20</v>
      </c>
      <c r="C25" s="9" t="s">
        <v>75</v>
      </c>
      <c r="D25" s="58" t="s">
        <v>0</v>
      </c>
      <c r="E25" s="58" t="s">
        <v>18</v>
      </c>
      <c r="F25" s="58" t="s">
        <v>73</v>
      </c>
      <c r="G25" s="58" t="s">
        <v>20</v>
      </c>
      <c r="H25" s="58" t="s">
        <v>74</v>
      </c>
      <c r="I25" s="12">
        <f>INDEX('S6-Summary'!$B$17:$W$43,MATCH($B25,'S6-Summary'!$B$17:$B$43,0),MATCH(I$12,'S6-Summary'!$B$17:$W$17,0))</f>
        <v>0</v>
      </c>
      <c r="J25" s="12">
        <f>INDEX('S6-Summary'!$B$17:$W$43,MATCH($B25,'S6-Summary'!$B$17:$B$43,0),MATCH(J$12,'S6-Summary'!$B$17:$W$17,0))</f>
        <v>0.55333333333333334</v>
      </c>
      <c r="K25" s="12">
        <f>INDEX('S6-Summary'!$B$17:$W$43,MATCH($B25,'S6-Summary'!$B$17:$B$43,0),MATCH(K$12,'S6-Summary'!$B$17:$W$17,0))</f>
        <v>0.55333333333333334</v>
      </c>
      <c r="L25" s="12">
        <f>INDEX('S6-Summary'!$B$17:$W$43,MATCH($B25,'S6-Summary'!$B$17:$B$43,0),MATCH(L$12,'S6-Summary'!$B$17:$W$17,0))</f>
        <v>0.55333333333333334</v>
      </c>
      <c r="M25" s="12">
        <f>INDEX('DER Concepts'!$B$6:$V$31,MATCH($B25,'DER Concepts'!$B$6:$B$31,0),MATCH(M$12,'DER Concepts'!$B$6:$V$6,0))</f>
        <v>0.498</v>
      </c>
      <c r="N25" s="12">
        <f>INDEX('DER Concepts'!$B$6:$V$31,MATCH($B25,'DER Concepts'!$B$6:$B$31,0),MATCH(N$12,'DER Concepts'!$B$6:$V$6,0))</f>
        <v>0.498</v>
      </c>
      <c r="O25" s="12">
        <f>INDEX('DER Concepts'!$B$6:$V$31,MATCH($B25,'DER Concepts'!$B$6:$B$31,0),MATCH(O$12,'DER Concepts'!$B$6:$V$6,0))</f>
        <v>0.58099999999999996</v>
      </c>
      <c r="P25" s="12">
        <f>INDEX('DER Concepts'!$B$6:$V$31,MATCH($B25,'DER Concepts'!$B$6:$B$31,0),MATCH(P$12,'DER Concepts'!$B$6:$V$6,0))</f>
        <v>0.66400000000000003</v>
      </c>
      <c r="Q25" s="12">
        <f>INDEX('DER Concepts'!$B$6:$V$31,MATCH($B25,'DER Concepts'!$B$6:$B$31,0),MATCH(Q$12,'DER Concepts'!$B$6:$V$6,0))</f>
        <v>0.66400000000000003</v>
      </c>
      <c r="R25" s="12">
        <f t="shared" si="0"/>
        <v>1.6600000000000001</v>
      </c>
      <c r="S25" s="46">
        <v>9.2076025756029747</v>
      </c>
      <c r="T25" s="75">
        <f>INDEX('S6-Summary'!$B$17:$W$43,MATCH($B25,'S6-Summary'!$B$17:$B$43,0),MATCH(T$12,'S6-Summary'!$B$17:$W$17,0))</f>
        <v>0.1173427519052541</v>
      </c>
      <c r="U25" s="19">
        <f>INDEX('S6-Summary'!$B$17:$W$43,MATCH($B25,'S6-Summary'!$B$17:$B$43,0),MATCH(U$12,'S6-Summary'!$B$17:$W$17,0))</f>
        <v>16</v>
      </c>
      <c r="V25" s="21"/>
      <c r="W25" s="9" t="s">
        <v>107</v>
      </c>
      <c r="X25" s="30" t="s">
        <v>20</v>
      </c>
    </row>
    <row r="27" spans="2:24" x14ac:dyDescent="0.25">
      <c r="L27" s="64" t="s">
        <v>121</v>
      </c>
      <c r="R27" s="39">
        <f>SUM(R17:R25)</f>
        <v>118.92999999999999</v>
      </c>
    </row>
  </sheetData>
  <autoFilter ref="B12:X25">
    <filterColumn colId="19">
      <customFilters>
        <customFilter operator="greaterThanOrEqual" val="15"/>
      </customFilters>
    </filterColumn>
    <filterColumn colId="20">
      <filters blank="1"/>
    </filterColumn>
    <sortState ref="B20:X28">
      <sortCondition descending="1" ref="T15:T28"/>
    </sortState>
  </autoFilter>
  <mergeCells count="1">
    <mergeCell ref="I11:R11"/>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B1:X27"/>
  <sheetViews>
    <sheetView zoomScale="85" zoomScaleNormal="85" workbookViewId="0">
      <pane xSplit="8" ySplit="12" topLeftCell="I13" activePane="bottomRight" state="frozen"/>
      <selection activeCell="D20" sqref="D20"/>
      <selection pane="topRight" activeCell="D20" sqref="D20"/>
      <selection pane="bottomLeft" activeCell="D20" sqref="D20"/>
      <selection pane="bottomRight" activeCell="D20" sqref="D20"/>
    </sheetView>
  </sheetViews>
  <sheetFormatPr defaultColWidth="10.7109375" defaultRowHeight="15" outlineLevelCol="1" x14ac:dyDescent="0.25"/>
  <cols>
    <col min="1" max="1" width="2.7109375" style="2" customWidth="1"/>
    <col min="2" max="2" width="5.7109375" style="2" customWidth="1"/>
    <col min="3" max="3" width="30.7109375" style="2" customWidth="1"/>
    <col min="4" max="8" width="10.7109375" style="2" customWidth="1"/>
    <col min="9" max="12" width="7.7109375" style="2" customWidth="1"/>
    <col min="13" max="17" width="7.7109375" style="2" hidden="1" customWidth="1" outlineLevel="1"/>
    <col min="18" max="18" width="10.7109375" style="2" customWidth="1" collapsed="1"/>
    <col min="19" max="19" width="16.140625" style="2" customWidth="1"/>
    <col min="20" max="20" width="8.7109375" style="2" customWidth="1"/>
    <col min="21" max="21" width="10.7109375" style="2" customWidth="1"/>
    <col min="22" max="22" width="6.7109375" style="2" customWidth="1" outlineLevel="1"/>
    <col min="23" max="23" width="60.7109375" style="2" customWidth="1"/>
    <col min="25" max="16384" width="10.7109375" style="2"/>
  </cols>
  <sheetData>
    <row r="1" spans="2:24" x14ac:dyDescent="0.25">
      <c r="B1" s="18" t="s">
        <v>109</v>
      </c>
      <c r="C1" s="18" t="s">
        <v>110</v>
      </c>
    </row>
    <row r="2" spans="2:24" x14ac:dyDescent="0.25">
      <c r="B2" s="30">
        <v>1</v>
      </c>
      <c r="C2" s="3" t="s">
        <v>112</v>
      </c>
    </row>
    <row r="3" spans="2:24" x14ac:dyDescent="0.25">
      <c r="B3" s="30">
        <v>2</v>
      </c>
      <c r="C3" s="1" t="s">
        <v>127</v>
      </c>
    </row>
    <row r="4" spans="2:24" x14ac:dyDescent="0.25">
      <c r="B4" s="30">
        <v>3</v>
      </c>
      <c r="C4" s="1" t="s">
        <v>126</v>
      </c>
    </row>
    <row r="5" spans="2:24" x14ac:dyDescent="0.25">
      <c r="B5" s="30">
        <v>4</v>
      </c>
      <c r="C5" s="1" t="s">
        <v>179</v>
      </c>
    </row>
    <row r="6" spans="2:24" s="76" customFormat="1" x14ac:dyDescent="0.25">
      <c r="B6" s="30">
        <v>5</v>
      </c>
      <c r="C6" s="1" t="s">
        <v>184</v>
      </c>
      <c r="X6"/>
    </row>
    <row r="7" spans="2:24" x14ac:dyDescent="0.25">
      <c r="B7" s="30">
        <v>6</v>
      </c>
      <c r="C7" s="3" t="s">
        <v>113</v>
      </c>
    </row>
    <row r="8" spans="2:24" x14ac:dyDescent="0.25">
      <c r="B8" s="30">
        <v>7</v>
      </c>
      <c r="C8" s="3" t="s">
        <v>116</v>
      </c>
    </row>
    <row r="9" spans="2:24" x14ac:dyDescent="0.25">
      <c r="B9" s="30">
        <v>8</v>
      </c>
      <c r="C9" s="3" t="s">
        <v>178</v>
      </c>
    </row>
    <row r="10" spans="2:24" x14ac:dyDescent="0.25">
      <c r="B10" s="30">
        <v>9</v>
      </c>
      <c r="C10" s="3" t="s">
        <v>115</v>
      </c>
    </row>
    <row r="11" spans="2:24" x14ac:dyDescent="0.25">
      <c r="H11" s="18"/>
      <c r="I11" s="93"/>
      <c r="J11" s="93"/>
      <c r="K11" s="93"/>
      <c r="L11" s="93"/>
      <c r="M11" s="93"/>
      <c r="N11" s="93"/>
      <c r="O11" s="93"/>
      <c r="P11" s="93"/>
      <c r="Q11" s="93"/>
      <c r="R11" s="93"/>
      <c r="S11" s="57"/>
      <c r="T11" s="57"/>
      <c r="U11" s="57"/>
      <c r="V11" s="55"/>
      <c r="W11" s="55"/>
    </row>
    <row r="12" spans="2:24" s="18" customFormat="1" ht="38.25" x14ac:dyDescent="0.25">
      <c r="B12" s="7" t="s">
        <v>7</v>
      </c>
      <c r="C12" s="7" t="s">
        <v>8</v>
      </c>
      <c r="D12" s="7" t="s">
        <v>9</v>
      </c>
      <c r="E12" s="7" t="s">
        <v>11</v>
      </c>
      <c r="F12" s="7" t="s">
        <v>12</v>
      </c>
      <c r="G12" s="7" t="s">
        <v>13</v>
      </c>
      <c r="H12" s="7" t="s">
        <v>14</v>
      </c>
      <c r="I12" s="7">
        <v>2022</v>
      </c>
      <c r="J12" s="7">
        <v>2023</v>
      </c>
      <c r="K12" s="7">
        <v>2024</v>
      </c>
      <c r="L12" s="7">
        <v>2025</v>
      </c>
      <c r="M12" s="7">
        <v>2026</v>
      </c>
      <c r="N12" s="7">
        <v>2027</v>
      </c>
      <c r="O12" s="7">
        <v>2028</v>
      </c>
      <c r="P12" s="7">
        <v>2029</v>
      </c>
      <c r="Q12" s="7">
        <v>2030</v>
      </c>
      <c r="R12" s="7" t="s">
        <v>89</v>
      </c>
      <c r="S12" s="7" t="s">
        <v>104</v>
      </c>
      <c r="T12" s="7" t="s">
        <v>88</v>
      </c>
      <c r="U12" s="36" t="s">
        <v>140</v>
      </c>
      <c r="V12" s="7" t="s">
        <v>103</v>
      </c>
      <c r="W12" s="7" t="s">
        <v>91</v>
      </c>
      <c r="X12" s="18" t="s">
        <v>128</v>
      </c>
    </row>
    <row r="13" spans="2:24" ht="38.25" hidden="1" x14ac:dyDescent="0.25">
      <c r="B13" s="58">
        <v>24</v>
      </c>
      <c r="C13" s="9" t="s">
        <v>83</v>
      </c>
      <c r="D13" s="58" t="s">
        <v>1</v>
      </c>
      <c r="E13" s="58" t="s">
        <v>18</v>
      </c>
      <c r="F13" s="58" t="s">
        <v>31</v>
      </c>
      <c r="G13" s="58" t="s">
        <v>20</v>
      </c>
      <c r="H13" s="58" t="s">
        <v>32</v>
      </c>
      <c r="I13" s="12">
        <f>INDEX('S6-Summary'!$B$17:$W$43,MATCH($B13,'S6-Summary'!$B$17:$B$43,0),MATCH(I$12,'S6-Summary'!$B$17:$W$17,0))</f>
        <v>0</v>
      </c>
      <c r="J13" s="12">
        <f>INDEX('S6-Summary'!$B$17:$W$43,MATCH($B13,'S6-Summary'!$B$17:$B$43,0),MATCH(J$12,'S6-Summary'!$B$17:$W$17,0))</f>
        <v>0.46666666666666667</v>
      </c>
      <c r="K13" s="12">
        <f>INDEX('S6-Summary'!$B$17:$W$43,MATCH($B13,'S6-Summary'!$B$17:$B$43,0),MATCH(K$12,'S6-Summary'!$B$17:$W$17,0))</f>
        <v>0.46666666666666667</v>
      </c>
      <c r="L13" s="12">
        <f>INDEX('S6-Summary'!$B$17:$W$43,MATCH($B13,'S6-Summary'!$B$17:$B$43,0),MATCH(L$12,'S6-Summary'!$B$17:$W$17,0))</f>
        <v>0.66666666666666663</v>
      </c>
      <c r="M13" s="12">
        <f>INDEX('DER Concepts'!$B$6:$V$31,MATCH($B13,'DER Concepts'!$B$6:$B$31,0),MATCH(M$12,'DER Concepts'!$B$6:$V$6,0))</f>
        <v>0.8</v>
      </c>
      <c r="N13" s="12">
        <f>INDEX('DER Concepts'!$B$6:$V$31,MATCH($B13,'DER Concepts'!$B$6:$B$31,0),MATCH(N$12,'DER Concepts'!$B$6:$V$6,0))</f>
        <v>1</v>
      </c>
      <c r="O13" s="12">
        <f>INDEX('DER Concepts'!$B$6:$V$31,MATCH($B13,'DER Concepts'!$B$6:$B$31,0),MATCH(O$12,'DER Concepts'!$B$6:$V$6,0))</f>
        <v>1.2</v>
      </c>
      <c r="P13" s="12">
        <f>INDEX('DER Concepts'!$B$6:$V$31,MATCH($B13,'DER Concepts'!$B$6:$B$31,0),MATCH(P$12,'DER Concepts'!$B$6:$V$6,0))</f>
        <v>1.4</v>
      </c>
      <c r="Q13" s="12">
        <f>INDEX('DER Concepts'!$B$6:$V$31,MATCH($B13,'DER Concepts'!$B$6:$B$31,0),MATCH(Q$12,'DER Concepts'!$B$6:$V$6,0))</f>
        <v>1.8</v>
      </c>
      <c r="R13" s="12">
        <f t="shared" ref="R13:R25" si="0">SUM(I13:L13)</f>
        <v>1.6</v>
      </c>
      <c r="S13" s="46">
        <v>-0.52515932611883698</v>
      </c>
      <c r="T13" s="20">
        <v>0.53243280517115688</v>
      </c>
      <c r="U13" s="19">
        <f>INDEX('S6-Summary'!$B$17:$W$43,MATCH($B13,'S6-Summary'!$B$17:$B$43,0),MATCH(U$12,'S6-Summary'!$B$17:$W$17,0))</f>
        <v>13</v>
      </c>
      <c r="V13" s="21"/>
      <c r="W13" s="9" t="s">
        <v>117</v>
      </c>
      <c r="X13" s="30" t="s">
        <v>27</v>
      </c>
    </row>
    <row r="14" spans="2:24" ht="25.5" hidden="1" x14ac:dyDescent="0.25">
      <c r="B14" s="58">
        <v>2</v>
      </c>
      <c r="C14" s="9" t="s">
        <v>24</v>
      </c>
      <c r="D14" s="58" t="s">
        <v>1</v>
      </c>
      <c r="E14" s="58" t="s">
        <v>26</v>
      </c>
      <c r="F14" s="58" t="s">
        <v>19</v>
      </c>
      <c r="G14" s="58" t="s">
        <v>27</v>
      </c>
      <c r="H14" s="58" t="s">
        <v>28</v>
      </c>
      <c r="I14" s="12">
        <f>INDEX('S6-Summary'!$B$17:$W$43,MATCH($B14,'S6-Summary'!$B$17:$B$43,0),MATCH(I$12,'S6-Summary'!$B$17:$W$17,0))</f>
        <v>0</v>
      </c>
      <c r="J14" s="12">
        <f>INDEX('S6-Summary'!$B$17:$W$43,MATCH($B14,'S6-Summary'!$B$17:$B$43,0),MATCH(J$12,'S6-Summary'!$B$17:$W$17,0))</f>
        <v>0</v>
      </c>
      <c r="K14" s="12">
        <f>INDEX('S6-Summary'!$B$17:$W$43,MATCH($B14,'S6-Summary'!$B$17:$B$43,0),MATCH(K$12,'S6-Summary'!$B$17:$W$17,0))</f>
        <v>0</v>
      </c>
      <c r="L14" s="12">
        <f>INDEX('S6-Summary'!$B$17:$W$43,MATCH($B14,'S6-Summary'!$B$17:$B$43,0),MATCH(L$12,'S6-Summary'!$B$17:$W$17,0))</f>
        <v>0</v>
      </c>
      <c r="M14" s="12">
        <f>INDEX('DER Concepts'!$B$6:$V$31,MATCH($B14,'DER Concepts'!$B$6:$B$31,0),MATCH(M$12,'DER Concepts'!$B$6:$V$6,0))</f>
        <v>0</v>
      </c>
      <c r="N14" s="12">
        <f>INDEX('DER Concepts'!$B$6:$V$31,MATCH($B14,'DER Concepts'!$B$6:$B$31,0),MATCH(N$12,'DER Concepts'!$B$6:$V$6,0))</f>
        <v>0</v>
      </c>
      <c r="O14" s="12">
        <f>INDEX('DER Concepts'!$B$6:$V$31,MATCH($B14,'DER Concepts'!$B$6:$B$31,0),MATCH(O$12,'DER Concepts'!$B$6:$V$6,0))</f>
        <v>5</v>
      </c>
      <c r="P14" s="12">
        <f>INDEX('DER Concepts'!$B$6:$V$31,MATCH($B14,'DER Concepts'!$B$6:$B$31,0),MATCH(P$12,'DER Concepts'!$B$6:$V$6,0))</f>
        <v>5</v>
      </c>
      <c r="Q14" s="12">
        <f>INDEX('DER Concepts'!$B$6:$V$31,MATCH($B14,'DER Concepts'!$B$6:$B$31,0),MATCH(Q$12,'DER Concepts'!$B$6:$V$6,0))</f>
        <v>5</v>
      </c>
      <c r="R14" s="12">
        <f t="shared" si="0"/>
        <v>0</v>
      </c>
      <c r="S14" s="46">
        <v>0</v>
      </c>
      <c r="T14" s="20">
        <v>0</v>
      </c>
      <c r="U14" s="19">
        <f>INDEX('S6-Summary'!$B$17:$W$43,MATCH($B14,'S6-Summary'!$B$17:$B$43,0),MATCH(U$12,'S6-Summary'!$B$17:$W$17,0))</f>
        <v>14</v>
      </c>
      <c r="V14" s="21"/>
      <c r="W14" s="9"/>
    </row>
    <row r="15" spans="2:24" ht="76.5" x14ac:dyDescent="0.25">
      <c r="B15" s="58">
        <v>1</v>
      </c>
      <c r="C15" s="9" t="s">
        <v>16</v>
      </c>
      <c r="D15" s="58" t="s">
        <v>1</v>
      </c>
      <c r="E15" s="58" t="s">
        <v>18</v>
      </c>
      <c r="F15" s="58" t="s">
        <v>19</v>
      </c>
      <c r="G15" s="58" t="s">
        <v>20</v>
      </c>
      <c r="H15" s="58" t="s">
        <v>21</v>
      </c>
      <c r="I15" s="12">
        <f>INDEX('S6-Summary'!$B$17:$W$43,MATCH($B15,'S6-Summary'!$B$17:$B$43,0),MATCH(I$12,'S6-Summary'!$B$17:$W$17,0))</f>
        <v>0</v>
      </c>
      <c r="J15" s="12">
        <f>INDEX('S6-Summary'!$B$17:$W$43,MATCH($B15,'S6-Summary'!$B$17:$B$43,0),MATCH(J$12,'S6-Summary'!$B$17:$W$17,0))</f>
        <v>9.2666666666666657</v>
      </c>
      <c r="K15" s="12">
        <f>INDEX('S6-Summary'!$B$17:$W$43,MATCH($B15,'S6-Summary'!$B$17:$B$43,0),MATCH(K$12,'S6-Summary'!$B$17:$W$17,0))</f>
        <v>9.4666666666666668</v>
      </c>
      <c r="L15" s="12">
        <f>INDEX('S6-Summary'!$B$17:$W$43,MATCH($B15,'S6-Summary'!$B$17:$B$43,0),MATCH(L$12,'S6-Summary'!$B$17:$W$17,0))</f>
        <v>9.6666666666666679</v>
      </c>
      <c r="M15" s="12">
        <f>INDEX('DER Concepts'!$B$6:$V$31,MATCH($B15,'DER Concepts'!$B$6:$B$31,0),MATCH(M$12,'DER Concepts'!$B$6:$V$6,0))</f>
        <v>7.4</v>
      </c>
      <c r="N15" s="12">
        <f>INDEX('DER Concepts'!$B$6:$V$31,MATCH($B15,'DER Concepts'!$B$6:$B$31,0),MATCH(N$12,'DER Concepts'!$B$6:$V$6,0))</f>
        <v>7.6</v>
      </c>
      <c r="O15" s="12">
        <f>INDEX('DER Concepts'!$B$6:$V$31,MATCH($B15,'DER Concepts'!$B$6:$B$31,0),MATCH(O$12,'DER Concepts'!$B$6:$V$6,0))</f>
        <v>7.6</v>
      </c>
      <c r="P15" s="12">
        <f>INDEX('DER Concepts'!$B$6:$V$31,MATCH($B15,'DER Concepts'!$B$6:$B$31,0),MATCH(P$12,'DER Concepts'!$B$6:$V$6,0))</f>
        <v>7.8</v>
      </c>
      <c r="Q15" s="12">
        <f>INDEX('DER Concepts'!$B$6:$V$31,MATCH($B15,'DER Concepts'!$B$6:$B$31,0),MATCH(Q$12,'DER Concepts'!$B$6:$V$6,0))</f>
        <v>7.8</v>
      </c>
      <c r="R15" s="12">
        <f t="shared" si="0"/>
        <v>28.400000000000002</v>
      </c>
      <c r="S15" s="46">
        <v>13.101785311970335</v>
      </c>
      <c r="T15" s="75">
        <f>INDEX('S6-Summary'!$B$17:$W$43,MATCH($B15,'S6-Summary'!$B$17:$B$43,0),MATCH(T$12,'S6-Summary'!$B$17:$W$17,0))</f>
        <v>0.28160000000000002</v>
      </c>
      <c r="U15" s="19">
        <f>INDEX('S6-Summary'!$B$17:$W$43,MATCH($B15,'S6-Summary'!$B$17:$B$43,0),MATCH(U$12,'S6-Summary'!$B$17:$W$17,0))</f>
        <v>16</v>
      </c>
      <c r="V15" s="21"/>
      <c r="W15" s="9" t="s">
        <v>198</v>
      </c>
      <c r="X15" s="30" t="s">
        <v>27</v>
      </c>
    </row>
    <row r="16" spans="2:24" ht="38.25" x14ac:dyDescent="0.25">
      <c r="B16" s="58">
        <v>9</v>
      </c>
      <c r="C16" s="9" t="s">
        <v>49</v>
      </c>
      <c r="D16" s="58" t="s">
        <v>1</v>
      </c>
      <c r="E16" s="58" t="s">
        <v>18</v>
      </c>
      <c r="F16" s="58" t="s">
        <v>31</v>
      </c>
      <c r="G16" s="58" t="s">
        <v>20</v>
      </c>
      <c r="H16" s="58" t="s">
        <v>32</v>
      </c>
      <c r="I16" s="12">
        <f>INDEX('S6-Summary'!$B$17:$W$43,MATCH($B16,'S6-Summary'!$B$17:$B$43,0),MATCH(I$12,'S6-Summary'!$B$17:$W$17,0))</f>
        <v>0</v>
      </c>
      <c r="J16" s="12">
        <f>INDEX('S6-Summary'!$B$17:$W$43,MATCH($B16,'S6-Summary'!$B$17:$B$43,0),MATCH(J$12,'S6-Summary'!$B$17:$W$17,0))</f>
        <v>0.40333333333333332</v>
      </c>
      <c r="K16" s="12">
        <f>INDEX('S6-Summary'!$B$17:$W$43,MATCH($B16,'S6-Summary'!$B$17:$B$43,0),MATCH(K$12,'S6-Summary'!$B$17:$W$17,0))</f>
        <v>0.45833333333333331</v>
      </c>
      <c r="L16" s="12">
        <f>INDEX('S6-Summary'!$B$17:$W$43,MATCH($B16,'S6-Summary'!$B$17:$B$43,0),MATCH(L$12,'S6-Summary'!$B$17:$W$17,0))</f>
        <v>0.51833333333333331</v>
      </c>
      <c r="M16" s="12">
        <f>INDEX('DER Concepts'!$B$6:$V$31,MATCH($B16,'DER Concepts'!$B$6:$B$31,0),MATCH(M$12,'DER Concepts'!$B$6:$V$6,0))</f>
        <v>0.495</v>
      </c>
      <c r="N16" s="12">
        <f>INDEX('DER Concepts'!$B$6:$V$31,MATCH($B16,'DER Concepts'!$B$6:$B$31,0),MATCH(N$12,'DER Concepts'!$B$6:$V$6,0))</f>
        <v>0.56000000000000005</v>
      </c>
      <c r="O16" s="12">
        <f>INDEX('DER Concepts'!$B$6:$V$31,MATCH($B16,'DER Concepts'!$B$6:$B$31,0),MATCH(O$12,'DER Concepts'!$B$6:$V$6,0))</f>
        <v>0.63</v>
      </c>
      <c r="P16" s="12">
        <f>INDEX('DER Concepts'!$B$6:$V$31,MATCH($B16,'DER Concepts'!$B$6:$B$31,0),MATCH(P$12,'DER Concepts'!$B$6:$V$6,0))</f>
        <v>0.69499999999999995</v>
      </c>
      <c r="Q16" s="12">
        <f>INDEX('DER Concepts'!$B$6:$V$31,MATCH($B16,'DER Concepts'!$B$6:$B$31,0),MATCH(Q$12,'DER Concepts'!$B$6:$V$6,0))</f>
        <v>0.76500000000000001</v>
      </c>
      <c r="R16" s="12">
        <f t="shared" si="0"/>
        <v>1.38</v>
      </c>
      <c r="S16" s="46">
        <v>6.3576728588689448</v>
      </c>
      <c r="T16" s="75">
        <f>INDEX('S6-Summary'!$B$17:$W$43,MATCH($B16,'S6-Summary'!$B$17:$B$43,0),MATCH(T$12,'S6-Summary'!$B$17:$W$17,0))</f>
        <v>0.18697381815723682</v>
      </c>
      <c r="U16" s="19">
        <f>INDEX('S6-Summary'!$B$17:$W$43,MATCH($B16,'S6-Summary'!$B$17:$B$43,0),MATCH(U$12,'S6-Summary'!$B$17:$W$17,0))</f>
        <v>15</v>
      </c>
      <c r="V16" s="21"/>
      <c r="W16" s="9" t="s">
        <v>199</v>
      </c>
      <c r="X16" s="30" t="s">
        <v>27</v>
      </c>
    </row>
    <row r="17" spans="2:24" ht="51" hidden="1" x14ac:dyDescent="0.25">
      <c r="B17" s="58">
        <v>3</v>
      </c>
      <c r="C17" s="9" t="s">
        <v>29</v>
      </c>
      <c r="D17" s="58" t="s">
        <v>1</v>
      </c>
      <c r="E17" s="58" t="s">
        <v>18</v>
      </c>
      <c r="F17" s="58" t="s">
        <v>31</v>
      </c>
      <c r="G17" s="58" t="s">
        <v>20</v>
      </c>
      <c r="H17" s="58" t="s">
        <v>32</v>
      </c>
      <c r="I17" s="12">
        <f>INDEX('S6-Summary'!$B$17:$W$43,MATCH($B17,'S6-Summary'!$B$17:$B$43,0),MATCH(I$12,'S6-Summary'!$B$17:$W$17,0))</f>
        <v>0</v>
      </c>
      <c r="J17" s="12">
        <f>INDEX('S6-Summary'!$B$17:$W$43,MATCH($B17,'S6-Summary'!$B$17:$B$43,0),MATCH(J$12,'S6-Summary'!$B$17:$W$17,0))</f>
        <v>0.73333333333333328</v>
      </c>
      <c r="K17" s="12">
        <f>INDEX('S6-Summary'!$B$17:$W$43,MATCH($B17,'S6-Summary'!$B$17:$B$43,0),MATCH(K$12,'S6-Summary'!$B$17:$W$17,0))</f>
        <v>0.93333333333333335</v>
      </c>
      <c r="L17" s="12">
        <f>INDEX('S6-Summary'!$B$17:$W$43,MATCH($B17,'S6-Summary'!$B$17:$B$43,0),MATCH(L$12,'S6-Summary'!$B$17:$W$17,0))</f>
        <v>1.3333333333333333</v>
      </c>
      <c r="M17" s="12">
        <f>INDEX('DER Concepts'!$B$6:$V$31,MATCH($B17,'DER Concepts'!$B$6:$B$31,0),MATCH(M$12,'DER Concepts'!$B$6:$V$6,0))</f>
        <v>1.6</v>
      </c>
      <c r="N17" s="12">
        <f>INDEX('DER Concepts'!$B$6:$V$31,MATCH($B17,'DER Concepts'!$B$6:$B$31,0),MATCH(N$12,'DER Concepts'!$B$6:$V$6,0))</f>
        <v>2</v>
      </c>
      <c r="O17" s="12">
        <f>INDEX('DER Concepts'!$B$6:$V$31,MATCH($B17,'DER Concepts'!$B$6:$B$31,0),MATCH(O$12,'DER Concepts'!$B$6:$V$6,0))</f>
        <v>2.4</v>
      </c>
      <c r="P17" s="12">
        <f>INDEX('DER Concepts'!$B$6:$V$31,MATCH($B17,'DER Concepts'!$B$6:$B$31,0),MATCH(P$12,'DER Concepts'!$B$6:$V$6,0))</f>
        <v>2.8</v>
      </c>
      <c r="Q17" s="12">
        <f>INDEX('DER Concepts'!$B$6:$V$31,MATCH($B17,'DER Concepts'!$B$6:$B$31,0),MATCH(Q$12,'DER Concepts'!$B$6:$V$6,0))</f>
        <v>3.4</v>
      </c>
      <c r="R17" s="12">
        <f t="shared" si="0"/>
        <v>3</v>
      </c>
      <c r="S17" s="46">
        <v>5.2236608394434931</v>
      </c>
      <c r="T17" s="20">
        <v>0.30571505425385875</v>
      </c>
      <c r="U17" s="19">
        <f>INDEX('S6-Summary'!$B$17:$W$43,MATCH($B17,'S6-Summary'!$B$17:$B$43,0),MATCH(U$12,'S6-Summary'!$B$17:$W$17,0))</f>
        <v>13</v>
      </c>
      <c r="V17" s="21"/>
      <c r="W17" s="9" t="s">
        <v>130</v>
      </c>
      <c r="X17" s="30" t="s">
        <v>27</v>
      </c>
    </row>
    <row r="18" spans="2:24" ht="25.5" hidden="1" x14ac:dyDescent="0.25">
      <c r="B18" s="58">
        <v>6</v>
      </c>
      <c r="C18" s="9" t="s">
        <v>41</v>
      </c>
      <c r="D18" s="58" t="s">
        <v>1</v>
      </c>
      <c r="E18" s="58" t="s">
        <v>26</v>
      </c>
      <c r="F18" s="58" t="s">
        <v>35</v>
      </c>
      <c r="G18" s="58" t="s">
        <v>27</v>
      </c>
      <c r="H18" s="58" t="s">
        <v>36</v>
      </c>
      <c r="I18" s="12">
        <f>INDEX('S6-Summary'!$B$17:$W$43,MATCH($B18,'S6-Summary'!$B$17:$B$43,0),MATCH(I$12,'S6-Summary'!$B$17:$W$17,0))</f>
        <v>0</v>
      </c>
      <c r="J18" s="12">
        <f>INDEX('S6-Summary'!$B$17:$W$43,MATCH($B18,'S6-Summary'!$B$17:$B$43,0),MATCH(J$12,'S6-Summary'!$B$17:$W$17,0))</f>
        <v>0</v>
      </c>
      <c r="K18" s="12">
        <f>INDEX('S6-Summary'!$B$17:$W$43,MATCH($B18,'S6-Summary'!$B$17:$B$43,0),MATCH(K$12,'S6-Summary'!$B$17:$W$17,0))</f>
        <v>0</v>
      </c>
      <c r="L18" s="12">
        <f>INDEX('S6-Summary'!$B$17:$W$43,MATCH($B18,'S6-Summary'!$B$17:$B$43,0),MATCH(L$12,'S6-Summary'!$B$17:$W$17,0))</f>
        <v>0</v>
      </c>
      <c r="M18" s="12">
        <f>INDEX('DER Concepts'!$B$6:$V$31,MATCH($B18,'DER Concepts'!$B$6:$B$31,0),MATCH(M$12,'DER Concepts'!$B$6:$V$6,0))</f>
        <v>0</v>
      </c>
      <c r="N18" s="12">
        <f>INDEX('DER Concepts'!$B$6:$V$31,MATCH($B18,'DER Concepts'!$B$6:$B$31,0),MATCH(N$12,'DER Concepts'!$B$6:$V$6,0))</f>
        <v>0</v>
      </c>
      <c r="O18" s="12">
        <f>INDEX('DER Concepts'!$B$6:$V$31,MATCH($B18,'DER Concepts'!$B$6:$B$31,0),MATCH(O$12,'DER Concepts'!$B$6:$V$6,0))</f>
        <v>0</v>
      </c>
      <c r="P18" s="12">
        <f>INDEX('DER Concepts'!$B$6:$V$31,MATCH($B18,'DER Concepts'!$B$6:$B$31,0),MATCH(P$12,'DER Concepts'!$B$6:$V$6,0))</f>
        <v>0</v>
      </c>
      <c r="Q18" s="12">
        <f>INDEX('DER Concepts'!$B$6:$V$31,MATCH($B18,'DER Concepts'!$B$6:$B$31,0),MATCH(Q$12,'DER Concepts'!$B$6:$V$6,0))</f>
        <v>0</v>
      </c>
      <c r="R18" s="12">
        <f t="shared" si="0"/>
        <v>0</v>
      </c>
      <c r="S18" s="46">
        <v>6.3874646759033205</v>
      </c>
      <c r="T18" s="20">
        <v>0.41915158872511588</v>
      </c>
      <c r="U18" s="19">
        <f>INDEX('S6-Summary'!$B$17:$W$43,MATCH($B18,'S6-Summary'!$B$17:$B$43,0),MATCH(U$12,'S6-Summary'!$B$17:$W$17,0))</f>
        <v>12</v>
      </c>
      <c r="V18" s="21"/>
      <c r="W18" s="9"/>
    </row>
    <row r="19" spans="2:24" ht="25.5" hidden="1" x14ac:dyDescent="0.25">
      <c r="B19" s="58">
        <v>7</v>
      </c>
      <c r="C19" s="9" t="s">
        <v>44</v>
      </c>
      <c r="D19" s="58" t="s">
        <v>1</v>
      </c>
      <c r="E19" s="58" t="s">
        <v>26</v>
      </c>
      <c r="F19" s="58" t="s">
        <v>35</v>
      </c>
      <c r="G19" s="58" t="s">
        <v>27</v>
      </c>
      <c r="H19" s="58" t="s">
        <v>28</v>
      </c>
      <c r="I19" s="12">
        <f>INDEX('S6-Summary'!$B$17:$W$43,MATCH($B19,'S6-Summary'!$B$17:$B$43,0),MATCH(I$12,'S6-Summary'!$B$17:$W$17,0))</f>
        <v>0</v>
      </c>
      <c r="J19" s="12">
        <f>INDEX('S6-Summary'!$B$17:$W$43,MATCH($B19,'S6-Summary'!$B$17:$B$43,0),MATCH(J$12,'S6-Summary'!$B$17:$W$17,0))</f>
        <v>0</v>
      </c>
      <c r="K19" s="12">
        <f>INDEX('S6-Summary'!$B$17:$W$43,MATCH($B19,'S6-Summary'!$B$17:$B$43,0),MATCH(K$12,'S6-Summary'!$B$17:$W$17,0))</f>
        <v>0</v>
      </c>
      <c r="L19" s="12">
        <f>INDEX('S6-Summary'!$B$17:$W$43,MATCH($B19,'S6-Summary'!$B$17:$B$43,0),MATCH(L$12,'S6-Summary'!$B$17:$W$17,0))</f>
        <v>0</v>
      </c>
      <c r="M19" s="12">
        <f>INDEX('DER Concepts'!$B$6:$V$31,MATCH($B19,'DER Concepts'!$B$6:$B$31,0),MATCH(M$12,'DER Concepts'!$B$6:$V$6,0))</f>
        <v>0</v>
      </c>
      <c r="N19" s="12">
        <f>INDEX('DER Concepts'!$B$6:$V$31,MATCH($B19,'DER Concepts'!$B$6:$B$31,0),MATCH(N$12,'DER Concepts'!$B$6:$V$6,0))</f>
        <v>0</v>
      </c>
      <c r="O19" s="12">
        <f>INDEX('DER Concepts'!$B$6:$V$31,MATCH($B19,'DER Concepts'!$B$6:$B$31,0),MATCH(O$12,'DER Concepts'!$B$6:$V$6,0))</f>
        <v>0</v>
      </c>
      <c r="P19" s="12">
        <f>INDEX('DER Concepts'!$B$6:$V$31,MATCH($B19,'DER Concepts'!$B$6:$B$31,0),MATCH(P$12,'DER Concepts'!$B$6:$V$6,0))</f>
        <v>0</v>
      </c>
      <c r="Q19" s="12">
        <f>INDEX('DER Concepts'!$B$6:$V$31,MATCH($B19,'DER Concepts'!$B$6:$B$31,0),MATCH(Q$12,'DER Concepts'!$B$6:$V$6,0))</f>
        <v>0</v>
      </c>
      <c r="R19" s="12">
        <f t="shared" si="0"/>
        <v>0</v>
      </c>
      <c r="S19" s="46">
        <v>4.712471923828125</v>
      </c>
      <c r="T19" s="20">
        <v>0.4678346312941507</v>
      </c>
      <c r="U19" s="19">
        <f>INDEX('S6-Summary'!$B$17:$W$43,MATCH($B19,'S6-Summary'!$B$17:$B$43,0),MATCH(U$12,'S6-Summary'!$B$17:$W$17,0))</f>
        <v>12</v>
      </c>
      <c r="V19" s="21"/>
      <c r="W19" s="9"/>
    </row>
    <row r="20" spans="2:24" ht="25.5" hidden="1" x14ac:dyDescent="0.25">
      <c r="B20" s="58">
        <v>8</v>
      </c>
      <c r="C20" s="9" t="s">
        <v>47</v>
      </c>
      <c r="D20" s="58" t="s">
        <v>1</v>
      </c>
      <c r="E20" s="58" t="s">
        <v>26</v>
      </c>
      <c r="F20" s="58" t="s">
        <v>35</v>
      </c>
      <c r="G20" s="58" t="s">
        <v>27</v>
      </c>
      <c r="H20" s="58" t="s">
        <v>28</v>
      </c>
      <c r="I20" s="12">
        <f>INDEX('S6-Summary'!$B$17:$W$43,MATCH($B20,'S6-Summary'!$B$17:$B$43,0),MATCH(I$12,'S6-Summary'!$B$17:$W$17,0))</f>
        <v>0</v>
      </c>
      <c r="J20" s="12">
        <f>INDEX('S6-Summary'!$B$17:$W$43,MATCH($B20,'S6-Summary'!$B$17:$B$43,0),MATCH(J$12,'S6-Summary'!$B$17:$W$17,0))</f>
        <v>0</v>
      </c>
      <c r="K20" s="12">
        <f>INDEX('S6-Summary'!$B$17:$W$43,MATCH($B20,'S6-Summary'!$B$17:$B$43,0),MATCH(K$12,'S6-Summary'!$B$17:$W$17,0))</f>
        <v>0</v>
      </c>
      <c r="L20" s="12">
        <f>INDEX('S6-Summary'!$B$17:$W$43,MATCH($B20,'S6-Summary'!$B$17:$B$43,0),MATCH(L$12,'S6-Summary'!$B$17:$W$17,0))</f>
        <v>0</v>
      </c>
      <c r="M20" s="12">
        <f>INDEX('DER Concepts'!$B$6:$V$31,MATCH($B20,'DER Concepts'!$B$6:$B$31,0),MATCH(M$12,'DER Concepts'!$B$6:$V$6,0))</f>
        <v>0</v>
      </c>
      <c r="N20" s="12">
        <f>INDEX('DER Concepts'!$B$6:$V$31,MATCH($B20,'DER Concepts'!$B$6:$B$31,0),MATCH(N$12,'DER Concepts'!$B$6:$V$6,0))</f>
        <v>0</v>
      </c>
      <c r="O20" s="12">
        <f>INDEX('DER Concepts'!$B$6:$V$31,MATCH($B20,'DER Concepts'!$B$6:$B$31,0),MATCH(O$12,'DER Concepts'!$B$6:$V$6,0))</f>
        <v>0</v>
      </c>
      <c r="P20" s="12">
        <f>INDEX('DER Concepts'!$B$6:$V$31,MATCH($B20,'DER Concepts'!$B$6:$B$31,0),MATCH(P$12,'DER Concepts'!$B$6:$V$6,0))</f>
        <v>0</v>
      </c>
      <c r="Q20" s="12">
        <f>INDEX('DER Concepts'!$B$6:$V$31,MATCH($B20,'DER Concepts'!$B$6:$B$31,0),MATCH(Q$12,'DER Concepts'!$B$6:$V$6,0))</f>
        <v>0</v>
      </c>
      <c r="R20" s="12">
        <f t="shared" si="0"/>
        <v>0</v>
      </c>
      <c r="S20" s="46">
        <v>8.8681755371093747</v>
      </c>
      <c r="T20" s="20">
        <v>0.31818974489774987</v>
      </c>
      <c r="U20" s="19">
        <f>INDEX('S6-Summary'!$B$17:$W$43,MATCH($B20,'S6-Summary'!$B$17:$B$43,0),MATCH(U$12,'S6-Summary'!$B$17:$W$17,0))</f>
        <v>14</v>
      </c>
      <c r="V20" s="21"/>
      <c r="W20" s="9"/>
    </row>
    <row r="21" spans="2:24" ht="51" x14ac:dyDescent="0.25">
      <c r="B21" s="58" t="s">
        <v>87</v>
      </c>
      <c r="C21" s="9" t="s">
        <v>77</v>
      </c>
      <c r="D21" s="58" t="s">
        <v>1</v>
      </c>
      <c r="E21" s="22" t="s">
        <v>18</v>
      </c>
      <c r="F21" s="23" t="s">
        <v>31</v>
      </c>
      <c r="G21" s="22" t="s">
        <v>20</v>
      </c>
      <c r="H21" s="23" t="s">
        <v>36</v>
      </c>
      <c r="I21" s="12">
        <f>INDEX('S6-Summary'!$B$17:$W$43,MATCH($B21,'S6-Summary'!$B$17:$B$43,0),MATCH(I$12,'S6-Summary'!$B$17:$W$17,0))</f>
        <v>0</v>
      </c>
      <c r="J21" s="12">
        <f>INDEX('S6-Summary'!$B$17:$W$43,MATCH($B21,'S6-Summary'!$B$17:$B$43,0),MATCH(J$12,'S6-Summary'!$B$17:$W$17,0))</f>
        <v>3.6766666666666667</v>
      </c>
      <c r="K21" s="12">
        <f>INDEX('S6-Summary'!$B$17:$W$43,MATCH($B21,'S6-Summary'!$B$17:$B$43,0),MATCH(K$12,'S6-Summary'!$B$17:$W$17,0))</f>
        <v>4.2266666666666666</v>
      </c>
      <c r="L21" s="12">
        <f>INDEX('S6-Summary'!$B$17:$W$43,MATCH($B21,'S6-Summary'!$B$17:$B$43,0),MATCH(L$12,'S6-Summary'!$B$17:$W$17,0))</f>
        <v>4.831666666666667</v>
      </c>
      <c r="M21" s="12">
        <v>4.7</v>
      </c>
      <c r="N21" s="12">
        <v>5.42</v>
      </c>
      <c r="O21" s="12">
        <v>6.1950000000000003</v>
      </c>
      <c r="P21" s="12">
        <v>7.0149999999999997</v>
      </c>
      <c r="Q21" s="12">
        <v>7.88</v>
      </c>
      <c r="R21" s="12">
        <f t="shared" si="0"/>
        <v>12.734999999999999</v>
      </c>
      <c r="S21" s="46">
        <v>6.4572802308164361</v>
      </c>
      <c r="T21" s="75">
        <f>INDEX('S6-Summary'!$B$17:$W$43,MATCH($B21,'S6-Summary'!$B$17:$B$43,0),MATCH(T$12,'S6-Summary'!$B$17:$W$17,0))</f>
        <v>0.17516959361661694</v>
      </c>
      <c r="U21" s="19">
        <f>INDEX('S6-Summary'!$B$17:$W$43,MATCH($B21,'S6-Summary'!$B$17:$B$43,0),MATCH(U$12,'S6-Summary'!$B$17:$W$17,0))</f>
        <v>19</v>
      </c>
      <c r="V21" s="21"/>
      <c r="W21" s="9" t="s">
        <v>200</v>
      </c>
      <c r="X21" s="30" t="s">
        <v>20</v>
      </c>
    </row>
    <row r="22" spans="2:24" ht="89.25" x14ac:dyDescent="0.25">
      <c r="B22" s="58">
        <v>4</v>
      </c>
      <c r="C22" s="9" t="s">
        <v>33</v>
      </c>
      <c r="D22" s="58" t="s">
        <v>1</v>
      </c>
      <c r="E22" s="58" t="s">
        <v>26</v>
      </c>
      <c r="F22" s="58" t="s">
        <v>35</v>
      </c>
      <c r="G22" s="58" t="s">
        <v>20</v>
      </c>
      <c r="H22" s="58" t="s">
        <v>36</v>
      </c>
      <c r="I22" s="12">
        <f>INDEX('S6-Summary'!$B$17:$W$43,MATCH($B22,'S6-Summary'!$B$17:$B$43,0),MATCH(I$12,'S6-Summary'!$B$17:$W$17,0))</f>
        <v>0</v>
      </c>
      <c r="J22" s="12">
        <f>INDEX('S6-Summary'!$B$17:$W$43,MATCH($B22,'S6-Summary'!$B$17:$B$43,0),MATCH(J$12,'S6-Summary'!$B$17:$W$17,0))</f>
        <v>8.4</v>
      </c>
      <c r="K22" s="12">
        <f>INDEX('S6-Summary'!$B$17:$W$43,MATCH($B22,'S6-Summary'!$B$17:$B$43,0),MATCH(K$12,'S6-Summary'!$B$17:$W$17,0))</f>
        <v>8.4</v>
      </c>
      <c r="L22" s="12">
        <f>INDEX('S6-Summary'!$B$17:$W$43,MATCH($B22,'S6-Summary'!$B$17:$B$43,0),MATCH(L$12,'S6-Summary'!$B$17:$W$17,0))</f>
        <v>8.4</v>
      </c>
      <c r="M22" s="12">
        <f>INDEX('DER Concepts'!$B$6:$V$31,MATCH($B22,'DER Concepts'!$B$6:$B$31,0),MATCH(M$12,'DER Concepts'!$B$6:$V$6,0))</f>
        <v>14.4</v>
      </c>
      <c r="N22" s="12">
        <f>INDEX('DER Concepts'!$B$6:$V$31,MATCH($B22,'DER Concepts'!$B$6:$B$31,0),MATCH(N$12,'DER Concepts'!$B$6:$V$6,0))</f>
        <v>14.4</v>
      </c>
      <c r="O22" s="12">
        <f>INDEX('DER Concepts'!$B$6:$V$31,MATCH($B22,'DER Concepts'!$B$6:$B$31,0),MATCH(O$12,'DER Concepts'!$B$6:$V$6,0))</f>
        <v>28.8</v>
      </c>
      <c r="P22" s="12">
        <f>INDEX('DER Concepts'!$B$6:$V$31,MATCH($B22,'DER Concepts'!$B$6:$B$31,0),MATCH(P$12,'DER Concepts'!$B$6:$V$6,0))</f>
        <v>36</v>
      </c>
      <c r="Q22" s="12">
        <f>INDEX('DER Concepts'!$B$6:$V$31,MATCH($B22,'DER Concepts'!$B$6:$B$31,0),MATCH(Q$12,'DER Concepts'!$B$6:$V$6,0))</f>
        <v>36</v>
      </c>
      <c r="R22" s="12">
        <f t="shared" si="0"/>
        <v>25.200000000000003</v>
      </c>
      <c r="S22" s="46">
        <v>26.334972555837133</v>
      </c>
      <c r="T22" s="75">
        <f>INDEX('S6-Summary'!$B$17:$W$43,MATCH($B22,'S6-Summary'!$B$17:$B$43,0),MATCH(T$12,'S6-Summary'!$B$17:$W$17,0))</f>
        <v>0.2011</v>
      </c>
      <c r="U22" s="19">
        <f>INDEX('S6-Summary'!$B$17:$W$43,MATCH($B22,'S6-Summary'!$B$17:$B$43,0),MATCH(U$12,'S6-Summary'!$B$17:$W$17,0))</f>
        <v>17</v>
      </c>
      <c r="V22" s="21"/>
      <c r="W22" s="9" t="s">
        <v>201</v>
      </c>
      <c r="X22" s="30" t="s">
        <v>20</v>
      </c>
    </row>
    <row r="23" spans="2:24" ht="76.5" x14ac:dyDescent="0.25">
      <c r="B23" s="58">
        <v>11</v>
      </c>
      <c r="C23" s="9" t="s">
        <v>53</v>
      </c>
      <c r="D23" s="58" t="s">
        <v>1</v>
      </c>
      <c r="E23" s="58" t="s">
        <v>18</v>
      </c>
      <c r="F23" s="58" t="s">
        <v>35</v>
      </c>
      <c r="G23" s="58" t="s">
        <v>20</v>
      </c>
      <c r="H23" s="58" t="s">
        <v>36</v>
      </c>
      <c r="I23" s="12">
        <f>INDEX('S6-Summary'!$B$17:$W$43,MATCH($B23,'S6-Summary'!$B$17:$B$43,0),MATCH(I$12,'S6-Summary'!$B$17:$W$17,0))</f>
        <v>0</v>
      </c>
      <c r="J23" s="12">
        <f>INDEX('S6-Summary'!$B$17:$W$43,MATCH($B23,'S6-Summary'!$B$17:$B$43,0),MATCH(J$12,'S6-Summary'!$B$17:$W$17,0))</f>
        <v>0.14666666666666667</v>
      </c>
      <c r="K23" s="12">
        <f>INDEX('S6-Summary'!$B$17:$W$43,MATCH($B23,'S6-Summary'!$B$17:$B$43,0),MATCH(K$12,'S6-Summary'!$B$17:$W$17,0))</f>
        <v>0.14666666666666667</v>
      </c>
      <c r="L23" s="12">
        <f>INDEX('S6-Summary'!$B$17:$W$43,MATCH($B23,'S6-Summary'!$B$17:$B$43,0),MATCH(L$12,'S6-Summary'!$B$17:$W$17,0))</f>
        <v>0.14666666666666667</v>
      </c>
      <c r="M23" s="12">
        <f>INDEX('DER Concepts'!$B$6:$V$31,MATCH($B23,'DER Concepts'!$B$6:$B$31,0),MATCH(M$12,'DER Concepts'!$B$6:$V$6,0))</f>
        <v>0.11</v>
      </c>
      <c r="N23" s="12">
        <f>INDEX('DER Concepts'!$B$6:$V$31,MATCH($B23,'DER Concepts'!$B$6:$B$31,0),MATCH(N$12,'DER Concepts'!$B$6:$V$6,0))</f>
        <v>0.11</v>
      </c>
      <c r="O23" s="12">
        <f>INDEX('DER Concepts'!$B$6:$V$31,MATCH($B23,'DER Concepts'!$B$6:$B$31,0),MATCH(O$12,'DER Concepts'!$B$6:$V$6,0))</f>
        <v>0.11</v>
      </c>
      <c r="P23" s="12">
        <f>INDEX('DER Concepts'!$B$6:$V$31,MATCH($B23,'DER Concepts'!$B$6:$B$31,0),MATCH(P$12,'DER Concepts'!$B$6:$V$6,0))</f>
        <v>0.11</v>
      </c>
      <c r="Q23" s="12">
        <f>INDEX('DER Concepts'!$B$6:$V$31,MATCH($B23,'DER Concepts'!$B$6:$B$31,0),MATCH(Q$12,'DER Concepts'!$B$6:$V$6,0))</f>
        <v>0.11</v>
      </c>
      <c r="R23" s="12">
        <f t="shared" si="0"/>
        <v>0.44</v>
      </c>
      <c r="S23" s="46">
        <v>16.132658183982102</v>
      </c>
      <c r="T23" s="75">
        <f>INDEX('S6-Summary'!$B$17:$W$43,MATCH($B23,'S6-Summary'!$B$17:$B$43,0),MATCH(T$12,'S6-Summary'!$B$17:$W$17,0))</f>
        <v>0.1946</v>
      </c>
      <c r="U23" s="19">
        <f>INDEX('S6-Summary'!$B$17:$W$43,MATCH($B23,'S6-Summary'!$B$17:$B$43,0),MATCH(U$12,'S6-Summary'!$B$17:$W$17,0))</f>
        <v>20</v>
      </c>
      <c r="V23" s="21"/>
      <c r="W23" s="9" t="s">
        <v>202</v>
      </c>
      <c r="X23" s="30" t="s">
        <v>20</v>
      </c>
    </row>
    <row r="24" spans="2:24" ht="63.75" x14ac:dyDescent="0.25">
      <c r="B24" s="58">
        <v>5</v>
      </c>
      <c r="C24" s="9" t="s">
        <v>37</v>
      </c>
      <c r="D24" s="58" t="s">
        <v>1</v>
      </c>
      <c r="E24" s="58" t="s">
        <v>18</v>
      </c>
      <c r="F24" s="58" t="s">
        <v>39</v>
      </c>
      <c r="G24" s="58" t="s">
        <v>27</v>
      </c>
      <c r="H24" s="58" t="s">
        <v>40</v>
      </c>
      <c r="I24" s="12">
        <f>INDEX('S6-Summary'!$B$17:$W$43,MATCH($B24,'S6-Summary'!$B$17:$B$43,0),MATCH(I$12,'S6-Summary'!$B$17:$W$17,0))</f>
        <v>0</v>
      </c>
      <c r="J24" s="12">
        <f>INDEX('S6-Summary'!$B$17:$W$43,MATCH($B24,'S6-Summary'!$B$17:$B$43,0),MATCH(J$12,'S6-Summary'!$B$17:$W$17,0))</f>
        <v>0.91666666666666663</v>
      </c>
      <c r="K24" s="12">
        <f>INDEX('S6-Summary'!$B$17:$W$43,MATCH($B24,'S6-Summary'!$B$17:$B$43,0),MATCH(K$12,'S6-Summary'!$B$17:$W$17,0))</f>
        <v>0.91666666666666663</v>
      </c>
      <c r="L24" s="12">
        <f>INDEX('S6-Summary'!$B$17:$W$43,MATCH($B24,'S6-Summary'!$B$17:$B$43,0),MATCH(L$12,'S6-Summary'!$B$17:$W$17,0))</f>
        <v>0.91666666666666663</v>
      </c>
      <c r="M24" s="12">
        <f>INDEX('DER Concepts'!$B$6:$V$31,MATCH($B24,'DER Concepts'!$B$6:$B$31,0),MATCH(M$12,'DER Concepts'!$B$6:$V$6,0))</f>
        <v>1.75</v>
      </c>
      <c r="N24" s="12">
        <f>INDEX('DER Concepts'!$B$6:$V$31,MATCH($B24,'DER Concepts'!$B$6:$B$31,0),MATCH(N$12,'DER Concepts'!$B$6:$V$6,0))</f>
        <v>1.75</v>
      </c>
      <c r="O24" s="12">
        <f>INDEX('DER Concepts'!$B$6:$V$31,MATCH($B24,'DER Concepts'!$B$6:$B$31,0),MATCH(O$12,'DER Concepts'!$B$6:$V$6,0))</f>
        <v>3.25</v>
      </c>
      <c r="P24" s="12">
        <f>INDEX('DER Concepts'!$B$6:$V$31,MATCH($B24,'DER Concepts'!$B$6:$B$31,0),MATCH(P$12,'DER Concepts'!$B$6:$V$6,0))</f>
        <v>4.25</v>
      </c>
      <c r="Q24" s="12">
        <f>INDEX('DER Concepts'!$B$6:$V$31,MATCH($B24,'DER Concepts'!$B$6:$B$31,0),MATCH(Q$12,'DER Concepts'!$B$6:$V$6,0))</f>
        <v>4.25</v>
      </c>
      <c r="R24" s="12">
        <f t="shared" si="0"/>
        <v>2.75</v>
      </c>
      <c r="S24" s="46">
        <v>14.188653289794923</v>
      </c>
      <c r="T24" s="75">
        <f>INDEX('S6-Summary'!$B$17:$W$43,MATCH($B24,'S6-Summary'!$B$17:$B$43,0),MATCH(T$12,'S6-Summary'!$B$17:$W$17,0))</f>
        <v>0.1842</v>
      </c>
      <c r="U24" s="19">
        <f>INDEX('S6-Summary'!$B$17:$W$43,MATCH($B24,'S6-Summary'!$B$17:$B$43,0),MATCH(U$12,'S6-Summary'!$B$17:$W$17,0))</f>
        <v>17</v>
      </c>
      <c r="V24" s="21"/>
      <c r="W24" s="9" t="s">
        <v>118</v>
      </c>
      <c r="X24" s="30" t="s">
        <v>27</v>
      </c>
    </row>
    <row r="25" spans="2:24" ht="38.25" x14ac:dyDescent="0.25">
      <c r="B25" s="58">
        <v>10</v>
      </c>
      <c r="C25" s="9" t="s">
        <v>51</v>
      </c>
      <c r="D25" s="58" t="s">
        <v>1</v>
      </c>
      <c r="E25" s="58" t="s">
        <v>18</v>
      </c>
      <c r="F25" s="58" t="s">
        <v>35</v>
      </c>
      <c r="G25" s="58" t="s">
        <v>20</v>
      </c>
      <c r="H25" s="58" t="s">
        <v>36</v>
      </c>
      <c r="I25" s="12">
        <f>INDEX('S6-Summary'!$B$17:$W$43,MATCH($B25,'S6-Summary'!$B$17:$B$43,0),MATCH(I$12,'S6-Summary'!$B$17:$W$17,0))</f>
        <v>0</v>
      </c>
      <c r="J25" s="12">
        <f>INDEX('S6-Summary'!$B$17:$W$43,MATCH($B25,'S6-Summary'!$B$17:$B$43,0),MATCH(J$12,'S6-Summary'!$B$17:$W$17,0))</f>
        <v>1.5183333333333333</v>
      </c>
      <c r="K25" s="12">
        <f>INDEX('S6-Summary'!$B$17:$W$43,MATCH($B25,'S6-Summary'!$B$17:$B$43,0),MATCH(K$12,'S6-Summary'!$B$17:$W$17,0))</f>
        <v>1.5383333333333333</v>
      </c>
      <c r="L25" s="12">
        <f>INDEX('S6-Summary'!$B$17:$W$43,MATCH($B25,'S6-Summary'!$B$17:$B$43,0),MATCH(L$12,'S6-Summary'!$B$17:$W$17,0))</f>
        <v>1.5583333333333333</v>
      </c>
      <c r="M25" s="12">
        <f>INDEX('DER Concepts'!$B$6:$V$31,MATCH($B25,'DER Concepts'!$B$6:$B$31,0),MATCH(M$12,'DER Concepts'!$B$6:$V$6,0))</f>
        <v>1.2</v>
      </c>
      <c r="N25" s="12">
        <f>INDEX('DER Concepts'!$B$6:$V$31,MATCH($B25,'DER Concepts'!$B$6:$B$31,0),MATCH(N$12,'DER Concepts'!$B$6:$V$6,0))</f>
        <v>1.2150000000000001</v>
      </c>
      <c r="O25" s="12">
        <f>INDEX('DER Concepts'!$B$6:$V$31,MATCH($B25,'DER Concepts'!$B$6:$B$31,0),MATCH(O$12,'DER Concepts'!$B$6:$V$6,0))</f>
        <v>1.23</v>
      </c>
      <c r="P25" s="12">
        <f>INDEX('DER Concepts'!$B$6:$V$31,MATCH($B25,'DER Concepts'!$B$6:$B$31,0),MATCH(P$12,'DER Concepts'!$B$6:$V$6,0))</f>
        <v>1.2450000000000001</v>
      </c>
      <c r="Q25" s="12">
        <f>INDEX('DER Concepts'!$B$6:$V$31,MATCH($B25,'DER Concepts'!$B$6:$B$31,0),MATCH(Q$12,'DER Concepts'!$B$6:$V$6,0))</f>
        <v>1.26</v>
      </c>
      <c r="R25" s="12">
        <f t="shared" si="0"/>
        <v>4.6150000000000002</v>
      </c>
      <c r="S25" s="46">
        <v>13.920828306662617</v>
      </c>
      <c r="T25" s="75">
        <f>INDEX('S6-Summary'!$B$17:$W$43,MATCH($B25,'S6-Summary'!$B$17:$B$43,0),MATCH(T$12,'S6-Summary'!$B$17:$W$17,0))</f>
        <v>0.17699999999999999</v>
      </c>
      <c r="U25" s="19">
        <f>INDEX('S6-Summary'!$B$17:$W$43,MATCH($B25,'S6-Summary'!$B$17:$B$43,0),MATCH(U$12,'S6-Summary'!$B$17:$W$17,0))</f>
        <v>19</v>
      </c>
      <c r="V25" s="21"/>
      <c r="W25" s="9" t="s">
        <v>119</v>
      </c>
      <c r="X25" s="30" t="s">
        <v>20</v>
      </c>
    </row>
    <row r="27" spans="2:24" x14ac:dyDescent="0.25">
      <c r="L27" s="64" t="s">
        <v>121</v>
      </c>
      <c r="R27" s="39">
        <f>SUM(R13:R25)</f>
        <v>80.11999999999999</v>
      </c>
    </row>
  </sheetData>
  <autoFilter ref="B12:X25">
    <filterColumn colId="19">
      <customFilters>
        <customFilter operator="greaterThanOrEqual" val="15"/>
      </customFilters>
    </filterColumn>
    <sortState ref="B16:X28">
      <sortCondition descending="1" ref="T15:T28"/>
    </sortState>
  </autoFilter>
  <mergeCells count="1">
    <mergeCell ref="I11:R11"/>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Q22"/>
  <sheetViews>
    <sheetView workbookViewId="0">
      <selection activeCell="D20" sqref="D20"/>
    </sheetView>
  </sheetViews>
  <sheetFormatPr defaultRowHeight="12.75" outlineLevelCol="1" x14ac:dyDescent="0.25"/>
  <cols>
    <col min="1" max="1" width="2.7109375" style="2" customWidth="1"/>
    <col min="2" max="2" width="9.5703125" style="2" customWidth="1"/>
    <col min="3" max="3" width="27.28515625" style="2" customWidth="1"/>
    <col min="4" max="4" width="14" style="2" bestFit="1" customWidth="1"/>
    <col min="5" max="5" width="13.140625" style="2" bestFit="1" customWidth="1"/>
    <col min="6" max="6" width="10.7109375" style="2" bestFit="1" customWidth="1"/>
    <col min="7" max="7" width="10.7109375" style="2" customWidth="1"/>
    <col min="8" max="8" width="12" style="2" bestFit="1" customWidth="1"/>
    <col min="9" max="12" width="9.140625" style="2" customWidth="1" outlineLevel="1"/>
    <col min="13" max="16" width="10.7109375" style="2" customWidth="1"/>
    <col min="17" max="17" width="40.7109375" style="2" customWidth="1" outlineLevel="1"/>
    <col min="18" max="18" width="2.7109375" style="2" customWidth="1"/>
    <col min="19" max="16384" width="9.140625" style="2"/>
  </cols>
  <sheetData>
    <row r="2" spans="2:17" x14ac:dyDescent="0.25">
      <c r="B2" s="65"/>
      <c r="C2" s="96" t="s">
        <v>94</v>
      </c>
      <c r="D2" s="97"/>
      <c r="E2" s="97"/>
      <c r="F2" s="97"/>
      <c r="G2" s="97"/>
      <c r="H2" s="97"/>
      <c r="I2" s="97"/>
      <c r="J2" s="97"/>
      <c r="K2" s="97"/>
      <c r="L2" s="97"/>
      <c r="M2" s="97"/>
      <c r="N2" s="97"/>
      <c r="O2" s="97"/>
      <c r="P2" s="98"/>
      <c r="Q2" s="65"/>
    </row>
    <row r="3" spans="2:17" ht="38.25" x14ac:dyDescent="0.25">
      <c r="B3" s="18" t="s">
        <v>97</v>
      </c>
      <c r="C3" s="18" t="s">
        <v>8</v>
      </c>
      <c r="D3" s="18" t="s">
        <v>9</v>
      </c>
      <c r="E3" s="18" t="s">
        <v>11</v>
      </c>
      <c r="F3" s="18" t="s">
        <v>12</v>
      </c>
      <c r="G3" s="18" t="s">
        <v>13</v>
      </c>
      <c r="H3" s="18" t="s">
        <v>14</v>
      </c>
      <c r="I3" s="18">
        <v>2022</v>
      </c>
      <c r="J3" s="18">
        <v>2023</v>
      </c>
      <c r="K3" s="18">
        <v>2024</v>
      </c>
      <c r="L3" s="18">
        <v>2025</v>
      </c>
      <c r="M3" s="18" t="s">
        <v>102</v>
      </c>
      <c r="N3" s="18" t="s">
        <v>104</v>
      </c>
      <c r="O3" s="18" t="s">
        <v>88</v>
      </c>
      <c r="P3" s="36" t="s">
        <v>140</v>
      </c>
      <c r="Q3" s="36" t="s">
        <v>96</v>
      </c>
    </row>
    <row r="4" spans="2:17" x14ac:dyDescent="0.25">
      <c r="B4" s="37" t="s">
        <v>92</v>
      </c>
      <c r="C4" s="25" t="s">
        <v>60</v>
      </c>
      <c r="D4" s="24" t="s">
        <v>0</v>
      </c>
      <c r="E4" s="24" t="s">
        <v>26</v>
      </c>
      <c r="F4" s="24" t="s">
        <v>39</v>
      </c>
      <c r="G4" s="24" t="s">
        <v>20</v>
      </c>
      <c r="H4" s="24" t="s">
        <v>36</v>
      </c>
      <c r="I4" s="26">
        <v>5.6</v>
      </c>
      <c r="J4" s="26">
        <v>4.8</v>
      </c>
      <c r="K4" s="26">
        <v>5.6</v>
      </c>
      <c r="L4" s="28">
        <v>0</v>
      </c>
      <c r="M4" s="31">
        <f t="shared" ref="M4:M10" si="0">SUM(I4:L4)</f>
        <v>15.999999999999998</v>
      </c>
      <c r="N4" s="42">
        <f>INDEX('S6-Summary'!$B$18:$U$43,MATCH($C4,'S6-Summary'!$C$18:$C$43,0),MATCH(N$3,'S6-Summary'!$B$17:$U$17,0))</f>
        <v>-1.8382226655134737</v>
      </c>
      <c r="O4" s="60">
        <f>INDEX('S6-Summary'!$B$18:$U$43,MATCH($C4,'S6-Summary'!$C$18:$C$43,0),MATCH(O$3,'S6-Summary'!$B$17:$U$17,0))</f>
        <v>0.27205278634052843</v>
      </c>
      <c r="P4" s="59">
        <f>INDEX('S6-Summary'!$B$18:$U$43,MATCH($C4,'S6-Summary'!$C$18:$C$43,0),MATCH(P$3,'S6-Summary'!$B$17:$U$17,0))</f>
        <v>14</v>
      </c>
      <c r="Q4" s="47"/>
    </row>
    <row r="5" spans="2:17" ht="25.5" x14ac:dyDescent="0.25">
      <c r="B5" s="37" t="s">
        <v>92</v>
      </c>
      <c r="C5" s="25" t="s">
        <v>62</v>
      </c>
      <c r="D5" s="24" t="s">
        <v>0</v>
      </c>
      <c r="E5" s="24" t="s">
        <v>26</v>
      </c>
      <c r="F5" s="24" t="s">
        <v>39</v>
      </c>
      <c r="G5" s="24" t="s">
        <v>20</v>
      </c>
      <c r="H5" s="24" t="s">
        <v>64</v>
      </c>
      <c r="I5" s="26">
        <v>1.4</v>
      </c>
      <c r="J5" s="26">
        <v>1.2</v>
      </c>
      <c r="K5" s="26">
        <v>1.4</v>
      </c>
      <c r="L5" s="28">
        <v>0</v>
      </c>
      <c r="M5" s="31">
        <f t="shared" si="0"/>
        <v>3.9999999999999996</v>
      </c>
      <c r="N5" s="42">
        <f>INDEX('S6-Summary'!$B$18:$U$43,MATCH($C5,'S6-Summary'!$C$18:$C$43,0),MATCH(N$3,'S6-Summary'!$B$17:$U$17,0))</f>
        <v>7.0994352087150769</v>
      </c>
      <c r="O5" s="60">
        <f>INDEX('S6-Summary'!$B$18:$U$43,MATCH($C5,'S6-Summary'!$C$18:$C$43,0),MATCH(O$3,'S6-Summary'!$B$17:$U$17,0))</f>
        <v>0.50710307656030273</v>
      </c>
      <c r="P5" s="59">
        <f>INDEX('S6-Summary'!$B$18:$U$43,MATCH($C5,'S6-Summary'!$C$18:$C$43,0),MATCH(P$3,'S6-Summary'!$B$17:$U$17,0))</f>
        <v>16</v>
      </c>
      <c r="Q5" s="47"/>
    </row>
    <row r="6" spans="2:17" x14ac:dyDescent="0.25">
      <c r="B6" s="11">
        <v>1</v>
      </c>
      <c r="C6" s="9" t="s">
        <v>67</v>
      </c>
      <c r="D6" s="11" t="s">
        <v>0</v>
      </c>
      <c r="E6" s="11" t="s">
        <v>18</v>
      </c>
      <c r="F6" s="11" t="s">
        <v>31</v>
      </c>
      <c r="G6" s="11" t="s">
        <v>20</v>
      </c>
      <c r="H6" s="11" t="s">
        <v>32</v>
      </c>
      <c r="I6" s="12">
        <v>0</v>
      </c>
      <c r="J6" s="12">
        <v>6.8</v>
      </c>
      <c r="K6" s="12">
        <v>6.8</v>
      </c>
      <c r="L6" s="12">
        <v>6.8</v>
      </c>
      <c r="M6" s="32">
        <f>SUM(I6:L6)</f>
        <v>20.399999999999999</v>
      </c>
      <c r="N6" s="43">
        <f>INDEX('S6-Summary'!$B$18:$U$43,MATCH($C6,'S6-Summary'!$C$18:$C$43,0),MATCH(N$3,'S6-Summary'!$B$17:$U$17,0))</f>
        <v>0.45340382079178365</v>
      </c>
      <c r="O6" s="62">
        <f>INDEX('S6-Summary'!$B$18:$U$43,MATCH($C6,'S6-Summary'!$C$18:$C$43,0),MATCH(O$3,'S6-Summary'!$B$17:$U$17,0))</f>
        <v>0.49574268401292115</v>
      </c>
      <c r="P6" s="61">
        <f>INDEX('S6-Summary'!$B$18:$U$43,MATCH($C6,'S6-Summary'!$C$18:$C$43,0),MATCH(P$3,'S6-Summary'!$B$17:$U$17,0))</f>
        <v>16</v>
      </c>
      <c r="Q6" s="34"/>
    </row>
    <row r="7" spans="2:17" ht="25.5" x14ac:dyDescent="0.25">
      <c r="B7" s="11">
        <v>2</v>
      </c>
      <c r="C7" s="23" t="s">
        <v>65</v>
      </c>
      <c r="D7" s="22" t="s">
        <v>0</v>
      </c>
      <c r="E7" s="22" t="s">
        <v>26</v>
      </c>
      <c r="F7" s="22" t="s">
        <v>19</v>
      </c>
      <c r="G7" s="22" t="s">
        <v>20</v>
      </c>
      <c r="H7" s="22" t="s">
        <v>21</v>
      </c>
      <c r="I7" s="15">
        <v>0</v>
      </c>
      <c r="J7" s="15">
        <v>3.7</v>
      </c>
      <c r="K7" s="15">
        <v>3.7</v>
      </c>
      <c r="L7" s="15">
        <v>3.7</v>
      </c>
      <c r="M7" s="33">
        <f t="shared" si="0"/>
        <v>11.100000000000001</v>
      </c>
      <c r="N7" s="43">
        <f>INDEX('S6-Summary'!$B$18:$U$43,MATCH($C7,'S6-Summary'!$C$18:$C$43,0),MATCH(N$3,'S6-Summary'!$B$17:$U$17,0))</f>
        <v>4.6354712939937226</v>
      </c>
      <c r="O7" s="62">
        <f>INDEX('S6-Summary'!$B$18:$U$43,MATCH($C7,'S6-Summary'!$C$18:$C$43,0),MATCH(O$3,'S6-Summary'!$B$17:$U$17,0))</f>
        <v>0.65399230103020356</v>
      </c>
      <c r="P7" s="61">
        <f>INDEX('S6-Summary'!$B$18:$U$43,MATCH($C7,'S6-Summary'!$C$18:$C$43,0),MATCH(P$3,'S6-Summary'!$B$17:$U$17,0))</f>
        <v>15</v>
      </c>
      <c r="Q7" s="35"/>
    </row>
    <row r="8" spans="2:17" ht="25.5" x14ac:dyDescent="0.25">
      <c r="B8" s="11">
        <v>3</v>
      </c>
      <c r="C8" s="9" t="s">
        <v>77</v>
      </c>
      <c r="D8" s="11" t="s">
        <v>0</v>
      </c>
      <c r="E8" s="22" t="s">
        <v>18</v>
      </c>
      <c r="F8" s="22" t="s">
        <v>31</v>
      </c>
      <c r="G8" s="22" t="s">
        <v>20</v>
      </c>
      <c r="H8" s="23" t="s">
        <v>36</v>
      </c>
      <c r="I8" s="12">
        <v>0</v>
      </c>
      <c r="J8" s="12">
        <v>4.2</v>
      </c>
      <c r="K8" s="12">
        <v>4.9000000000000004</v>
      </c>
      <c r="L8" s="12">
        <v>5.6</v>
      </c>
      <c r="M8" s="32">
        <f t="shared" si="0"/>
        <v>14.700000000000001</v>
      </c>
      <c r="N8" s="43">
        <f>INDEX('S6-Summary'!$B$18:$U$43,MATCH($C8,'S6-Summary'!$C$18:$C$43,0),MATCH(N$3,'S6-Summary'!$B$17:$U$17,0))</f>
        <v>6.4572802308164361</v>
      </c>
      <c r="O8" s="62">
        <f>INDEX('S6-Summary'!$B$18:$U$43,MATCH($C8,'S6-Summary'!$C$18:$C$43,0),MATCH(O$3,'S6-Summary'!$B$17:$U$17,0))</f>
        <v>0.17516959361661694</v>
      </c>
      <c r="P8" s="61">
        <f>INDEX('S6-Summary'!$B$18:$U$43,MATCH($C8,'S6-Summary'!$C$18:$C$43,0),MATCH(P$3,'S6-Summary'!$B$17:$U$17,0))</f>
        <v>19</v>
      </c>
      <c r="Q8" s="34"/>
    </row>
    <row r="9" spans="2:17" ht="25.5" x14ac:dyDescent="0.25">
      <c r="B9" s="95">
        <v>4</v>
      </c>
      <c r="C9" s="9" t="s">
        <v>81</v>
      </c>
      <c r="D9" s="11" t="s">
        <v>0</v>
      </c>
      <c r="E9" s="11" t="s">
        <v>26</v>
      </c>
      <c r="F9" s="11" t="s">
        <v>39</v>
      </c>
      <c r="G9" s="11" t="s">
        <v>20</v>
      </c>
      <c r="H9" s="11" t="s">
        <v>36</v>
      </c>
      <c r="I9" s="20">
        <v>0</v>
      </c>
      <c r="J9" s="20">
        <v>0.18</v>
      </c>
      <c r="K9" s="20">
        <v>0.22500000000000001</v>
      </c>
      <c r="L9" s="20">
        <v>0.27</v>
      </c>
      <c r="M9" s="32">
        <f t="shared" si="0"/>
        <v>0.67500000000000004</v>
      </c>
      <c r="N9" s="43">
        <f>INDEX('S6-Summary'!$B$18:$U$43,MATCH($C9,'S6-Summary'!$C$18:$C$43,0),MATCH(N$3,'S6-Summary'!$B$17:$U$17,0))</f>
        <v>22.472664936145215</v>
      </c>
      <c r="O9" s="62">
        <f>INDEX('S6-Summary'!$B$18:$U$43,MATCH($C9,'S6-Summary'!$C$18:$C$43,0),MATCH(O$3,'S6-Summary'!$B$17:$U$17,0))</f>
        <v>0.17595976874201763</v>
      </c>
      <c r="P9" s="61">
        <f>INDEX('S6-Summary'!$B$18:$U$43,MATCH($C9,'S6-Summary'!$C$18:$C$43,0),MATCH(P$3,'S6-Summary'!$B$17:$U$17,0))</f>
        <v>17</v>
      </c>
      <c r="Q9" s="34"/>
    </row>
    <row r="10" spans="2:17" ht="25.5" x14ac:dyDescent="0.25">
      <c r="B10" s="95"/>
      <c r="C10" s="9" t="s">
        <v>79</v>
      </c>
      <c r="D10" s="11" t="s">
        <v>0</v>
      </c>
      <c r="E10" s="11" t="s">
        <v>26</v>
      </c>
      <c r="F10" s="11" t="s">
        <v>39</v>
      </c>
      <c r="G10" s="11" t="s">
        <v>20</v>
      </c>
      <c r="H10" s="11" t="s">
        <v>36</v>
      </c>
      <c r="I10" s="12">
        <v>0</v>
      </c>
      <c r="J10" s="12">
        <v>1.296</v>
      </c>
      <c r="K10" s="12">
        <v>1.62</v>
      </c>
      <c r="L10" s="12">
        <v>1.944</v>
      </c>
      <c r="M10" s="32">
        <f t="shared" si="0"/>
        <v>4.8600000000000003</v>
      </c>
      <c r="N10" s="43">
        <f>INDEX('S6-Summary'!$B$18:$U$43,MATCH($C10,'S6-Summary'!$C$18:$C$43,0),MATCH(N$3,'S6-Summary'!$B$17:$U$17,0))</f>
        <v>18.415985147405596</v>
      </c>
      <c r="O10" s="62">
        <f>INDEX('S6-Summary'!$B$18:$U$43,MATCH($C10,'S6-Summary'!$C$18:$C$43,0),MATCH(O$3,'S6-Summary'!$B$17:$U$17,0))</f>
        <v>0.21121505752351757</v>
      </c>
      <c r="P10" s="61">
        <f>INDEX('S6-Summary'!$B$18:$U$43,MATCH($C10,'S6-Summary'!$C$18:$C$43,0),MATCH(P$3,'S6-Summary'!$B$17:$U$17,0))</f>
        <v>16</v>
      </c>
      <c r="Q10" s="34"/>
    </row>
    <row r="11" spans="2:17" ht="45" x14ac:dyDescent="0.25">
      <c r="B11" s="45">
        <v>7</v>
      </c>
      <c r="C11" s="9" t="s">
        <v>71</v>
      </c>
      <c r="D11" s="45" t="s">
        <v>0</v>
      </c>
      <c r="E11" s="45" t="s">
        <v>18</v>
      </c>
      <c r="F11" s="45" t="s">
        <v>73</v>
      </c>
      <c r="G11" s="45" t="s">
        <v>20</v>
      </c>
      <c r="H11" s="45" t="s">
        <v>74</v>
      </c>
      <c r="I11" s="12">
        <v>0</v>
      </c>
      <c r="J11" s="12">
        <v>0.11066666666666668</v>
      </c>
      <c r="K11" s="12">
        <v>0.11066666666666668</v>
      </c>
      <c r="L11" s="12">
        <v>0.11066666666666668</v>
      </c>
      <c r="M11" s="12">
        <f>SUM(I11:L11)</f>
        <v>0.33200000000000002</v>
      </c>
      <c r="N11" s="43">
        <f>INDEX('S6-Summary'!$B$18:$U$43,MATCH($C11,'S6-Summary'!$C$18:$C$43,0),MATCH(N$3,'S6-Summary'!$B$17:$U$17,0))</f>
        <v>18.531135620948916</v>
      </c>
      <c r="O11" s="62">
        <f>INDEX('S6-Summary'!$B$18:$U$43,MATCH($C11,'S6-Summary'!$C$18:$C$43,0),MATCH(O$3,'S6-Summary'!$B$17:$U$17,0))</f>
        <v>0.16558823561576444</v>
      </c>
      <c r="P11" s="61">
        <f>INDEX('S6-Summary'!$B$18:$U$43,MATCH($C11,'S6-Summary'!$C$18:$C$43,0),MATCH(P$3,'S6-Summary'!$B$17:$U$17,0))</f>
        <v>16</v>
      </c>
      <c r="Q11" s="50" t="s">
        <v>120</v>
      </c>
    </row>
    <row r="12" spans="2:17" ht="45" x14ac:dyDescent="0.25">
      <c r="B12" s="45">
        <v>8</v>
      </c>
      <c r="C12" s="9" t="s">
        <v>75</v>
      </c>
      <c r="D12" s="45" t="s">
        <v>0</v>
      </c>
      <c r="E12" s="45" t="s">
        <v>18</v>
      </c>
      <c r="F12" s="45" t="s">
        <v>73</v>
      </c>
      <c r="G12" s="45" t="s">
        <v>20</v>
      </c>
      <c r="H12" s="45" t="s">
        <v>74</v>
      </c>
      <c r="I12" s="12">
        <v>0</v>
      </c>
      <c r="J12" s="12">
        <v>0.55333333333333334</v>
      </c>
      <c r="K12" s="12">
        <v>0.55333333333333334</v>
      </c>
      <c r="L12" s="12">
        <v>0.55333333333333334</v>
      </c>
      <c r="M12" s="12">
        <f>SUM(I12:L12)</f>
        <v>1.6600000000000001</v>
      </c>
      <c r="N12" s="43">
        <f>INDEX('S6-Summary'!$B$18:$U$43,MATCH($C12,'S6-Summary'!$C$18:$C$43,0),MATCH(N$3,'S6-Summary'!$B$17:$U$17,0))</f>
        <v>9.2076025756029747</v>
      </c>
      <c r="O12" s="62">
        <f>INDEX('S6-Summary'!$B$18:$U$43,MATCH($C12,'S6-Summary'!$C$18:$C$43,0),MATCH(O$3,'S6-Summary'!$B$17:$U$17,0))</f>
        <v>0.1173427519052541</v>
      </c>
      <c r="P12" s="61">
        <f>INDEX('S6-Summary'!$B$18:$U$43,MATCH($C12,'S6-Summary'!$C$18:$C$43,0),MATCH(P$3,'S6-Summary'!$B$17:$U$17,0))</f>
        <v>16</v>
      </c>
      <c r="Q12" s="50" t="s">
        <v>120</v>
      </c>
    </row>
    <row r="13" spans="2:17" ht="22.5" x14ac:dyDescent="0.25">
      <c r="B13" s="22">
        <v>9</v>
      </c>
      <c r="C13" s="23" t="s">
        <v>133</v>
      </c>
      <c r="D13" s="22" t="s">
        <v>0</v>
      </c>
      <c r="E13" s="22" t="s">
        <v>26</v>
      </c>
      <c r="F13" s="22" t="s">
        <v>39</v>
      </c>
      <c r="G13" s="22" t="s">
        <v>20</v>
      </c>
      <c r="H13" s="22" t="s">
        <v>36</v>
      </c>
      <c r="I13" s="15">
        <v>0</v>
      </c>
      <c r="J13" s="15">
        <v>0</v>
      </c>
      <c r="K13" s="15">
        <v>0</v>
      </c>
      <c r="L13" s="15">
        <v>5.2</v>
      </c>
      <c r="M13" s="15">
        <f>SUM(I13:L13)</f>
        <v>5.2</v>
      </c>
      <c r="N13" s="43">
        <f>INDEX('S6-Summary'!$B$18:$U$43,MATCH($C13,'S6-Summary'!$C$18:$C$43,0),MATCH(N$3,'S6-Summary'!$B$17:$U$17,0))</f>
        <v>3.08</v>
      </c>
      <c r="O13" s="62">
        <f>INDEX('S6-Summary'!$B$18:$U$43,MATCH($C13,'S6-Summary'!$C$18:$C$43,0),MATCH(O$3,'S6-Summary'!$B$17:$U$17,0))</f>
        <v>0.49127613822504879</v>
      </c>
      <c r="P13" s="61">
        <f>INDEX('S6-Summary'!$B$18:$U$43,MATCH($C13,'S6-Summary'!$C$18:$C$43,0),MATCH(P$3,'S6-Summary'!$B$17:$U$17,0))</f>
        <v>16</v>
      </c>
      <c r="Q13" s="67" t="s">
        <v>136</v>
      </c>
    </row>
    <row r="14" spans="2:17" x14ac:dyDescent="0.25">
      <c r="F14" s="94" t="s">
        <v>122</v>
      </c>
      <c r="G14" s="94"/>
      <c r="H14" s="94"/>
      <c r="I14" s="94"/>
      <c r="J14" s="94"/>
      <c r="K14" s="94"/>
      <c r="L14" s="94"/>
      <c r="M14" s="39">
        <f>SUM(M4:M13)</f>
        <v>78.926999999999978</v>
      </c>
      <c r="N14" s="39"/>
      <c r="O14" s="39"/>
      <c r="P14" s="39"/>
      <c r="Q14" s="40"/>
    </row>
    <row r="16" spans="2:17" x14ac:dyDescent="0.25">
      <c r="B16" s="65"/>
      <c r="C16" s="96" t="s">
        <v>95</v>
      </c>
      <c r="D16" s="97"/>
      <c r="E16" s="97"/>
      <c r="F16" s="97"/>
      <c r="G16" s="97"/>
      <c r="H16" s="97"/>
      <c r="I16" s="97"/>
      <c r="J16" s="97"/>
      <c r="K16" s="97"/>
      <c r="L16" s="97"/>
      <c r="M16" s="97"/>
      <c r="N16" s="97"/>
      <c r="O16" s="97"/>
      <c r="P16" s="98"/>
      <c r="Q16" s="65"/>
    </row>
    <row r="17" spans="2:17" ht="38.25" x14ac:dyDescent="0.25">
      <c r="B17" s="18" t="s">
        <v>97</v>
      </c>
      <c r="C17" s="18" t="s">
        <v>8</v>
      </c>
      <c r="D17" s="18" t="s">
        <v>9</v>
      </c>
      <c r="E17" s="18" t="s">
        <v>11</v>
      </c>
      <c r="F17" s="18" t="s">
        <v>12</v>
      </c>
      <c r="G17" s="18" t="s">
        <v>13</v>
      </c>
      <c r="H17" s="18" t="s">
        <v>14</v>
      </c>
      <c r="I17" s="18">
        <v>2022</v>
      </c>
      <c r="J17" s="18">
        <v>2023</v>
      </c>
      <c r="K17" s="18">
        <v>2024</v>
      </c>
      <c r="L17" s="18">
        <v>2025</v>
      </c>
      <c r="M17" s="18" t="s">
        <v>102</v>
      </c>
      <c r="N17" s="18" t="s">
        <v>104</v>
      </c>
      <c r="O17" s="18" t="s">
        <v>88</v>
      </c>
      <c r="P17" s="36" t="s">
        <v>140</v>
      </c>
      <c r="Q17" s="36" t="s">
        <v>96</v>
      </c>
    </row>
    <row r="18" spans="2:17" ht="25.5" x14ac:dyDescent="0.25">
      <c r="B18" s="11">
        <v>3</v>
      </c>
      <c r="C18" s="9" t="s">
        <v>77</v>
      </c>
      <c r="D18" s="11" t="s">
        <v>1</v>
      </c>
      <c r="E18" s="22" t="s">
        <v>18</v>
      </c>
      <c r="F18" s="22" t="s">
        <v>31</v>
      </c>
      <c r="G18" s="22" t="s">
        <v>20</v>
      </c>
      <c r="H18" s="22" t="s">
        <v>36</v>
      </c>
      <c r="I18" s="12"/>
      <c r="J18" s="81">
        <f>3.67666666666667-0.176</f>
        <v>3.5006666666666697</v>
      </c>
      <c r="K18" s="81">
        <f>4.22666666666667-0.226</f>
        <v>4.0006666666666701</v>
      </c>
      <c r="L18" s="81">
        <f>4.83166666666667+0.169</f>
        <v>5.0006666666666693</v>
      </c>
      <c r="M18" s="44">
        <f>SUM(I18:L18)</f>
        <v>12.50200000000001</v>
      </c>
      <c r="N18" s="43">
        <f>INDEX('S6-Summary'!$B$18:$U$43,MATCH($C18,'S6-Summary'!$C$18:$C$43,0),MATCH(N$3,'S6-Summary'!$B$17:$U$17,0))</f>
        <v>6.4572802308164361</v>
      </c>
      <c r="O18" s="62">
        <f>INDEX('S6-Summary'!$B$18:$U$43,MATCH($C18,'S6-Summary'!$C$18:$C$43,0),MATCH(O$3,'S6-Summary'!$B$17:$U$17,0))</f>
        <v>0.17516959361661694</v>
      </c>
      <c r="P18" s="61">
        <f>INDEX('S6-Summary'!$B$18:$U$43,MATCH($C18,'S6-Summary'!$C$18:$C$43,0),MATCH(P$3,'S6-Summary'!$B$17:$U$17,0))</f>
        <v>19</v>
      </c>
      <c r="Q18" s="34"/>
    </row>
    <row r="19" spans="2:17" ht="33.75" x14ac:dyDescent="0.25">
      <c r="B19" s="11">
        <v>5</v>
      </c>
      <c r="C19" s="9" t="s">
        <v>33</v>
      </c>
      <c r="D19" s="11" t="s">
        <v>1</v>
      </c>
      <c r="E19" s="11" t="s">
        <v>26</v>
      </c>
      <c r="F19" s="11" t="s">
        <v>35</v>
      </c>
      <c r="G19" s="11" t="s">
        <v>20</v>
      </c>
      <c r="H19" s="11" t="s">
        <v>36</v>
      </c>
      <c r="I19" s="41"/>
      <c r="J19" s="82">
        <v>0</v>
      </c>
      <c r="K19" s="82">
        <v>1.8</v>
      </c>
      <c r="L19" s="82">
        <v>7.2</v>
      </c>
      <c r="M19" s="44">
        <f>SUM(I19:L19)</f>
        <v>9</v>
      </c>
      <c r="N19" s="43">
        <f>INDEX('S6-Summary'!$B$18:$U$43,MATCH($C19,'S6-Summary'!$C$18:$C$43,0),MATCH(N$3,'S6-Summary'!$B$17:$U$17,0))</f>
        <v>26.334972555837133</v>
      </c>
      <c r="O19" s="62">
        <f>INDEX('S6-Summary'!$B$18:$U$43,MATCH($C19,'S6-Summary'!$C$18:$C$43,0),MATCH(O$3,'S6-Summary'!$B$17:$U$17,0))</f>
        <v>0.2011</v>
      </c>
      <c r="P19" s="61">
        <f>INDEX('S6-Summary'!$B$18:$U$43,MATCH($C19,'S6-Summary'!$C$18:$C$43,0),MATCH(P$3,'S6-Summary'!$B$17:$U$17,0))</f>
        <v>17</v>
      </c>
      <c r="Q19" s="48" t="s">
        <v>135</v>
      </c>
    </row>
    <row r="20" spans="2:17" ht="25.5" x14ac:dyDescent="0.25">
      <c r="B20" s="95">
        <v>6</v>
      </c>
      <c r="C20" s="9" t="s">
        <v>53</v>
      </c>
      <c r="D20" s="11" t="s">
        <v>1</v>
      </c>
      <c r="E20" s="11" t="s">
        <v>18</v>
      </c>
      <c r="F20" s="11" t="s">
        <v>35</v>
      </c>
      <c r="G20" s="11" t="s">
        <v>20</v>
      </c>
      <c r="H20" s="11" t="s">
        <v>36</v>
      </c>
      <c r="I20" s="12"/>
      <c r="J20" s="81">
        <f>0.146666666666667-0.046</f>
        <v>0.100666666666667</v>
      </c>
      <c r="K20" s="81">
        <f>0.146666666666667-0.046</f>
        <v>0.100666666666667</v>
      </c>
      <c r="L20" s="81">
        <f>0.146666666666667-0.046</f>
        <v>0.100666666666667</v>
      </c>
      <c r="M20" s="32">
        <f>SUM(I20:L20)</f>
        <v>0.30200000000000099</v>
      </c>
      <c r="N20" s="43">
        <f>INDEX('S6-Summary'!$B$18:$U$43,MATCH($C20,'S6-Summary'!$C$18:$C$43,0),MATCH(N$3,'S6-Summary'!$B$17:$U$17,0))</f>
        <v>16.132658183982102</v>
      </c>
      <c r="O20" s="62">
        <f>INDEX('S6-Summary'!$B$18:$U$43,MATCH($C20,'S6-Summary'!$C$18:$C$43,0),MATCH(O$3,'S6-Summary'!$B$17:$U$17,0))</f>
        <v>0.1946</v>
      </c>
      <c r="P20" s="61">
        <f>INDEX('S6-Summary'!$B$18:$U$43,MATCH($C20,'S6-Summary'!$C$18:$C$43,0),MATCH(P$3,'S6-Summary'!$B$17:$U$17,0))</f>
        <v>20</v>
      </c>
      <c r="Q20" s="34"/>
    </row>
    <row r="21" spans="2:17" ht="33.75" x14ac:dyDescent="0.25">
      <c r="B21" s="95"/>
      <c r="C21" s="9" t="s">
        <v>51</v>
      </c>
      <c r="D21" s="11" t="s">
        <v>1</v>
      </c>
      <c r="E21" s="11" t="s">
        <v>18</v>
      </c>
      <c r="F21" s="11" t="s">
        <v>35</v>
      </c>
      <c r="G21" s="11" t="s">
        <v>20</v>
      </c>
      <c r="H21" s="11" t="s">
        <v>36</v>
      </c>
      <c r="I21" s="12"/>
      <c r="J21" s="81">
        <f>1.145+0.055</f>
        <v>1.2</v>
      </c>
      <c r="K21" s="81">
        <f>1.165+0.135</f>
        <v>1.3</v>
      </c>
      <c r="L21" s="81">
        <f>1.185+0.115</f>
        <v>1.3</v>
      </c>
      <c r="M21" s="32">
        <f>SUM(I21:L21)</f>
        <v>3.8</v>
      </c>
      <c r="N21" s="43">
        <f>INDEX('S6-Summary'!$B$18:$U$43,MATCH($C21,'S6-Summary'!$C$18:$C$43,0),MATCH(N$3,'S6-Summary'!$B$17:$U$17,0))</f>
        <v>13.920828306662617</v>
      </c>
      <c r="O21" s="62">
        <f>INDEX('S6-Summary'!$B$18:$U$43,MATCH($C21,'S6-Summary'!$C$18:$C$43,0),MATCH(O$3,'S6-Summary'!$B$17:$U$17,0))</f>
        <v>0.17699999999999999</v>
      </c>
      <c r="P21" s="61">
        <f>INDEX('S6-Summary'!$B$18:$U$43,MATCH($C21,'S6-Summary'!$C$18:$C$43,0),MATCH(P$3,'S6-Summary'!$B$17:$U$17,0))</f>
        <v>19</v>
      </c>
      <c r="Q21" s="48" t="s">
        <v>134</v>
      </c>
    </row>
    <row r="22" spans="2:17" x14ac:dyDescent="0.25">
      <c r="F22" s="94" t="s">
        <v>122</v>
      </c>
      <c r="G22" s="94"/>
      <c r="H22" s="94"/>
      <c r="I22" s="94"/>
      <c r="J22" s="94"/>
      <c r="K22" s="94"/>
      <c r="L22" s="94"/>
      <c r="M22" s="39">
        <f>SUM(M18:M21)</f>
        <v>25.60400000000001</v>
      </c>
      <c r="N22" s="39"/>
      <c r="O22" s="39"/>
      <c r="P22" s="39"/>
      <c r="Q22" s="40"/>
    </row>
  </sheetData>
  <mergeCells count="6">
    <mergeCell ref="F22:L22"/>
    <mergeCell ref="B20:B21"/>
    <mergeCell ref="B9:B10"/>
    <mergeCell ref="C2:P2"/>
    <mergeCell ref="C16:P16"/>
    <mergeCell ref="F14:L14"/>
  </mergeCells>
  <pageMargins left="0.7" right="0.7" top="0.75" bottom="0.75" header="0.3" footer="0.3"/>
  <pageSetup orientation="portrait" r:id="rId1"/>
  <headerFooter>
    <oddHeader>&amp;LAppendix D-2: DER Preferred Portfolio Selection&amp;RClean Energy Implementation Plan</oddHeader>
    <oddFooter>&amp;LDECEMBER 17, 2021&amp;C&amp;P of &amp;N&amp;RPuget Sound Energy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1"/>
  <sheetViews>
    <sheetView workbookViewId="0">
      <selection activeCell="D20" sqref="D20"/>
    </sheetView>
  </sheetViews>
  <sheetFormatPr defaultColWidth="10.7109375" defaultRowHeight="12.75" outlineLevelCol="1" x14ac:dyDescent="0.25"/>
  <cols>
    <col min="1" max="1" width="2.7109375" style="1" customWidth="1"/>
    <col min="2" max="2" width="8.7109375" style="1" customWidth="1"/>
    <col min="3" max="3" width="40.7109375" style="1" customWidth="1"/>
    <col min="4" max="4" width="15.7109375" style="1" customWidth="1"/>
    <col min="5" max="5" width="10.7109375" style="1"/>
    <col min="6" max="6" width="10.7109375" style="1" customWidth="1"/>
    <col min="7" max="7" width="10.7109375" style="1" hidden="1" customWidth="1" outlineLevel="1"/>
    <col min="8" max="8" width="2.7109375" style="1" customWidth="1" collapsed="1"/>
    <col min="9" max="12" width="10.7109375" style="1" customWidth="1"/>
    <col min="13" max="14" width="10.7109375" style="1" hidden="1" customWidth="1" outlineLevel="1"/>
    <col min="15" max="15" width="2.7109375" style="1" customWidth="1" collapsed="1"/>
    <col min="16" max="16" width="10.7109375" style="1" customWidth="1"/>
    <col min="17" max="17" width="2.7109375" style="1" customWidth="1"/>
    <col min="18" max="16384" width="10.7109375" style="1"/>
  </cols>
  <sheetData>
    <row r="1" spans="1:16" x14ac:dyDescent="0.25">
      <c r="B1" s="30" t="s">
        <v>143</v>
      </c>
      <c r="C1" s="72" t="s">
        <v>203</v>
      </c>
    </row>
    <row r="2" spans="1:16" x14ac:dyDescent="0.25">
      <c r="B2" s="17" t="s">
        <v>4</v>
      </c>
      <c r="C2" s="52" t="s">
        <v>150</v>
      </c>
    </row>
    <row r="3" spans="1:16" x14ac:dyDescent="0.25">
      <c r="B3" s="17" t="s">
        <v>146</v>
      </c>
      <c r="C3" s="52" t="s">
        <v>151</v>
      </c>
    </row>
    <row r="4" spans="1:16" x14ac:dyDescent="0.25">
      <c r="B4" s="17" t="s">
        <v>147</v>
      </c>
      <c r="C4" s="52" t="s">
        <v>152</v>
      </c>
    </row>
    <row r="5" spans="1:16" x14ac:dyDescent="0.25">
      <c r="B5" s="17" t="s">
        <v>149</v>
      </c>
      <c r="C5" s="52" t="s">
        <v>157</v>
      </c>
    </row>
    <row r="6" spans="1:16" x14ac:dyDescent="0.25">
      <c r="B6" s="17" t="s">
        <v>153</v>
      </c>
      <c r="C6" s="52" t="s">
        <v>154</v>
      </c>
    </row>
    <row r="7" spans="1:16" x14ac:dyDescent="0.25">
      <c r="B7" s="80" t="s">
        <v>182</v>
      </c>
      <c r="C7" s="52" t="s">
        <v>183</v>
      </c>
    </row>
    <row r="8" spans="1:16" x14ac:dyDescent="0.25">
      <c r="B8" s="79" t="s">
        <v>182</v>
      </c>
      <c r="C8" s="52" t="s">
        <v>165</v>
      </c>
    </row>
    <row r="9" spans="1:16" x14ac:dyDescent="0.25">
      <c r="B9" s="30"/>
      <c r="E9" s="17" t="s">
        <v>4</v>
      </c>
      <c r="F9" s="17" t="s">
        <v>146</v>
      </c>
      <c r="G9" s="17" t="s">
        <v>147</v>
      </c>
      <c r="I9" s="99" t="s">
        <v>163</v>
      </c>
      <c r="J9" s="99"/>
      <c r="K9" s="99"/>
      <c r="L9" s="99"/>
      <c r="M9" s="99"/>
      <c r="N9" s="99"/>
    </row>
    <row r="10" spans="1:16" ht="38.25" x14ac:dyDescent="0.25">
      <c r="B10" s="36" t="s">
        <v>137</v>
      </c>
      <c r="C10" s="36" t="s">
        <v>138</v>
      </c>
      <c r="D10" s="36" t="s">
        <v>139</v>
      </c>
      <c r="E10" s="36" t="s">
        <v>140</v>
      </c>
      <c r="F10" s="36" t="s">
        <v>141</v>
      </c>
      <c r="G10" s="36" t="s">
        <v>142</v>
      </c>
      <c r="I10" s="36" t="s">
        <v>158</v>
      </c>
      <c r="J10" s="36" t="s">
        <v>159</v>
      </c>
      <c r="K10" s="36" t="s">
        <v>160</v>
      </c>
      <c r="L10" s="36" t="s">
        <v>161</v>
      </c>
      <c r="M10" s="36" t="s">
        <v>164</v>
      </c>
      <c r="N10" s="36" t="s">
        <v>162</v>
      </c>
      <c r="P10" s="51" t="s">
        <v>148</v>
      </c>
    </row>
    <row r="11" spans="1:16" x14ac:dyDescent="0.25">
      <c r="B11" s="51">
        <v>11</v>
      </c>
      <c r="C11" s="2" t="s">
        <v>53</v>
      </c>
      <c r="D11" s="51" t="s">
        <v>1</v>
      </c>
      <c r="E11" s="66">
        <v>20</v>
      </c>
      <c r="F11" s="66">
        <v>31</v>
      </c>
      <c r="G11" s="66">
        <v>22</v>
      </c>
      <c r="I11" s="30" t="str">
        <f t="shared" ref="I11:I35" si="0">IF(E11&gt;=E$40,"X","")</f>
        <v>X</v>
      </c>
      <c r="J11" s="30" t="str">
        <f t="shared" ref="J11:J35" si="1">IF(E11&gt;=E$39,"X","")</f>
        <v>X</v>
      </c>
      <c r="K11" s="30" t="str">
        <f t="shared" ref="K11:K35" si="2">IF(F11&gt;=F$40,"X","")</f>
        <v>X</v>
      </c>
      <c r="L11" s="30" t="str">
        <f t="shared" ref="L11:L35" si="3">IF(F11&gt;=F$39,"X","")</f>
        <v>X</v>
      </c>
      <c r="M11" s="30" t="str">
        <f t="shared" ref="M11:M35" si="4">IF(G11&gt;=G$40,"X","")</f>
        <v>X</v>
      </c>
      <c r="N11" s="30" t="str">
        <f t="shared" ref="N11:N35" si="5">IF(G11&gt;=G$39,"X","")</f>
        <v>X</v>
      </c>
      <c r="P11" s="78" t="s">
        <v>182</v>
      </c>
    </row>
    <row r="12" spans="1:16" x14ac:dyDescent="0.25">
      <c r="B12" s="51">
        <v>21</v>
      </c>
      <c r="C12" s="2" t="s">
        <v>77</v>
      </c>
      <c r="D12" s="51" t="s">
        <v>2</v>
      </c>
      <c r="E12" s="66">
        <v>19</v>
      </c>
      <c r="F12" s="66">
        <v>30</v>
      </c>
      <c r="G12" s="66">
        <v>22</v>
      </c>
      <c r="I12" s="30" t="str">
        <f t="shared" si="0"/>
        <v>X</v>
      </c>
      <c r="J12" s="30" t="str">
        <f t="shared" si="1"/>
        <v>X</v>
      </c>
      <c r="K12" s="30" t="str">
        <f t="shared" si="2"/>
        <v>X</v>
      </c>
      <c r="L12" s="30" t="str">
        <f t="shared" si="3"/>
        <v>X</v>
      </c>
      <c r="M12" s="30" t="str">
        <f t="shared" si="4"/>
        <v>X</v>
      </c>
      <c r="N12" s="30" t="str">
        <f t="shared" si="5"/>
        <v>X</v>
      </c>
      <c r="P12" s="78" t="s">
        <v>182</v>
      </c>
    </row>
    <row r="13" spans="1:16" x14ac:dyDescent="0.25">
      <c r="A13" s="17" t="s">
        <v>149</v>
      </c>
      <c r="B13" s="51">
        <v>21</v>
      </c>
      <c r="C13" s="2" t="s">
        <v>77</v>
      </c>
      <c r="D13" s="51" t="s">
        <v>2</v>
      </c>
      <c r="E13" s="70">
        <v>19</v>
      </c>
      <c r="F13" s="70">
        <v>30</v>
      </c>
      <c r="G13" s="70">
        <v>22</v>
      </c>
      <c r="I13" s="30" t="str">
        <f t="shared" si="0"/>
        <v>X</v>
      </c>
      <c r="J13" s="30" t="str">
        <f t="shared" si="1"/>
        <v>X</v>
      </c>
      <c r="K13" s="30" t="str">
        <f t="shared" si="2"/>
        <v>X</v>
      </c>
      <c r="L13" s="30" t="str">
        <f t="shared" si="3"/>
        <v>X</v>
      </c>
      <c r="M13" s="30" t="str">
        <f t="shared" si="4"/>
        <v>X</v>
      </c>
      <c r="N13" s="30" t="str">
        <f t="shared" si="5"/>
        <v>X</v>
      </c>
      <c r="P13" s="78" t="s">
        <v>182</v>
      </c>
    </row>
    <row r="14" spans="1:16" x14ac:dyDescent="0.25">
      <c r="B14" s="51">
        <v>10</v>
      </c>
      <c r="C14" s="2" t="s">
        <v>51</v>
      </c>
      <c r="D14" s="51" t="s">
        <v>1</v>
      </c>
      <c r="E14" s="66">
        <v>19</v>
      </c>
      <c r="F14" s="66">
        <v>30</v>
      </c>
      <c r="G14" s="66">
        <v>22</v>
      </c>
      <c r="I14" s="30" t="str">
        <f t="shared" si="0"/>
        <v>X</v>
      </c>
      <c r="J14" s="30" t="str">
        <f t="shared" si="1"/>
        <v>X</v>
      </c>
      <c r="K14" s="30" t="str">
        <f t="shared" si="2"/>
        <v>X</v>
      </c>
      <c r="L14" s="30" t="str">
        <f t="shared" si="3"/>
        <v>X</v>
      </c>
      <c r="M14" s="30" t="str">
        <f t="shared" si="4"/>
        <v>X</v>
      </c>
      <c r="N14" s="30" t="str">
        <f t="shared" si="5"/>
        <v>X</v>
      </c>
      <c r="P14" s="78" t="s">
        <v>182</v>
      </c>
    </row>
    <row r="15" spans="1:16" x14ac:dyDescent="0.25">
      <c r="B15" s="51">
        <v>4</v>
      </c>
      <c r="C15" s="2" t="s">
        <v>33</v>
      </c>
      <c r="D15" s="51" t="s">
        <v>1</v>
      </c>
      <c r="E15" s="66">
        <v>17</v>
      </c>
      <c r="F15" s="66">
        <v>27</v>
      </c>
      <c r="G15" s="66">
        <v>20</v>
      </c>
      <c r="I15" s="30" t="str">
        <f t="shared" si="0"/>
        <v>X</v>
      </c>
      <c r="J15" s="30" t="str">
        <f t="shared" si="1"/>
        <v>X</v>
      </c>
      <c r="K15" s="30" t="str">
        <f t="shared" si="2"/>
        <v>X</v>
      </c>
      <c r="L15" s="30" t="str">
        <f t="shared" si="3"/>
        <v>X</v>
      </c>
      <c r="M15" s="30" t="str">
        <f t="shared" si="4"/>
        <v>X</v>
      </c>
      <c r="N15" s="30" t="str">
        <f t="shared" si="5"/>
        <v>X</v>
      </c>
      <c r="P15" s="78" t="s">
        <v>182</v>
      </c>
    </row>
    <row r="16" spans="1:16" x14ac:dyDescent="0.25">
      <c r="B16" s="51">
        <v>23</v>
      </c>
      <c r="C16" s="2" t="s">
        <v>81</v>
      </c>
      <c r="D16" s="51" t="s">
        <v>0</v>
      </c>
      <c r="E16" s="66">
        <v>17</v>
      </c>
      <c r="F16" s="66">
        <v>27</v>
      </c>
      <c r="G16" s="66">
        <v>20</v>
      </c>
      <c r="I16" s="30" t="str">
        <f t="shared" si="0"/>
        <v>X</v>
      </c>
      <c r="J16" s="30" t="str">
        <f t="shared" si="1"/>
        <v>X</v>
      </c>
      <c r="K16" s="30" t="str">
        <f t="shared" si="2"/>
        <v>X</v>
      </c>
      <c r="L16" s="30" t="str">
        <f t="shared" si="3"/>
        <v>X</v>
      </c>
      <c r="M16" s="30" t="str">
        <f t="shared" si="4"/>
        <v>X</v>
      </c>
      <c r="N16" s="30" t="str">
        <f t="shared" si="5"/>
        <v>X</v>
      </c>
      <c r="P16" s="78" t="s">
        <v>182</v>
      </c>
    </row>
    <row r="17" spans="2:16" x14ac:dyDescent="0.25">
      <c r="B17" s="51">
        <v>5</v>
      </c>
      <c r="C17" s="2" t="s">
        <v>37</v>
      </c>
      <c r="D17" s="51" t="s">
        <v>1</v>
      </c>
      <c r="E17" s="66">
        <v>17</v>
      </c>
      <c r="F17" s="66">
        <v>26</v>
      </c>
      <c r="G17" s="66">
        <v>18</v>
      </c>
      <c r="I17" s="30" t="str">
        <f t="shared" si="0"/>
        <v>X</v>
      </c>
      <c r="J17" s="30" t="str">
        <f t="shared" si="1"/>
        <v>X</v>
      </c>
      <c r="K17" s="30" t="str">
        <f t="shared" si="2"/>
        <v>X</v>
      </c>
      <c r="L17" s="30" t="str">
        <f t="shared" si="3"/>
        <v>X</v>
      </c>
      <c r="M17" s="30" t="str">
        <f t="shared" si="4"/>
        <v>X</v>
      </c>
      <c r="N17" s="30" t="str">
        <f t="shared" si="5"/>
        <v>X</v>
      </c>
      <c r="P17" s="78"/>
    </row>
    <row r="18" spans="2:16" x14ac:dyDescent="0.25">
      <c r="B18" s="51">
        <v>22</v>
      </c>
      <c r="C18" s="2" t="s">
        <v>79</v>
      </c>
      <c r="D18" s="51" t="s">
        <v>0</v>
      </c>
      <c r="E18" s="66">
        <v>16</v>
      </c>
      <c r="F18" s="66">
        <v>26</v>
      </c>
      <c r="G18" s="66">
        <v>20</v>
      </c>
      <c r="I18" s="30" t="str">
        <f t="shared" si="0"/>
        <v>X</v>
      </c>
      <c r="J18" s="30" t="str">
        <f t="shared" si="1"/>
        <v>X</v>
      </c>
      <c r="K18" s="30" t="str">
        <f t="shared" si="2"/>
        <v>X</v>
      </c>
      <c r="L18" s="30" t="str">
        <f t="shared" si="3"/>
        <v>X</v>
      </c>
      <c r="M18" s="30" t="str">
        <f t="shared" si="4"/>
        <v>X</v>
      </c>
      <c r="N18" s="30" t="str">
        <f t="shared" si="5"/>
        <v>X</v>
      </c>
      <c r="P18" s="78"/>
    </row>
    <row r="19" spans="2:16" x14ac:dyDescent="0.25">
      <c r="B19" s="51">
        <v>18</v>
      </c>
      <c r="C19" s="2" t="s">
        <v>69</v>
      </c>
      <c r="D19" s="51" t="s">
        <v>0</v>
      </c>
      <c r="E19" s="66">
        <v>16</v>
      </c>
      <c r="F19" s="66">
        <v>26</v>
      </c>
      <c r="G19" s="66">
        <v>20</v>
      </c>
      <c r="I19" s="30" t="str">
        <f t="shared" si="0"/>
        <v>X</v>
      </c>
      <c r="J19" s="30" t="str">
        <f t="shared" si="1"/>
        <v>X</v>
      </c>
      <c r="K19" s="30" t="str">
        <f t="shared" si="2"/>
        <v>X</v>
      </c>
      <c r="L19" s="30" t="str">
        <f t="shared" si="3"/>
        <v>X</v>
      </c>
      <c r="M19" s="30" t="str">
        <f t="shared" si="4"/>
        <v>X</v>
      </c>
      <c r="N19" s="30" t="str">
        <f t="shared" si="5"/>
        <v>X</v>
      </c>
      <c r="P19" s="78" t="s">
        <v>182</v>
      </c>
    </row>
    <row r="20" spans="2:16" x14ac:dyDescent="0.25">
      <c r="B20" s="51">
        <v>19</v>
      </c>
      <c r="C20" s="2" t="s">
        <v>71</v>
      </c>
      <c r="D20" s="51" t="s">
        <v>0</v>
      </c>
      <c r="E20" s="66">
        <v>16</v>
      </c>
      <c r="F20" s="66">
        <v>25</v>
      </c>
      <c r="G20" s="66">
        <v>18</v>
      </c>
      <c r="I20" s="30" t="str">
        <f t="shared" si="0"/>
        <v>X</v>
      </c>
      <c r="J20" s="30" t="str">
        <f t="shared" si="1"/>
        <v>X</v>
      </c>
      <c r="K20" s="30" t="str">
        <f t="shared" si="2"/>
        <v>X</v>
      </c>
      <c r="L20" s="30" t="str">
        <f t="shared" si="3"/>
        <v>X</v>
      </c>
      <c r="M20" s="30" t="str">
        <f t="shared" si="4"/>
        <v>X</v>
      </c>
      <c r="N20" s="30" t="str">
        <f t="shared" si="5"/>
        <v>X</v>
      </c>
      <c r="P20" s="79" t="s">
        <v>182</v>
      </c>
    </row>
    <row r="21" spans="2:16" x14ac:dyDescent="0.25">
      <c r="B21" s="51">
        <v>15</v>
      </c>
      <c r="C21" s="2" t="s">
        <v>62</v>
      </c>
      <c r="D21" s="51" t="s">
        <v>0</v>
      </c>
      <c r="E21" s="66">
        <v>16</v>
      </c>
      <c r="F21" s="66">
        <v>25</v>
      </c>
      <c r="G21" s="66">
        <v>18</v>
      </c>
      <c r="I21" s="30" t="str">
        <f t="shared" si="0"/>
        <v>X</v>
      </c>
      <c r="J21" s="30" t="str">
        <f t="shared" si="1"/>
        <v>X</v>
      </c>
      <c r="K21" s="30" t="str">
        <f t="shared" si="2"/>
        <v>X</v>
      </c>
      <c r="L21" s="30" t="str">
        <f t="shared" si="3"/>
        <v>X</v>
      </c>
      <c r="M21" s="30" t="str">
        <f t="shared" si="4"/>
        <v>X</v>
      </c>
      <c r="N21" s="30" t="str">
        <f t="shared" si="5"/>
        <v>X</v>
      </c>
      <c r="P21" s="78" t="s">
        <v>182</v>
      </c>
    </row>
    <row r="22" spans="2:16" x14ac:dyDescent="0.25">
      <c r="B22" s="51">
        <v>17</v>
      </c>
      <c r="C22" s="2" t="s">
        <v>67</v>
      </c>
      <c r="D22" s="51" t="s">
        <v>0</v>
      </c>
      <c r="E22" s="66">
        <v>16</v>
      </c>
      <c r="F22" s="66">
        <v>26</v>
      </c>
      <c r="G22" s="66">
        <v>20</v>
      </c>
      <c r="I22" s="30" t="str">
        <f t="shared" si="0"/>
        <v>X</v>
      </c>
      <c r="J22" s="30" t="str">
        <f t="shared" si="1"/>
        <v>X</v>
      </c>
      <c r="K22" s="30" t="str">
        <f t="shared" si="2"/>
        <v>X</v>
      </c>
      <c r="L22" s="30" t="str">
        <f t="shared" si="3"/>
        <v>X</v>
      </c>
      <c r="M22" s="30" t="str">
        <f t="shared" si="4"/>
        <v>X</v>
      </c>
      <c r="N22" s="30" t="str">
        <f t="shared" si="5"/>
        <v>X</v>
      </c>
      <c r="P22" s="78"/>
    </row>
    <row r="23" spans="2:16" x14ac:dyDescent="0.25">
      <c r="B23" s="51">
        <v>1</v>
      </c>
      <c r="C23" s="2" t="s">
        <v>16</v>
      </c>
      <c r="D23" s="51" t="s">
        <v>1</v>
      </c>
      <c r="E23" s="66">
        <v>16</v>
      </c>
      <c r="F23" s="66">
        <v>25</v>
      </c>
      <c r="G23" s="66">
        <v>18</v>
      </c>
      <c r="I23" s="30" t="str">
        <f t="shared" si="0"/>
        <v>X</v>
      </c>
      <c r="J23" s="30" t="str">
        <f t="shared" si="1"/>
        <v>X</v>
      </c>
      <c r="K23" s="30" t="str">
        <f t="shared" si="2"/>
        <v>X</v>
      </c>
      <c r="L23" s="30" t="str">
        <f t="shared" si="3"/>
        <v>X</v>
      </c>
      <c r="M23" s="30" t="str">
        <f t="shared" si="4"/>
        <v>X</v>
      </c>
      <c r="N23" s="30" t="str">
        <f t="shared" si="5"/>
        <v>X</v>
      </c>
      <c r="P23" s="78" t="s">
        <v>182</v>
      </c>
    </row>
    <row r="24" spans="2:16" x14ac:dyDescent="0.25">
      <c r="B24" s="51">
        <v>20</v>
      </c>
      <c r="C24" s="2" t="s">
        <v>75</v>
      </c>
      <c r="D24" s="51" t="s">
        <v>0</v>
      </c>
      <c r="E24" s="66">
        <v>16</v>
      </c>
      <c r="F24" s="66">
        <v>25</v>
      </c>
      <c r="G24" s="66">
        <v>18</v>
      </c>
      <c r="I24" s="30" t="str">
        <f t="shared" si="0"/>
        <v>X</v>
      </c>
      <c r="J24" s="30" t="str">
        <f t="shared" si="1"/>
        <v>X</v>
      </c>
      <c r="K24" s="30" t="str">
        <f t="shared" si="2"/>
        <v>X</v>
      </c>
      <c r="L24" s="30" t="str">
        <f t="shared" si="3"/>
        <v>X</v>
      </c>
      <c r="M24" s="30" t="str">
        <f t="shared" si="4"/>
        <v>X</v>
      </c>
      <c r="N24" s="30" t="str">
        <f t="shared" si="5"/>
        <v>X</v>
      </c>
      <c r="P24" s="78" t="s">
        <v>182</v>
      </c>
    </row>
    <row r="25" spans="2:16" x14ac:dyDescent="0.25">
      <c r="B25" s="51">
        <v>9</v>
      </c>
      <c r="C25" s="2" t="s">
        <v>49</v>
      </c>
      <c r="D25" s="51" t="s">
        <v>1</v>
      </c>
      <c r="E25" s="66">
        <v>15</v>
      </c>
      <c r="F25" s="66">
        <v>24</v>
      </c>
      <c r="G25" s="66">
        <v>18</v>
      </c>
      <c r="I25" s="30" t="str">
        <f t="shared" si="0"/>
        <v/>
      </c>
      <c r="J25" s="30" t="str">
        <f t="shared" si="1"/>
        <v>X</v>
      </c>
      <c r="K25" s="30" t="str">
        <f t="shared" si="2"/>
        <v/>
      </c>
      <c r="L25" s="30" t="str">
        <f t="shared" si="3"/>
        <v>X</v>
      </c>
      <c r="M25" s="30" t="str">
        <f t="shared" si="4"/>
        <v>X</v>
      </c>
      <c r="N25" s="30" t="str">
        <f t="shared" si="5"/>
        <v>X</v>
      </c>
      <c r="P25" s="78"/>
    </row>
    <row r="26" spans="2:16" x14ac:dyDescent="0.25">
      <c r="B26" s="51">
        <v>16</v>
      </c>
      <c r="C26" s="2" t="s">
        <v>65</v>
      </c>
      <c r="D26" s="51" t="s">
        <v>0</v>
      </c>
      <c r="E26" s="66">
        <v>15</v>
      </c>
      <c r="F26" s="66">
        <v>24</v>
      </c>
      <c r="G26" s="66">
        <v>18</v>
      </c>
      <c r="I26" s="30" t="str">
        <f t="shared" si="0"/>
        <v/>
      </c>
      <c r="J26" s="30" t="str">
        <f t="shared" si="1"/>
        <v>X</v>
      </c>
      <c r="K26" s="30" t="str">
        <f t="shared" si="2"/>
        <v/>
      </c>
      <c r="L26" s="30" t="str">
        <f t="shared" si="3"/>
        <v>X</v>
      </c>
      <c r="M26" s="30" t="str">
        <f t="shared" si="4"/>
        <v>X</v>
      </c>
      <c r="N26" s="30" t="str">
        <f t="shared" si="5"/>
        <v>X</v>
      </c>
      <c r="P26" s="78" t="s">
        <v>182</v>
      </c>
    </row>
    <row r="27" spans="2:16" x14ac:dyDescent="0.25">
      <c r="B27" s="51">
        <v>14</v>
      </c>
      <c r="C27" s="2" t="s">
        <v>60</v>
      </c>
      <c r="D27" s="51" t="s">
        <v>0</v>
      </c>
      <c r="E27" s="66">
        <v>14</v>
      </c>
      <c r="F27" s="66">
        <v>22</v>
      </c>
      <c r="G27" s="66">
        <v>16</v>
      </c>
      <c r="I27" s="30" t="str">
        <f t="shared" si="0"/>
        <v/>
      </c>
      <c r="J27" s="30" t="str">
        <f t="shared" si="1"/>
        <v/>
      </c>
      <c r="K27" s="30" t="str">
        <f t="shared" si="2"/>
        <v/>
      </c>
      <c r="L27" s="30" t="str">
        <f t="shared" si="3"/>
        <v/>
      </c>
      <c r="M27" s="30" t="str">
        <f t="shared" si="4"/>
        <v/>
      </c>
      <c r="N27" s="30" t="str">
        <f t="shared" si="5"/>
        <v/>
      </c>
      <c r="P27" s="79" t="s">
        <v>182</v>
      </c>
    </row>
    <row r="28" spans="2:16" x14ac:dyDescent="0.25">
      <c r="B28" s="51">
        <v>2</v>
      </c>
      <c r="C28" s="2" t="s">
        <v>24</v>
      </c>
      <c r="D28" s="51" t="s">
        <v>1</v>
      </c>
      <c r="E28" s="66">
        <v>14</v>
      </c>
      <c r="F28" s="66">
        <v>21</v>
      </c>
      <c r="G28" s="66">
        <v>14</v>
      </c>
      <c r="I28" s="30" t="str">
        <f t="shared" si="0"/>
        <v/>
      </c>
      <c r="J28" s="30" t="str">
        <f t="shared" si="1"/>
        <v/>
      </c>
      <c r="K28" s="30" t="str">
        <f t="shared" si="2"/>
        <v/>
      </c>
      <c r="L28" s="30" t="str">
        <f t="shared" si="3"/>
        <v/>
      </c>
      <c r="M28" s="30" t="str">
        <f t="shared" si="4"/>
        <v/>
      </c>
      <c r="N28" s="30" t="str">
        <f t="shared" si="5"/>
        <v/>
      </c>
      <c r="P28" s="78"/>
    </row>
    <row r="29" spans="2:16" x14ac:dyDescent="0.25">
      <c r="B29" s="51">
        <v>8</v>
      </c>
      <c r="C29" s="2" t="s">
        <v>47</v>
      </c>
      <c r="D29" s="51" t="s">
        <v>1</v>
      </c>
      <c r="E29" s="66">
        <v>14</v>
      </c>
      <c r="F29" s="66">
        <v>21</v>
      </c>
      <c r="G29" s="66">
        <v>14</v>
      </c>
      <c r="I29" s="30" t="str">
        <f t="shared" si="0"/>
        <v/>
      </c>
      <c r="J29" s="30" t="str">
        <f t="shared" si="1"/>
        <v/>
      </c>
      <c r="K29" s="30" t="str">
        <f t="shared" si="2"/>
        <v/>
      </c>
      <c r="L29" s="30" t="str">
        <f t="shared" si="3"/>
        <v/>
      </c>
      <c r="M29" s="30" t="str">
        <f t="shared" si="4"/>
        <v/>
      </c>
      <c r="N29" s="30" t="str">
        <f t="shared" si="5"/>
        <v/>
      </c>
      <c r="P29" s="78"/>
    </row>
    <row r="30" spans="2:16" x14ac:dyDescent="0.25">
      <c r="B30" s="51">
        <v>24</v>
      </c>
      <c r="C30" s="2" t="s">
        <v>83</v>
      </c>
      <c r="D30" s="51" t="s">
        <v>1</v>
      </c>
      <c r="E30" s="66">
        <v>13</v>
      </c>
      <c r="F30" s="66">
        <v>21</v>
      </c>
      <c r="G30" s="66">
        <v>16</v>
      </c>
      <c r="I30" s="30" t="str">
        <f t="shared" si="0"/>
        <v/>
      </c>
      <c r="J30" s="30" t="str">
        <f t="shared" si="1"/>
        <v/>
      </c>
      <c r="K30" s="30" t="str">
        <f t="shared" si="2"/>
        <v/>
      </c>
      <c r="L30" s="30" t="str">
        <f t="shared" si="3"/>
        <v/>
      </c>
      <c r="M30" s="30" t="str">
        <f t="shared" si="4"/>
        <v/>
      </c>
      <c r="N30" s="30" t="str">
        <f t="shared" si="5"/>
        <v/>
      </c>
      <c r="P30" s="78"/>
    </row>
    <row r="31" spans="2:16" x14ac:dyDescent="0.25">
      <c r="B31" s="51">
        <v>3</v>
      </c>
      <c r="C31" s="2" t="s">
        <v>29</v>
      </c>
      <c r="D31" s="51" t="s">
        <v>1</v>
      </c>
      <c r="E31" s="66">
        <v>13</v>
      </c>
      <c r="F31" s="66">
        <v>21</v>
      </c>
      <c r="G31" s="66">
        <v>16</v>
      </c>
      <c r="I31" s="30" t="str">
        <f t="shared" si="0"/>
        <v/>
      </c>
      <c r="J31" s="30" t="str">
        <f t="shared" si="1"/>
        <v/>
      </c>
      <c r="K31" s="30" t="str">
        <f t="shared" si="2"/>
        <v/>
      </c>
      <c r="L31" s="30" t="str">
        <f t="shared" si="3"/>
        <v/>
      </c>
      <c r="M31" s="30" t="str">
        <f t="shared" si="4"/>
        <v/>
      </c>
      <c r="N31" s="30" t="str">
        <f t="shared" si="5"/>
        <v/>
      </c>
      <c r="P31" s="78"/>
    </row>
    <row r="32" spans="2:16" x14ac:dyDescent="0.25">
      <c r="B32" s="51">
        <v>6</v>
      </c>
      <c r="C32" s="2" t="s">
        <v>41</v>
      </c>
      <c r="D32" s="51" t="s">
        <v>1</v>
      </c>
      <c r="E32" s="66">
        <v>12</v>
      </c>
      <c r="F32" s="66">
        <v>18</v>
      </c>
      <c r="G32" s="66">
        <v>12</v>
      </c>
      <c r="I32" s="30" t="str">
        <f t="shared" si="0"/>
        <v/>
      </c>
      <c r="J32" s="30" t="str">
        <f t="shared" si="1"/>
        <v/>
      </c>
      <c r="K32" s="30" t="str">
        <f t="shared" si="2"/>
        <v/>
      </c>
      <c r="L32" s="30" t="str">
        <f t="shared" si="3"/>
        <v/>
      </c>
      <c r="M32" s="30" t="str">
        <f t="shared" si="4"/>
        <v/>
      </c>
      <c r="N32" s="30" t="str">
        <f t="shared" si="5"/>
        <v/>
      </c>
      <c r="P32" s="78"/>
    </row>
    <row r="33" spans="1:16" x14ac:dyDescent="0.25">
      <c r="B33" s="51">
        <v>7</v>
      </c>
      <c r="C33" s="2" t="s">
        <v>44</v>
      </c>
      <c r="D33" s="51" t="s">
        <v>1</v>
      </c>
      <c r="E33" s="66">
        <v>12</v>
      </c>
      <c r="F33" s="66">
        <v>18</v>
      </c>
      <c r="G33" s="66">
        <v>12</v>
      </c>
      <c r="I33" s="30" t="str">
        <f t="shared" si="0"/>
        <v/>
      </c>
      <c r="J33" s="30" t="str">
        <f t="shared" si="1"/>
        <v/>
      </c>
      <c r="K33" s="30" t="str">
        <f t="shared" si="2"/>
        <v/>
      </c>
      <c r="L33" s="30" t="str">
        <f t="shared" si="3"/>
        <v/>
      </c>
      <c r="M33" s="30" t="str">
        <f t="shared" si="4"/>
        <v/>
      </c>
      <c r="N33" s="30" t="str">
        <f t="shared" si="5"/>
        <v/>
      </c>
      <c r="P33" s="78"/>
    </row>
    <row r="34" spans="1:16" x14ac:dyDescent="0.25">
      <c r="B34" s="51">
        <v>12</v>
      </c>
      <c r="C34" s="2" t="s">
        <v>55</v>
      </c>
      <c r="D34" s="51" t="s">
        <v>0</v>
      </c>
      <c r="E34" s="66">
        <v>0</v>
      </c>
      <c r="F34" s="66">
        <v>0</v>
      </c>
      <c r="G34" s="66">
        <v>0</v>
      </c>
      <c r="I34" s="30" t="str">
        <f t="shared" si="0"/>
        <v/>
      </c>
      <c r="J34" s="30" t="str">
        <f t="shared" si="1"/>
        <v/>
      </c>
      <c r="K34" s="30" t="str">
        <f t="shared" si="2"/>
        <v/>
      </c>
      <c r="L34" s="30" t="str">
        <f t="shared" si="3"/>
        <v/>
      </c>
      <c r="M34" s="30" t="str">
        <f t="shared" si="4"/>
        <v/>
      </c>
      <c r="N34" s="30" t="str">
        <f t="shared" si="5"/>
        <v/>
      </c>
      <c r="P34" s="79" t="s">
        <v>182</v>
      </c>
    </row>
    <row r="35" spans="1:16" x14ac:dyDescent="0.25">
      <c r="B35" s="51">
        <v>13</v>
      </c>
      <c r="C35" s="2" t="s">
        <v>58</v>
      </c>
      <c r="D35" s="51" t="s">
        <v>0</v>
      </c>
      <c r="E35" s="66">
        <v>0</v>
      </c>
      <c r="F35" s="66">
        <v>0</v>
      </c>
      <c r="G35" s="66">
        <v>0</v>
      </c>
      <c r="I35" s="30" t="str">
        <f t="shared" si="0"/>
        <v/>
      </c>
      <c r="J35" s="30" t="str">
        <f t="shared" si="1"/>
        <v/>
      </c>
      <c r="K35" s="30" t="str">
        <f t="shared" si="2"/>
        <v/>
      </c>
      <c r="L35" s="30" t="str">
        <f t="shared" si="3"/>
        <v/>
      </c>
      <c r="M35" s="30" t="str">
        <f t="shared" si="4"/>
        <v/>
      </c>
      <c r="N35" s="30" t="str">
        <f t="shared" si="5"/>
        <v/>
      </c>
      <c r="P35" s="79" t="s">
        <v>182</v>
      </c>
    </row>
    <row r="37" spans="1:16" x14ac:dyDescent="0.25">
      <c r="D37" s="29" t="s">
        <v>166</v>
      </c>
      <c r="E37" s="1">
        <f>COUNT(E11:E35)</f>
        <v>25</v>
      </c>
      <c r="F37" s="1">
        <f>COUNT(F11:F35)</f>
        <v>25</v>
      </c>
      <c r="G37" s="1">
        <f>COUNT(G11:G35)</f>
        <v>25</v>
      </c>
    </row>
    <row r="38" spans="1:16" x14ac:dyDescent="0.25">
      <c r="A38" s="17" t="s">
        <v>153</v>
      </c>
      <c r="D38" s="29" t="s">
        <v>145</v>
      </c>
      <c r="E38" s="68">
        <f>AVERAGE(E11:E12,E14:E33)</f>
        <v>15.590909090909092</v>
      </c>
      <c r="F38" s="68">
        <f t="shared" ref="F38:G38" si="6">AVERAGE(F11:F12,F14:F33)</f>
        <v>24.5</v>
      </c>
      <c r="G38" s="68">
        <f t="shared" si="6"/>
        <v>17.818181818181817</v>
      </c>
    </row>
    <row r="39" spans="1:16" x14ac:dyDescent="0.25">
      <c r="A39" s="69"/>
      <c r="D39" s="29" t="s">
        <v>180</v>
      </c>
      <c r="E39" s="68">
        <f>ROUNDDOWN(E$38,0)</f>
        <v>15</v>
      </c>
      <c r="F39" s="68">
        <f t="shared" ref="F39:G39" si="7">ROUNDDOWN(F$38,0)</f>
        <v>24</v>
      </c>
      <c r="G39" s="68">
        <f t="shared" si="7"/>
        <v>17</v>
      </c>
    </row>
    <row r="40" spans="1:16" x14ac:dyDescent="0.25">
      <c r="D40" s="29" t="s">
        <v>90</v>
      </c>
      <c r="E40" s="68">
        <f>MEDIAN(E11:E12,E14:E33)</f>
        <v>16</v>
      </c>
      <c r="F40" s="68">
        <f t="shared" ref="F40:G40" si="8">MEDIAN(F11:F12,F14:F33)</f>
        <v>25</v>
      </c>
      <c r="G40" s="68">
        <f t="shared" si="8"/>
        <v>18</v>
      </c>
    </row>
    <row r="41" spans="1:16" x14ac:dyDescent="0.25">
      <c r="D41" s="29" t="s">
        <v>181</v>
      </c>
      <c r="E41" s="1">
        <f>COUNT(E11:E33)</f>
        <v>23</v>
      </c>
      <c r="F41" s="1">
        <f>COUNT(F11:F33)</f>
        <v>23</v>
      </c>
      <c r="G41" s="1">
        <f>COUNT(G11:G33)</f>
        <v>23</v>
      </c>
      <c r="I41" s="1">
        <f t="shared" ref="I41:N41" si="9">COUNTIF(I$11:I$35,"X")</f>
        <v>14</v>
      </c>
      <c r="J41" s="1">
        <f t="shared" si="9"/>
        <v>16</v>
      </c>
      <c r="K41" s="1">
        <f t="shared" si="9"/>
        <v>14</v>
      </c>
      <c r="L41" s="1">
        <f t="shared" si="9"/>
        <v>16</v>
      </c>
      <c r="M41" s="1">
        <f t="shared" si="9"/>
        <v>16</v>
      </c>
      <c r="N41" s="1">
        <f t="shared" si="9"/>
        <v>16</v>
      </c>
    </row>
  </sheetData>
  <autoFilter ref="B10:P35">
    <sortState ref="B11:Q35">
      <sortCondition descending="1" ref="E10:E35"/>
    </sortState>
  </autoFilter>
  <mergeCells count="1">
    <mergeCell ref="I9:N9"/>
  </mergeCells>
  <hyperlinks>
    <hyperlink ref="C1" r:id="rId1"/>
  </hyperlinks>
  <pageMargins left="0.7" right="0.7" top="0.75" bottom="0.75" header="0.3" footer="0.3"/>
  <pageSetup orientation="portrait" horizontalDpi="90" verticalDpi="90" r:id="rId2"/>
  <headerFooter>
    <oddHeader>&amp;LAppendix D-2: DER Preferred Portfolio Selection&amp;RClean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2021-12-17T08:00:00+00:00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50770-FEFF-4187-8CB6-E7BD5B92C641}"/>
</file>

<file path=customXml/itemProps2.xml><?xml version="1.0" encoding="utf-8"?>
<ds:datastoreItem xmlns:ds="http://schemas.openxmlformats.org/officeDocument/2006/customXml" ds:itemID="{0879402D-0734-4C95-946C-2729D92D5090}"/>
</file>

<file path=customXml/itemProps3.xml><?xml version="1.0" encoding="utf-8"?>
<ds:datastoreItem xmlns:ds="http://schemas.openxmlformats.org/officeDocument/2006/customXml" ds:itemID="{511FD674-3B70-45A3-A335-6968DE192662}"/>
</file>

<file path=customXml/itemProps4.xml><?xml version="1.0" encoding="utf-8"?>
<ds:datastoreItem xmlns:ds="http://schemas.openxmlformats.org/officeDocument/2006/customXml" ds:itemID="{67DCBFBD-1C97-434B-83B4-A4BD6F1CB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DER Concepts</vt:lpstr>
      <vt:lpstr>Approach</vt:lpstr>
      <vt:lpstr>S6-Summary</vt:lpstr>
      <vt:lpstr>S6-Filter-Solar</vt:lpstr>
      <vt:lpstr>S6-Filter-Battery</vt:lpstr>
      <vt:lpstr>S6-Selection</vt:lpstr>
      <vt:lpstr>CBI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2021-12-17T19:16:51Z</dcterms:created>
  <dcterms:modified xsi:type="dcterms:W3CDTF">2021-12-17T19:17:07Z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ocset_NoMedatataSyncRequired">
    <vt:lpwstr>False</vt:lpwstr>
  </property>
  <property fmtid="{D5CDD505-2E9C-101B-9397-08002B2CF9AE}" pid="4" name="IsEFSEC">
    <vt:bool>false</vt:bool>
  </property>
</Properties>
</file>