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20" activeTab="3"/>
  </bookViews>
  <sheets>
    <sheet name="Electric Deferral" sheetId="1" r:id="rId1"/>
    <sheet name="Nat Gas Deferral" sheetId="2" r:id="rId2"/>
    <sheet name="Accounting Balances" sheetId="3" r:id="rId3"/>
    <sheet name="Notes" sheetId="4" r:id="rId4"/>
  </sheets>
  <definedNames>
    <definedName name="_xlnm.Print_Area" localSheetId="2">'Accounting Balances'!$A$1:$H$98</definedName>
    <definedName name="_xlnm.Print_Area" localSheetId="3">Notes!$A$1:$J$28</definedName>
  </definedNames>
  <calcPr calcId="152511" calcMode="manual"/>
</workbook>
</file>

<file path=xl/calcChain.xml><?xml version="1.0" encoding="utf-8"?>
<calcChain xmlns="http://schemas.openxmlformats.org/spreadsheetml/2006/main">
  <c r="H27" i="4" l="1"/>
  <c r="H26" i="4"/>
  <c r="H25" i="4"/>
  <c r="H22" i="4"/>
  <c r="H21" i="4"/>
  <c r="H20" i="4"/>
  <c r="H12" i="4"/>
  <c r="H11" i="4"/>
  <c r="H10" i="4"/>
  <c r="H17" i="4"/>
  <c r="H16" i="4"/>
  <c r="H15" i="4"/>
  <c r="R28" i="2"/>
  <c r="P28" i="2"/>
  <c r="R9" i="2"/>
  <c r="P9" i="2"/>
  <c r="R32" i="1"/>
  <c r="P32" i="1"/>
  <c r="R9" i="1"/>
  <c r="P9" i="1"/>
  <c r="J46" i="3"/>
  <c r="J43" i="3"/>
  <c r="K43" i="3" s="1"/>
  <c r="J44" i="3"/>
  <c r="K44" i="3" s="1"/>
  <c r="J42" i="3"/>
  <c r="K42" i="3" s="1"/>
  <c r="Q28" i="2"/>
  <c r="Q9" i="2"/>
  <c r="S28" i="2"/>
  <c r="S9" i="2"/>
  <c r="Q32" i="1"/>
  <c r="Q9" i="1"/>
  <c r="J47" i="3" l="1"/>
  <c r="K47" i="3" s="1"/>
  <c r="J48" i="3"/>
  <c r="K48" i="3" s="1"/>
  <c r="K46" i="3"/>
  <c r="C53" i="1" l="1"/>
  <c r="C50" i="1"/>
  <c r="D46" i="1"/>
  <c r="E46" i="1" s="1"/>
  <c r="F46" i="1" s="1"/>
  <c r="G46" i="1" s="1"/>
  <c r="H46" i="1" s="1"/>
  <c r="I46" i="1" s="1"/>
  <c r="A38" i="1"/>
  <c r="O34" i="1"/>
  <c r="L34" i="1"/>
  <c r="K34" i="1"/>
  <c r="H34" i="1"/>
  <c r="G34" i="1"/>
  <c r="D34" i="1"/>
  <c r="C34" i="1"/>
  <c r="A34" i="1"/>
  <c r="N34" i="1"/>
  <c r="M34" i="1"/>
  <c r="J34" i="1"/>
  <c r="I34" i="1"/>
  <c r="A33" i="1"/>
  <c r="S32" i="1"/>
  <c r="F34" i="1"/>
  <c r="E34" i="1"/>
  <c r="C27" i="1"/>
  <c r="E23" i="1"/>
  <c r="F23" i="1" s="1"/>
  <c r="G23" i="1" s="1"/>
  <c r="H23" i="1" s="1"/>
  <c r="I23" i="1" s="1"/>
  <c r="C19" i="1"/>
  <c r="C18" i="1"/>
  <c r="F18" i="1"/>
  <c r="E18" i="1"/>
  <c r="E19" i="1" s="1"/>
  <c r="E20" i="1" s="1"/>
  <c r="D18" i="1"/>
  <c r="D19" i="1" s="1"/>
  <c r="M11" i="1"/>
  <c r="L11" i="1"/>
  <c r="I11" i="1"/>
  <c r="H11" i="1"/>
  <c r="E11" i="1"/>
  <c r="O11" i="1"/>
  <c r="N11" i="1"/>
  <c r="K11" i="1"/>
  <c r="J11" i="1"/>
  <c r="G11" i="1"/>
  <c r="A10" i="1"/>
  <c r="F11" i="1"/>
  <c r="E6" i="1"/>
  <c r="F6" i="1" s="1"/>
  <c r="G6" i="1" s="1"/>
  <c r="H6" i="1" s="1"/>
  <c r="I6" i="1" s="1"/>
  <c r="J6" i="1" s="1"/>
  <c r="K6" i="1" s="1"/>
  <c r="L6" i="1" s="1"/>
  <c r="M6" i="1" s="1"/>
  <c r="N6" i="1" s="1"/>
  <c r="O6" i="1" s="1"/>
  <c r="N23" i="1" l="1"/>
  <c r="O23" i="1" s="1"/>
  <c r="J23" i="1"/>
  <c r="K23" i="1" s="1"/>
  <c r="L23" i="1" s="1"/>
  <c r="J46" i="1"/>
  <c r="K46" i="1" s="1"/>
  <c r="L46" i="1" s="1"/>
  <c r="N46" i="1" s="1"/>
  <c r="O46" i="1" s="1"/>
  <c r="Q11" i="1"/>
  <c r="Q10" i="1" s="1"/>
  <c r="P34" i="1"/>
  <c r="P33" i="1" s="1"/>
  <c r="Q34" i="1"/>
  <c r="Q33" i="1" s="1"/>
  <c r="P19" i="1"/>
  <c r="P20" i="1" s="1"/>
  <c r="R34" i="1"/>
  <c r="R33" i="1" s="1"/>
  <c r="R11" i="1"/>
  <c r="D41" i="1"/>
  <c r="D42" i="1" s="1"/>
  <c r="G18" i="1"/>
  <c r="G19" i="1" s="1"/>
  <c r="D11" i="1"/>
  <c r="P11" i="1" s="1"/>
  <c r="P10" i="1" s="1"/>
  <c r="S9" i="1"/>
  <c r="A11" i="1"/>
  <c r="C21" i="1" s="1"/>
  <c r="C11" i="1"/>
  <c r="E21" i="1"/>
  <c r="D20" i="1"/>
  <c r="F19" i="1"/>
  <c r="S34" i="1"/>
  <c r="S33" i="1" s="1"/>
  <c r="A39" i="1"/>
  <c r="G20" i="1" l="1"/>
  <c r="G21" i="1"/>
  <c r="D43" i="1"/>
  <c r="D44" i="1"/>
  <c r="F20" i="1"/>
  <c r="F21" i="1"/>
  <c r="E41" i="1"/>
  <c r="E42" i="1" s="1"/>
  <c r="A40" i="1"/>
  <c r="A41" i="1" s="1"/>
  <c r="H18" i="1"/>
  <c r="H19" i="1" s="1"/>
  <c r="E22" i="1"/>
  <c r="D21" i="1"/>
  <c r="S11" i="1"/>
  <c r="S10" i="1" s="1"/>
  <c r="P42" i="1" l="1"/>
  <c r="P43" i="1" s="1"/>
  <c r="C41" i="1"/>
  <c r="G22" i="1"/>
  <c r="P21" i="1"/>
  <c r="D22" i="1"/>
  <c r="P22" i="1" s="1"/>
  <c r="H20" i="1"/>
  <c r="H21" i="1"/>
  <c r="F41" i="1"/>
  <c r="F42" i="1" s="1"/>
  <c r="I18" i="1"/>
  <c r="I19" i="1" s="1"/>
  <c r="Q19" i="1" s="1"/>
  <c r="Q20" i="1" s="1"/>
  <c r="E43" i="1"/>
  <c r="E44" i="1"/>
  <c r="F22" i="1"/>
  <c r="A42" i="1"/>
  <c r="C44" i="1" s="1"/>
  <c r="C42" i="1"/>
  <c r="D45" i="1"/>
  <c r="D47" i="1" l="1"/>
  <c r="G41" i="1"/>
  <c r="G42" i="1" s="1"/>
  <c r="E45" i="1"/>
  <c r="F43" i="1"/>
  <c r="F44" i="1"/>
  <c r="P44" i="1" s="1"/>
  <c r="I20" i="1"/>
  <c r="I21" i="1"/>
  <c r="Q21" i="1" s="1"/>
  <c r="J18" i="1"/>
  <c r="J19" i="1" s="1"/>
  <c r="H22" i="1"/>
  <c r="D24" i="1"/>
  <c r="D48" i="1" l="1"/>
  <c r="D27" i="1"/>
  <c r="D53" i="1" s="1"/>
  <c r="D50" i="1"/>
  <c r="E47" i="1" s="1"/>
  <c r="K18" i="1"/>
  <c r="K19" i="1" s="1"/>
  <c r="F45" i="1"/>
  <c r="H41" i="1"/>
  <c r="H42" i="1" s="1"/>
  <c r="I22" i="1"/>
  <c r="Q22" i="1" s="1"/>
  <c r="G43" i="1"/>
  <c r="G44" i="1"/>
  <c r="D25" i="1"/>
  <c r="J20" i="1"/>
  <c r="J21" i="1"/>
  <c r="E48" i="1" l="1"/>
  <c r="E50" i="1"/>
  <c r="F47" i="1" s="1"/>
  <c r="P45" i="1"/>
  <c r="E24" i="1"/>
  <c r="E27" i="1" s="1"/>
  <c r="F24" i="1" s="1"/>
  <c r="F27" i="1" s="1"/>
  <c r="I41" i="1"/>
  <c r="I42" i="1" s="1"/>
  <c r="Q42" i="1" s="1"/>
  <c r="Q43" i="1" s="1"/>
  <c r="K20" i="1"/>
  <c r="K21" i="1"/>
  <c r="J22" i="1"/>
  <c r="G45" i="1"/>
  <c r="H43" i="1"/>
  <c r="H44" i="1"/>
  <c r="L18" i="1"/>
  <c r="L19" i="1" s="1"/>
  <c r="R19" i="1" s="1"/>
  <c r="R20" i="1" s="1"/>
  <c r="P47" i="1" l="1"/>
  <c r="F48" i="1"/>
  <c r="F50" i="1"/>
  <c r="G47" i="1" s="1"/>
  <c r="P48" i="1"/>
  <c r="E25" i="1"/>
  <c r="P24" i="1"/>
  <c r="P25" i="1" s="1"/>
  <c r="E53" i="1"/>
  <c r="G24" i="1"/>
  <c r="F53" i="1"/>
  <c r="K22" i="1"/>
  <c r="F25" i="1"/>
  <c r="L20" i="1"/>
  <c r="L21" i="1"/>
  <c r="R21" i="1" s="1"/>
  <c r="J41" i="1"/>
  <c r="J42" i="1" s="1"/>
  <c r="M18" i="1"/>
  <c r="M19" i="1" s="1"/>
  <c r="I43" i="1"/>
  <c r="I44" i="1"/>
  <c r="Q44" i="1" s="1"/>
  <c r="H45" i="1"/>
  <c r="G48" i="1" l="1"/>
  <c r="Q45" i="1"/>
  <c r="G25" i="1"/>
  <c r="G50" i="1"/>
  <c r="H47" i="1" s="1"/>
  <c r="H48" i="1" s="1"/>
  <c r="J43" i="1"/>
  <c r="J44" i="1"/>
  <c r="I45" i="1"/>
  <c r="K41" i="1"/>
  <c r="K42" i="1" s="1"/>
  <c r="M20" i="1"/>
  <c r="M21" i="1"/>
  <c r="N18" i="1"/>
  <c r="N19" i="1" s="1"/>
  <c r="O18" i="1"/>
  <c r="O19" i="1" s="1"/>
  <c r="L22" i="1"/>
  <c r="R22" i="1" s="1"/>
  <c r="G27" i="1"/>
  <c r="H24" i="1" l="1"/>
  <c r="G53" i="1"/>
  <c r="N20" i="1"/>
  <c r="N21" i="1"/>
  <c r="O20" i="1"/>
  <c r="O21" i="1"/>
  <c r="S19" i="1"/>
  <c r="S20" i="1" s="1"/>
  <c r="M22" i="1"/>
  <c r="J45" i="1"/>
  <c r="L41" i="1"/>
  <c r="L42" i="1" s="1"/>
  <c r="R42" i="1" s="1"/>
  <c r="R43" i="1" s="1"/>
  <c r="K43" i="1"/>
  <c r="K44" i="1"/>
  <c r="H50" i="1"/>
  <c r="H27" i="1" l="1"/>
  <c r="K45" i="1"/>
  <c r="N22" i="1"/>
  <c r="M41" i="1"/>
  <c r="M42" i="1" s="1"/>
  <c r="H25" i="1"/>
  <c r="L43" i="1"/>
  <c r="L44" i="1"/>
  <c r="R44" i="1" s="1"/>
  <c r="O22" i="1"/>
  <c r="S21" i="1"/>
  <c r="H53" i="1"/>
  <c r="I24" i="1"/>
  <c r="I25" i="1" s="1"/>
  <c r="I47" i="1"/>
  <c r="Q24" i="1" l="1"/>
  <c r="Q25" i="1" s="1"/>
  <c r="I48" i="1"/>
  <c r="Q47" i="1"/>
  <c r="Q48" i="1" s="1"/>
  <c r="I50" i="1"/>
  <c r="J47" i="1" s="1"/>
  <c r="S22" i="1"/>
  <c r="N41" i="1"/>
  <c r="N42" i="1" s="1"/>
  <c r="O41" i="1"/>
  <c r="O42" i="1" s="1"/>
  <c r="L45" i="1"/>
  <c r="R45" i="1" s="1"/>
  <c r="M43" i="1"/>
  <c r="M44" i="1"/>
  <c r="I27" i="1"/>
  <c r="J48" i="1" l="1"/>
  <c r="J50" i="1"/>
  <c r="K47" i="1" s="1"/>
  <c r="K48" i="1" s="1"/>
  <c r="I53" i="1"/>
  <c r="J24" i="1"/>
  <c r="N43" i="1"/>
  <c r="N44" i="1"/>
  <c r="M45" i="1"/>
  <c r="O43" i="1"/>
  <c r="O44" i="1"/>
  <c r="S42" i="1"/>
  <c r="S43" i="1" s="1"/>
  <c r="J27" i="1" l="1"/>
  <c r="O45" i="1"/>
  <c r="S44" i="1"/>
  <c r="K24" i="1"/>
  <c r="K25" i="1" s="1"/>
  <c r="J53" i="1"/>
  <c r="N45" i="1"/>
  <c r="J25" i="1"/>
  <c r="K50" i="1"/>
  <c r="S45" i="1" l="1"/>
  <c r="K27" i="1"/>
  <c r="K53" i="1" s="1"/>
  <c r="L47" i="1"/>
  <c r="L48" i="1" l="1"/>
  <c r="R47" i="1"/>
  <c r="R48" i="1" s="1"/>
  <c r="L50" i="1"/>
  <c r="M47" i="1" s="1"/>
  <c r="M48" i="1" s="1"/>
  <c r="L24" i="1"/>
  <c r="L25" i="1" l="1"/>
  <c r="R24" i="1"/>
  <c r="R25" i="1" s="1"/>
  <c r="L27" i="1"/>
  <c r="M24" i="1" s="1"/>
  <c r="M25" i="1" s="1"/>
  <c r="M50" i="1"/>
  <c r="L53" i="1" l="1"/>
  <c r="M27" i="1"/>
  <c r="N24" i="1" s="1"/>
  <c r="N25" i="1" s="1"/>
  <c r="N47" i="1"/>
  <c r="N48" i="1" s="1"/>
  <c r="N50" i="1" l="1"/>
  <c r="O47" i="1" s="1"/>
  <c r="M53" i="1"/>
  <c r="N27" i="1"/>
  <c r="O24" i="1" s="1"/>
  <c r="O27" i="1" s="1"/>
  <c r="N53" i="1" l="1"/>
  <c r="S24" i="1"/>
  <c r="S25" i="1" s="1"/>
  <c r="O25" i="1"/>
  <c r="S47" i="1"/>
  <c r="S48" i="1" s="1"/>
  <c r="O48" i="1"/>
  <c r="O50" i="1"/>
  <c r="O53" i="1" s="1"/>
  <c r="F16" i="2" l="1"/>
  <c r="C44" i="2"/>
  <c r="C42" i="2"/>
  <c r="E38" i="2"/>
  <c r="F38" i="2" s="1"/>
  <c r="G38" i="2" s="1"/>
  <c r="H38" i="2" s="1"/>
  <c r="I38" i="2" s="1"/>
  <c r="C36" i="2"/>
  <c r="O34" i="2"/>
  <c r="O35" i="2" s="1"/>
  <c r="N34" i="2"/>
  <c r="N35" i="2" s="1"/>
  <c r="M34" i="2"/>
  <c r="M35" i="2" s="1"/>
  <c r="L34" i="2"/>
  <c r="L35" i="2" s="1"/>
  <c r="K34" i="2"/>
  <c r="K35" i="2" s="1"/>
  <c r="J34" i="2"/>
  <c r="I34" i="2"/>
  <c r="I35" i="2" s="1"/>
  <c r="H34" i="2"/>
  <c r="H35" i="2" s="1"/>
  <c r="G34" i="2"/>
  <c r="C34" i="2"/>
  <c r="D34" i="2"/>
  <c r="P34" i="2" s="1"/>
  <c r="P35" i="2" s="1"/>
  <c r="F34" i="2"/>
  <c r="F35" i="2" s="1"/>
  <c r="E34" i="2"/>
  <c r="E35" i="2" s="1"/>
  <c r="O30" i="2"/>
  <c r="O36" i="2" s="1"/>
  <c r="N30" i="2"/>
  <c r="N36" i="2" s="1"/>
  <c r="L30" i="2"/>
  <c r="L36" i="2" s="1"/>
  <c r="K30" i="2"/>
  <c r="K36" i="2" s="1"/>
  <c r="J30" i="2"/>
  <c r="H30" i="2"/>
  <c r="G30" i="2"/>
  <c r="C30" i="2"/>
  <c r="M30" i="2"/>
  <c r="I30" i="2"/>
  <c r="I36" i="2" s="1"/>
  <c r="F30" i="2"/>
  <c r="F36" i="2" s="1"/>
  <c r="E30" i="2"/>
  <c r="E36" i="2" s="1"/>
  <c r="D30" i="2"/>
  <c r="C23" i="2"/>
  <c r="F19" i="2"/>
  <c r="G19" i="2" s="1"/>
  <c r="H19" i="2" s="1"/>
  <c r="I19" i="2" s="1"/>
  <c r="E19" i="2"/>
  <c r="O15" i="2"/>
  <c r="O16" i="2" s="1"/>
  <c r="N15" i="2"/>
  <c r="N16" i="2" s="1"/>
  <c r="M15" i="2"/>
  <c r="M16" i="2" s="1"/>
  <c r="L15" i="2"/>
  <c r="L16" i="2" s="1"/>
  <c r="K15" i="2"/>
  <c r="K16" i="2" s="1"/>
  <c r="J15" i="2"/>
  <c r="I15" i="2"/>
  <c r="I16" i="2" s="1"/>
  <c r="H15" i="2"/>
  <c r="H16" i="2" s="1"/>
  <c r="G15" i="2"/>
  <c r="C15" i="2"/>
  <c r="F15" i="2"/>
  <c r="E15" i="2"/>
  <c r="E16" i="2" s="1"/>
  <c r="D15" i="2"/>
  <c r="P15" i="2" s="1"/>
  <c r="P16" i="2" s="1"/>
  <c r="O11" i="2"/>
  <c r="N11" i="2"/>
  <c r="N17" i="2" s="1"/>
  <c r="K11" i="2"/>
  <c r="J11" i="2"/>
  <c r="G11" i="2"/>
  <c r="F11" i="2"/>
  <c r="F17" i="2" s="1"/>
  <c r="A11" i="2"/>
  <c r="C17" i="2" s="1"/>
  <c r="M11" i="2"/>
  <c r="M17" i="2" s="1"/>
  <c r="L11" i="2"/>
  <c r="L17" i="2" s="1"/>
  <c r="I11" i="2"/>
  <c r="H11" i="2"/>
  <c r="H17" i="2" s="1"/>
  <c r="A10" i="2"/>
  <c r="C11" i="2" s="1"/>
  <c r="E11" i="2"/>
  <c r="D11" i="2"/>
  <c r="E6" i="2"/>
  <c r="F6" i="2" s="1"/>
  <c r="G6" i="2" s="1"/>
  <c r="H6" i="2" s="1"/>
  <c r="I6" i="2" s="1"/>
  <c r="J6" i="2" s="1"/>
  <c r="K6" i="2" s="1"/>
  <c r="L6" i="2" s="1"/>
  <c r="M6" i="2" s="1"/>
  <c r="N6" i="2" s="1"/>
  <c r="O6" i="2" s="1"/>
  <c r="J38" i="2" l="1"/>
  <c r="K38" i="2" s="1"/>
  <c r="L38" i="2" s="1"/>
  <c r="N38" i="2" s="1"/>
  <c r="O38" i="2" s="1"/>
  <c r="J19" i="2"/>
  <c r="K19" i="2" s="1"/>
  <c r="L19" i="2" s="1"/>
  <c r="N19" i="2" s="1"/>
  <c r="O19" i="2" s="1"/>
  <c r="P11" i="2"/>
  <c r="P10" i="2" s="1"/>
  <c r="K17" i="2"/>
  <c r="P30" i="2"/>
  <c r="P29" i="2" s="1"/>
  <c r="M36" i="2"/>
  <c r="G16" i="2"/>
  <c r="Q15" i="2"/>
  <c r="Q16" i="2" s="1"/>
  <c r="G35" i="2"/>
  <c r="Q34" i="2"/>
  <c r="Q35" i="2" s="1"/>
  <c r="Q11" i="2"/>
  <c r="Q10" i="2" s="1"/>
  <c r="O17" i="2"/>
  <c r="G36" i="2"/>
  <c r="Q36" i="2" s="1"/>
  <c r="Q30" i="2"/>
  <c r="Q29" i="2" s="1"/>
  <c r="R34" i="2"/>
  <c r="R35" i="2" s="1"/>
  <c r="J35" i="2"/>
  <c r="J36" i="2"/>
  <c r="R36" i="2" s="1"/>
  <c r="R30" i="2"/>
  <c r="R29" i="2" s="1"/>
  <c r="J16" i="2"/>
  <c r="R15" i="2"/>
  <c r="R16" i="2" s="1"/>
  <c r="J17" i="2"/>
  <c r="R11" i="2"/>
  <c r="R10" i="2" s="1"/>
  <c r="H36" i="2"/>
  <c r="H37" i="2" s="1"/>
  <c r="G17" i="2"/>
  <c r="Q17" i="2" s="1"/>
  <c r="I17" i="2"/>
  <c r="E17" i="2"/>
  <c r="E18" i="2" s="1"/>
  <c r="O18" i="2"/>
  <c r="F18" i="2"/>
  <c r="N18" i="2"/>
  <c r="F37" i="2"/>
  <c r="J37" i="2"/>
  <c r="D35" i="2"/>
  <c r="S34" i="2"/>
  <c r="S35" i="2" s="1"/>
  <c r="I18" i="2"/>
  <c r="M18" i="2"/>
  <c r="K18" i="2"/>
  <c r="E37" i="2"/>
  <c r="N37" i="2"/>
  <c r="D17" i="2"/>
  <c r="S11" i="2"/>
  <c r="S10" i="2" s="1"/>
  <c r="H18" i="2"/>
  <c r="L18" i="2"/>
  <c r="S15" i="2"/>
  <c r="S16" i="2" s="1"/>
  <c r="D16" i="2"/>
  <c r="D36" i="2"/>
  <c r="P36" i="2" s="1"/>
  <c r="S30" i="2"/>
  <c r="S29" i="2" s="1"/>
  <c r="I37" i="2"/>
  <c r="M37" i="2"/>
  <c r="L37" i="2"/>
  <c r="G37" i="2"/>
  <c r="Q37" i="2" s="1"/>
  <c r="K37" i="2"/>
  <c r="O37" i="2"/>
  <c r="P17" i="2" l="1"/>
  <c r="R17" i="2"/>
  <c r="G18" i="2"/>
  <c r="Q18" i="2" s="1"/>
  <c r="R37" i="2"/>
  <c r="J18" i="2"/>
  <c r="R18" i="2" s="1"/>
  <c r="S17" i="2"/>
  <c r="D18" i="2"/>
  <c r="P18" i="2" s="1"/>
  <c r="S36" i="2"/>
  <c r="D37" i="2"/>
  <c r="S37" i="2" l="1"/>
  <c r="P37" i="2"/>
  <c r="S18" i="2"/>
  <c r="D42" i="2"/>
  <c r="D39" i="2"/>
  <c r="D20" i="2"/>
  <c r="D40" i="2" l="1"/>
  <c r="E39" i="2"/>
  <c r="E40" i="2" s="1"/>
  <c r="D21" i="2"/>
  <c r="D23" i="2"/>
  <c r="E42" i="2" l="1"/>
  <c r="D44" i="2"/>
  <c r="E20" i="2"/>
  <c r="F39" i="2" l="1"/>
  <c r="F42" i="2"/>
  <c r="G39" i="2" s="1"/>
  <c r="E21" i="2"/>
  <c r="E23" i="2"/>
  <c r="G42" i="2" l="1"/>
  <c r="H39" i="2" s="1"/>
  <c r="H40" i="2" s="1"/>
  <c r="G40" i="2"/>
  <c r="F40" i="2"/>
  <c r="P39" i="2"/>
  <c r="P40" i="2" s="1"/>
  <c r="E44" i="2"/>
  <c r="F20" i="2"/>
  <c r="H42" i="2" l="1"/>
  <c r="F23" i="2"/>
  <c r="F44" i="2" s="1"/>
  <c r="P20" i="2"/>
  <c r="P21" i="2" s="1"/>
  <c r="G20" i="2"/>
  <c r="F21" i="2"/>
  <c r="I39" i="2"/>
  <c r="G21" i="2" l="1"/>
  <c r="I40" i="2"/>
  <c r="Q39" i="2"/>
  <c r="Q40" i="2" s="1"/>
  <c r="I42" i="2"/>
  <c r="J39" i="2" s="1"/>
  <c r="G23" i="2"/>
  <c r="J40" i="2" l="1"/>
  <c r="H20" i="2"/>
  <c r="G44" i="2"/>
  <c r="J42" i="2"/>
  <c r="H23" i="2" l="1"/>
  <c r="H44" i="2"/>
  <c r="I20" i="2"/>
  <c r="I21" i="2" s="1"/>
  <c r="K39" i="2"/>
  <c r="H21" i="2"/>
  <c r="Q20" i="2" l="1"/>
  <c r="Q21" i="2" s="1"/>
  <c r="K40" i="2"/>
  <c r="I23" i="2"/>
  <c r="I44" i="2" s="1"/>
  <c r="K42" i="2"/>
  <c r="J20" i="2" l="1"/>
  <c r="L39" i="2"/>
  <c r="L40" i="2" l="1"/>
  <c r="R39" i="2"/>
  <c r="R40" i="2" s="1"/>
  <c r="J21" i="2"/>
  <c r="J23" i="2"/>
  <c r="J44" i="2" s="1"/>
  <c r="L42" i="2"/>
  <c r="K20" i="2" l="1"/>
  <c r="M39" i="2"/>
  <c r="M40" i="2" s="1"/>
  <c r="K21" i="2" l="1"/>
  <c r="K23" i="2"/>
  <c r="K44" i="2" s="1"/>
  <c r="M42" i="2"/>
  <c r="N39" i="2" s="1"/>
  <c r="N40" i="2" s="1"/>
  <c r="L20" i="2" l="1"/>
  <c r="N42" i="2"/>
  <c r="O39" i="2" s="1"/>
  <c r="O42" i="2" s="1"/>
  <c r="L21" i="2" l="1"/>
  <c r="R20" i="2"/>
  <c r="R21" i="2" s="1"/>
  <c r="L23" i="2"/>
  <c r="L44" i="2" s="1"/>
  <c r="O40" i="2"/>
  <c r="S39" i="2"/>
  <c r="S40" i="2" s="1"/>
  <c r="M20" i="2" l="1"/>
  <c r="M23" i="2" s="1"/>
  <c r="M21" i="2" l="1"/>
  <c r="N20" i="2"/>
  <c r="N21" i="2" s="1"/>
  <c r="M44" i="2"/>
  <c r="N23" i="2" l="1"/>
  <c r="O20" i="2" s="1"/>
  <c r="N44" i="2" l="1"/>
  <c r="O21" i="2"/>
  <c r="S20" i="2"/>
  <c r="S21" i="2" s="1"/>
  <c r="O23" i="2"/>
  <c r="O44" i="2" s="1"/>
  <c r="R10" i="1"/>
</calcChain>
</file>

<file path=xl/sharedStrings.xml><?xml version="1.0" encoding="utf-8"?>
<sst xmlns="http://schemas.openxmlformats.org/spreadsheetml/2006/main" count="380" uniqueCount="146">
  <si>
    <t>Avista Utilities</t>
  </si>
  <si>
    <t>Natural Gas Decoupling Mechanism</t>
  </si>
  <si>
    <t>Development of Natural Gas Deferrals (Calendar Year 2015)</t>
  </si>
  <si>
    <t>Revised</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</si>
  <si>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</si>
  <si>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</si>
  <si>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</si>
  <si>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</si>
  <si>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</si>
  <si>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</si>
  <si>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</si>
  <si>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</si>
  <si>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</si>
  <si>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</si>
  <si>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</si>
  <si>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</si>
  <si>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</si>
  <si>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</si>
  <si>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</si>
  <si>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</si>
  <si>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</si>
  <si>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</si>
  <si>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</si>
  <si>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</si>
  <si>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</si>
  <si>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</si>
  <si>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Appendix 5, Page 3</t>
  </si>
  <si>
    <t>Decoupled Revenue</t>
  </si>
  <si>
    <t>Actual Base Rate Revenue (Excluding Gas Costs)</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</si>
  <si>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</si>
  <si>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</si>
  <si>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</si>
  <si>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</si>
  <si>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</si>
  <si>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</si>
  <si>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</si>
  <si>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</si>
  <si>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</si>
  <si>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Cumulative Residential Deferral (Rebate)/Surcharge</t>
  </si>
  <si>
    <t>Non-Residential Group</t>
  </si>
  <si>
    <t>Non-Residential Revenue Per Customer Received</t>
  </si>
  <si>
    <t>Avg Balance Calc</t>
  </si>
  <si>
    <t>Monthly Non-Residential Deferral Totals</t>
  </si>
  <si>
    <t>Cumulative Non-Residential Deferral (Rebate)/Surcharge</t>
  </si>
  <si>
    <t>Electric Decoupling Mechanism</t>
  </si>
  <si>
    <t>Development of Electric Deferrals (Calendar Year 2015)</t>
  </si>
  <si>
    <t>Appendix 4,  Page 3</t>
  </si>
  <si>
    <t>Actual Base Rate Revenue</t>
  </si>
  <si>
    <t>Actual Basic Charge Revenue</t>
  </si>
  <si>
    <t>Actual Usage (kWhs)</t>
  </si>
  <si>
    <t>Retail Revenue Credit ($/kWh)</t>
  </si>
  <si>
    <t>Appendix 4,  Page 1</t>
  </si>
  <si>
    <t>Variable Power Supply Payments</t>
  </si>
  <si>
    <t>Appendix 4, Page 3</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</si>
  <si>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</si>
  <si>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</si>
  <si>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</si>
  <si>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</si>
  <si>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</si>
  <si>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</si>
  <si>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</si>
  <si>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</si>
  <si>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</si>
  <si>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</si>
  <si>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</si>
  <si>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</si>
  <si>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</si>
  <si>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</si>
  <si>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</si>
  <si>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</si>
  <si>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</si>
  <si>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</si>
  <si>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</si>
  <si>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</si>
  <si>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Deferred Revenue</t>
  </si>
  <si>
    <t>Rollover Balance</t>
  </si>
  <si>
    <t>Accumulated Deferred Taxes</t>
  </si>
  <si>
    <t>FERC Acct 186328</t>
  </si>
  <si>
    <t>FERC Acct 283328</t>
  </si>
  <si>
    <t>Income Statement Accounts</t>
  </si>
  <si>
    <t>FERC Acct 186338</t>
  </si>
  <si>
    <t>Electric Service</t>
  </si>
  <si>
    <t>Natural Gas Service</t>
  </si>
  <si>
    <t>Sum: 0.00</t>
  </si>
  <si>
    <t>Check</t>
  </si>
  <si>
    <t>NOTES</t>
  </si>
  <si>
    <t>2nd Quarter 2015</t>
  </si>
  <si>
    <t>Total Cumulative Electric Deferral</t>
  </si>
  <si>
    <t>Total Cumulative Natural Gas Deferral</t>
  </si>
  <si>
    <t>456328</t>
  </si>
  <si>
    <t>RESIDENTIAL DECOUPLING DEFERRE</t>
  </si>
  <si>
    <t>456338</t>
  </si>
  <si>
    <t>NON-RES DECOUPLING DEFERRED RE</t>
  </si>
  <si>
    <t>495328</t>
  </si>
  <si>
    <t>495338</t>
  </si>
  <si>
    <t>FERC Acct 456328</t>
  </si>
  <si>
    <t>FERC Acct 456338</t>
  </si>
  <si>
    <t>FERC Acct 495328</t>
  </si>
  <si>
    <t>FERC Acct 495338</t>
  </si>
  <si>
    <t>419605</t>
  </si>
  <si>
    <t>INT INC ON OTH DEFERRALS-IV FU</t>
  </si>
  <si>
    <t>431605</t>
  </si>
  <si>
    <t>INT EXP ON OTH DEFERRALS-IV FU</t>
  </si>
  <si>
    <t>Interest Income or Expense</t>
  </si>
  <si>
    <t>Electric Residential</t>
  </si>
  <si>
    <t>Change in Use per Customer</t>
  </si>
  <si>
    <t>Q1</t>
  </si>
  <si>
    <t>Q2</t>
  </si>
  <si>
    <t>YTD</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</si>
  <si>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</si>
  <si>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</si>
  <si>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</si>
  <si>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</si>
  <si>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</si>
  <si>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</si>
  <si>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</si>
  <si>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</si>
  <si>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YTD Sept 2015</t>
  </si>
  <si>
    <t>3rd Quarter 2015</t>
  </si>
  <si>
    <t>1st Quarter 2015</t>
  </si>
  <si>
    <t>YTD Sept   2015</t>
  </si>
  <si>
    <t>Q3</t>
  </si>
  <si>
    <t>GL Account Balance  Accounting Period : '201507, 201508, 201509'</t>
  </si>
  <si>
    <t>201507</t>
  </si>
  <si>
    <t>201508</t>
  </si>
  <si>
    <t>201509</t>
  </si>
  <si>
    <t>Sum: -1,435,471.51</t>
  </si>
  <si>
    <t>Sum: 285,752.75</t>
  </si>
  <si>
    <t>Sum: -1,149,718.76</t>
  </si>
  <si>
    <t>Sum: -782,851.70</t>
  </si>
  <si>
    <t>Sum: 265,469.39</t>
  </si>
  <si>
    <t>Sum: -517,382.31</t>
  </si>
  <si>
    <t>Sum: 45.21</t>
  </si>
  <si>
    <t>Sum: 776,413.12</t>
  </si>
  <si>
    <t>Sum: -192,943.57</t>
  </si>
  <si>
    <t>Sum: 583,469.55</t>
  </si>
  <si>
    <t>Sum: 1,454,420.30</t>
  </si>
  <si>
    <t>Sum: 760,006.24</t>
  </si>
  <si>
    <t>Sum: -249,504.87</t>
  </si>
  <si>
    <t>Sum: -259,114.25</t>
  </si>
  <si>
    <t>Sum: -18,948.79</t>
  </si>
  <si>
    <t>Sum: -42,648.23</t>
  </si>
  <si>
    <t>Sum: -61,597.02</t>
  </si>
  <si>
    <t>Sum: 22,845.46</t>
  </si>
  <si>
    <t>Sum: -38,751.56</t>
  </si>
  <si>
    <t>The following table shows how the decoupled revenue per customer has tracked with use per customer for the first three quarters of 2015.  The similarity of the percentage change indicates that the mechanism is working as intended.</t>
  </si>
</sst>
</file>

<file path=xl/styles.xml><?xml version="1.0" encoding="utf-8"?>
<styleSheet xmlns="http://schemas.openxmlformats.org/spreadsheetml/2006/main" xmlns:mc="http://schemas.openxmlformats.org/markup-compatibility/2006" xmlns:x14ac="http://schemas.microsoft.com/office/spreadsheetml/2009/9/ac" mc:Ignorable="x14ac">
  <numFmts count="8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s>
  <fonts count="173">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sz val="10"/>
      <color rgb="FF0000CC"/>
      <name val="Times New Roman"/>
      <family val="1"/>
    </font>
    <font>
      <sz val="10"/>
      <color rgb="FF3B2CFC"/>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s>
  <fills count="10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s>
  <borders count="54">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6"/>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6"/>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7" applyNumberFormat="0" applyAlignment="0" applyProtection="0"/>
    <xf numFmtId="174" fontId="34" fillId="0" borderId="0">
      <alignment horizontal="left" wrapText="1"/>
    </xf>
    <xf numFmtId="0" fontId="43" fillId="68" borderId="17" applyNumberFormat="0" applyAlignment="0" applyProtection="0"/>
    <xf numFmtId="0" fontId="25" fillId="7" borderId="10" applyNumberFormat="0" applyAlignment="0" applyProtection="0"/>
    <xf numFmtId="0" fontId="44" fillId="69" borderId="10"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10" applyNumberFormat="0" applyAlignment="0" applyProtection="0"/>
    <xf numFmtId="0" fontId="44" fillId="69" borderId="10"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10" applyNumberFormat="0" applyAlignment="0" applyProtection="0"/>
    <xf numFmtId="0" fontId="25" fillId="7" borderId="10" applyNumberFormat="0" applyAlignment="0" applyProtection="0"/>
    <xf numFmtId="0" fontId="45" fillId="70" borderId="18" applyNumberFormat="0" applyAlignment="0" applyProtection="0"/>
    <xf numFmtId="0" fontId="45" fillId="70" borderId="18" applyNumberFormat="0" applyAlignment="0" applyProtection="0"/>
    <xf numFmtId="174" fontId="34" fillId="0" borderId="0">
      <alignment horizontal="left" wrapText="1"/>
    </xf>
    <xf numFmtId="0" fontId="45" fillId="70" borderId="18" applyNumberFormat="0" applyAlignment="0" applyProtection="0"/>
    <xf numFmtId="174" fontId="34" fillId="0" borderId="0">
      <alignment horizontal="left" wrapText="1"/>
    </xf>
    <xf numFmtId="0" fontId="27" fillId="8" borderId="13" applyNumberFormat="0" applyAlignment="0" applyProtection="0"/>
    <xf numFmtId="0" fontId="45" fillId="70" borderId="18"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6"/>
    <xf numFmtId="189" fontId="68" fillId="0" borderId="0" applyNumberFormat="0" applyFill="0" applyBorder="0" applyProtection="0">
      <alignment horizontal="right"/>
    </xf>
    <xf numFmtId="0" fontId="69" fillId="0" borderId="19" applyNumberFormat="0" applyAlignment="0" applyProtection="0">
      <alignment horizontal="left"/>
    </xf>
    <xf numFmtId="0" fontId="69" fillId="0" borderId="19"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9" applyNumberFormat="0" applyAlignment="0" applyProtection="0">
      <alignment horizontal="left"/>
    </xf>
    <xf numFmtId="174" fontId="34" fillId="0" borderId="0">
      <alignment horizontal="left" wrapText="1"/>
    </xf>
    <xf numFmtId="0" fontId="69" fillId="0" borderId="20">
      <alignment horizontal="left"/>
    </xf>
    <xf numFmtId="0" fontId="69" fillId="0" borderId="20">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20">
      <alignment horizontal="left"/>
    </xf>
    <xf numFmtId="0" fontId="69" fillId="0" borderId="20">
      <alignment horizontal="left"/>
    </xf>
    <xf numFmtId="174" fontId="34" fillId="0" borderId="0">
      <alignment horizontal="left" wrapText="1"/>
    </xf>
    <xf numFmtId="14" fontId="15" fillId="75" borderId="21">
      <alignment horizontal="center" vertical="center" wrapText="1"/>
    </xf>
    <xf numFmtId="0" fontId="54" fillId="0" borderId="0" applyNumberFormat="0" applyFill="0" applyBorder="0" applyAlignment="0" applyProtection="0"/>
    <xf numFmtId="0" fontId="70" fillId="0" borderId="22" applyNumberFormat="0" applyFill="0" applyAlignment="0" applyProtection="0"/>
    <xf numFmtId="0" fontId="70" fillId="0" borderId="22" applyNumberFormat="0" applyFill="0" applyAlignment="0" applyProtection="0"/>
    <xf numFmtId="0" fontId="17" fillId="0" borderId="7" applyNumberFormat="0" applyFill="0" applyAlignment="0" applyProtection="0"/>
    <xf numFmtId="0" fontId="71" fillId="0" borderId="23" applyNumberFormat="0" applyFill="0" applyAlignment="0" applyProtection="0"/>
    <xf numFmtId="174" fontId="34" fillId="0" borderId="0">
      <alignment horizontal="left" wrapText="1"/>
    </xf>
    <xf numFmtId="174" fontId="34" fillId="0" borderId="0">
      <alignment horizontal="left" wrapText="1"/>
    </xf>
    <xf numFmtId="0" fontId="71" fillId="0" borderId="23" applyNumberFormat="0" applyFill="0" applyAlignment="0" applyProtection="0"/>
    <xf numFmtId="0" fontId="17" fillId="0" borderId="7" applyNumberFormat="0" applyFill="0" applyAlignment="0" applyProtection="0"/>
    <xf numFmtId="0" fontId="71" fillId="0" borderId="23"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3" applyNumberFormat="0" applyFill="0" applyAlignment="0" applyProtection="0"/>
    <xf numFmtId="0" fontId="72" fillId="0" borderId="0" applyNumberFormat="0" applyFill="0" applyBorder="0" applyAlignment="0" applyProtection="0"/>
    <xf numFmtId="0" fontId="71" fillId="0" borderId="23" applyNumberFormat="0" applyFill="0" applyAlignment="0" applyProtection="0"/>
    <xf numFmtId="0" fontId="17" fillId="0" borderId="7" applyNumberFormat="0" applyFill="0" applyAlignment="0" applyProtection="0"/>
    <xf numFmtId="0" fontId="54" fillId="0" borderId="0" applyNumberFormat="0" applyFill="0" applyBorder="0" applyAlignment="0" applyProtection="0"/>
    <xf numFmtId="0" fontId="73" fillId="0" borderId="24" applyNumberFormat="0" applyFill="0" applyAlignment="0" applyProtection="0"/>
    <xf numFmtId="0" fontId="73" fillId="0" borderId="24" applyNumberFormat="0" applyFill="0" applyAlignment="0" applyProtection="0"/>
    <xf numFmtId="0" fontId="18" fillId="0" borderId="8" applyNumberFormat="0" applyFill="0" applyAlignment="0" applyProtection="0"/>
    <xf numFmtId="0" fontId="74" fillId="0" borderId="25" applyNumberFormat="0" applyFill="0" applyAlignment="0" applyProtection="0"/>
    <xf numFmtId="174" fontId="34" fillId="0" borderId="0">
      <alignment horizontal="left" wrapText="1"/>
    </xf>
    <xf numFmtId="174" fontId="34" fillId="0" borderId="0">
      <alignment horizontal="left" wrapText="1"/>
    </xf>
    <xf numFmtId="0" fontId="74" fillId="0" borderId="25" applyNumberFormat="0" applyFill="0" applyAlignment="0" applyProtection="0"/>
    <xf numFmtId="0" fontId="18" fillId="0" borderId="8" applyNumberFormat="0" applyFill="0" applyAlignment="0" applyProtection="0"/>
    <xf numFmtId="0" fontId="74" fillId="0" borderId="25"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5" applyNumberFormat="0" applyFill="0" applyAlignment="0" applyProtection="0"/>
    <xf numFmtId="0" fontId="66" fillId="0" borderId="0" applyNumberFormat="0" applyFill="0" applyBorder="0" applyAlignment="0" applyProtection="0"/>
    <xf numFmtId="0" fontId="74" fillId="0" borderId="25" applyNumberFormat="0" applyFill="0" applyAlignment="0" applyProtection="0"/>
    <xf numFmtId="0" fontId="18" fillId="0" borderId="8"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19" fillId="0" borderId="9" applyNumberFormat="0" applyFill="0" applyAlignment="0" applyProtection="0"/>
    <xf numFmtId="0" fontId="76" fillId="0" borderId="27" applyNumberFormat="0" applyFill="0" applyAlignment="0" applyProtection="0"/>
    <xf numFmtId="174" fontId="34" fillId="0" borderId="0">
      <alignment horizontal="left" wrapText="1"/>
    </xf>
    <xf numFmtId="174" fontId="34" fillId="0" borderId="0">
      <alignment horizontal="left" wrapText="1"/>
    </xf>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74" fontId="34" fillId="0" borderId="0">
      <alignment horizontal="left" wrapText="1"/>
    </xf>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174" fontId="34" fillId="0" borderId="0">
      <alignment horizontal="left" wrapText="1"/>
    </xf>
    <xf numFmtId="0" fontId="79" fillId="41" borderId="17" applyNumberFormat="0" applyAlignment="0" applyProtection="0"/>
    <xf numFmtId="0" fontId="79" fillId="41" borderId="17" applyNumberFormat="0" applyAlignment="0" applyProtection="0"/>
    <xf numFmtId="0" fontId="23" fillId="6" borderId="10" applyNumberFormat="0" applyAlignment="0" applyProtection="0"/>
    <xf numFmtId="0" fontId="23" fillId="44" borderId="10" applyNumberFormat="0" applyAlignment="0" applyProtection="0"/>
    <xf numFmtId="0" fontId="79" fillId="41" borderId="17" applyNumberFormat="0" applyAlignment="0" applyProtection="0"/>
    <xf numFmtId="174" fontId="34" fillId="0" borderId="0">
      <alignment horizontal="left" wrapText="1"/>
    </xf>
    <xf numFmtId="0" fontId="79" fillId="41" borderId="17" applyNumberFormat="0" applyAlignment="0" applyProtection="0"/>
    <xf numFmtId="0" fontId="23" fillId="6" borderId="10" applyNumberFormat="0" applyAlignment="0" applyProtection="0"/>
    <xf numFmtId="0" fontId="23" fillId="44" borderId="10"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41" fontId="80" fillId="76" borderId="29">
      <alignment horizontal="left"/>
      <protection locked="0"/>
    </xf>
    <xf numFmtId="174" fontId="34" fillId="0" borderId="0">
      <alignment horizontal="left" wrapText="1"/>
    </xf>
    <xf numFmtId="41" fontId="80" fillId="76" borderId="29">
      <alignment horizontal="left"/>
      <protection locked="0"/>
    </xf>
    <xf numFmtId="10" fontId="80" fillId="76" borderId="29">
      <alignment horizontal="right"/>
      <protection locked="0"/>
    </xf>
    <xf numFmtId="174" fontId="34" fillId="0" borderId="0">
      <alignment horizontal="left" wrapText="1"/>
    </xf>
    <xf numFmtId="10" fontId="80" fillId="76" borderId="29">
      <alignment horizontal="right"/>
      <protection locked="0"/>
    </xf>
    <xf numFmtId="174" fontId="34" fillId="0" borderId="0">
      <alignment horizontal="left" wrapText="1"/>
    </xf>
    <xf numFmtId="41" fontId="80" fillId="76" borderId="29">
      <alignment horizontal="left"/>
      <protection locked="0"/>
    </xf>
    <xf numFmtId="0" fontId="67" fillId="0" borderId="30"/>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1" applyNumberFormat="0" applyFill="0" applyAlignment="0" applyProtection="0"/>
    <xf numFmtId="0" fontId="82" fillId="0" borderId="31" applyNumberFormat="0" applyFill="0" applyAlignment="0" applyProtection="0"/>
    <xf numFmtId="0" fontId="82" fillId="0" borderId="31" applyNumberFormat="0" applyFill="0" applyAlignment="0" applyProtection="0"/>
    <xf numFmtId="0" fontId="82" fillId="0" borderId="31" applyNumberFormat="0" applyFill="0" applyAlignment="0" applyProtection="0"/>
    <xf numFmtId="0" fontId="26" fillId="0" borderId="12" applyNumberFormat="0" applyFill="0" applyAlignment="0" applyProtection="0"/>
    <xf numFmtId="0" fontId="83" fillId="0" borderId="32" applyNumberFormat="0" applyFill="0" applyAlignment="0" applyProtection="0"/>
    <xf numFmtId="174" fontId="34" fillId="0" borderId="0">
      <alignment horizontal="left" wrapText="1"/>
    </xf>
    <xf numFmtId="174" fontId="34" fillId="0" borderId="0">
      <alignment horizontal="left" wrapText="1"/>
    </xf>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174" fontId="34" fillId="0" borderId="0">
      <alignment horizontal="left" wrapText="1"/>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10"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10" fillId="39" borderId="35" applyNumberFormat="0" applyFont="0" applyAlignment="0" applyProtection="0"/>
    <xf numFmtId="174" fontId="34" fillId="0" borderId="0">
      <alignment horizontal="left" wrapText="1"/>
    </xf>
    <xf numFmtId="0" fontId="10"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4"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174" fontId="34" fillId="0" borderId="0">
      <alignment horizontal="left" wrapText="1"/>
    </xf>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174" fontId="34" fillId="0" borderId="0">
      <alignment horizontal="left" wrapText="1"/>
    </xf>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91" fillId="68" borderId="36" applyNumberFormat="0" applyAlignment="0" applyProtection="0"/>
    <xf numFmtId="0" fontId="91" fillId="68" borderId="36" applyNumberFormat="0" applyAlignment="0" applyProtection="0"/>
    <xf numFmtId="174" fontId="34" fillId="0" borderId="0">
      <alignment horizontal="left" wrapText="1"/>
    </xf>
    <xf numFmtId="0" fontId="91" fillId="68" borderId="36" applyNumberFormat="0" applyAlignment="0" applyProtection="0"/>
    <xf numFmtId="0" fontId="91" fillId="68" borderId="36" applyNumberFormat="0" applyAlignment="0" applyProtection="0"/>
    <xf numFmtId="0" fontId="91" fillId="68" borderId="36" applyNumberFormat="0" applyAlignment="0" applyProtection="0"/>
    <xf numFmtId="0" fontId="24" fillId="7" borderId="11" applyNumberFormat="0" applyAlignment="0" applyProtection="0"/>
    <xf numFmtId="0" fontId="24" fillId="69" borderId="11" applyNumberFormat="0" applyAlignment="0" applyProtection="0"/>
    <xf numFmtId="174" fontId="34" fillId="0" borderId="0">
      <alignment horizontal="left" wrapText="1"/>
    </xf>
    <xf numFmtId="174" fontId="34" fillId="0" borderId="0">
      <alignment horizontal="left" wrapText="1"/>
    </xf>
    <xf numFmtId="0" fontId="91" fillId="69" borderId="36" applyNumberFormat="0" applyAlignment="0" applyProtection="0"/>
    <xf numFmtId="0" fontId="24" fillId="69" borderId="11" applyNumberFormat="0" applyAlignment="0" applyProtection="0"/>
    <xf numFmtId="0" fontId="24" fillId="69" borderId="11"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9"/>
    <xf numFmtId="174" fontId="34" fillId="0" borderId="0">
      <alignment horizontal="left" wrapText="1"/>
    </xf>
    <xf numFmtId="9" fontId="10"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9"/>
    <xf numFmtId="10" fontId="10" fillId="0" borderId="29"/>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9"/>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9"/>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9"/>
    <xf numFmtId="174" fontId="34" fillId="0" borderId="0">
      <alignment horizontal="left" wrapText="1"/>
    </xf>
    <xf numFmtId="9" fontId="47" fillId="0" borderId="0" applyFont="0" applyFill="0" applyBorder="0" applyAlignment="0" applyProtection="0"/>
    <xf numFmtId="10" fontId="10" fillId="0" borderId="29"/>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9"/>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9"/>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0" fontId="10" fillId="0" borderId="29"/>
    <xf numFmtId="174" fontId="34" fillId="0" borderId="0">
      <alignment horizontal="left" wrapText="1"/>
    </xf>
    <xf numFmtId="9" fontId="39" fillId="0" borderId="0" applyFont="0" applyFill="0" applyBorder="0" applyAlignment="0" applyProtection="0"/>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1" fillId="0" borderId="0" applyFont="0" applyFill="0" applyBorder="0" applyAlignment="0" applyProtection="0"/>
    <xf numFmtId="10" fontId="10" fillId="0" borderId="29"/>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9"/>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9"/>
    <xf numFmtId="9" fontId="46" fillId="0" borderId="0" applyFont="0" applyFill="0" applyBorder="0" applyAlignment="0" applyProtection="0"/>
    <xf numFmtId="174" fontId="34" fillId="0" borderId="0">
      <alignment horizontal="left" wrapText="1"/>
    </xf>
    <xf numFmtId="10" fontId="10" fillId="0" borderId="29"/>
    <xf numFmtId="9" fontId="47" fillId="0" borderId="0" applyFont="0" applyFill="0" applyBorder="0" applyAlignment="0" applyProtection="0"/>
    <xf numFmtId="10" fontId="10" fillId="0" borderId="29"/>
    <xf numFmtId="174" fontId="34" fillId="0" borderId="0">
      <alignment horizontal="left" wrapText="1"/>
    </xf>
    <xf numFmtId="9" fontId="47" fillId="0" borderId="0" applyFont="0" applyFill="0" applyBorder="0" applyAlignment="0" applyProtection="0"/>
    <xf numFmtId="10" fontId="10" fillId="0" borderId="29"/>
    <xf numFmtId="9" fontId="47" fillId="0" borderId="0" applyFont="0" applyFill="0" applyBorder="0" applyAlignment="0" applyProtection="0"/>
    <xf numFmtId="10" fontId="10" fillId="0" borderId="29"/>
    <xf numFmtId="174" fontId="34" fillId="0" borderId="0">
      <alignment horizontal="left" wrapText="1"/>
    </xf>
    <xf numFmtId="9" fontId="47" fillId="0" borderId="0" applyFont="0" applyFill="0" applyBorder="0" applyAlignment="0" applyProtection="0"/>
    <xf numFmtId="10" fontId="10" fillId="0" borderId="29"/>
    <xf numFmtId="9" fontId="10" fillId="0" borderId="0" applyFont="0" applyFill="0" applyBorder="0" applyAlignment="0" applyProtection="0"/>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9"/>
    <xf numFmtId="10" fontId="10" fillId="0" borderId="29"/>
    <xf numFmtId="174" fontId="34" fillId="0" borderId="0">
      <alignment horizontal="left" wrapText="1"/>
    </xf>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9"/>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9"/>
    <xf numFmtId="10" fontId="10" fillId="0" borderId="29"/>
    <xf numFmtId="10" fontId="10" fillId="0" borderId="29"/>
    <xf numFmtId="10" fontId="10" fillId="0" borderId="29"/>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9"/>
    <xf numFmtId="10" fontId="10" fillId="0" borderId="29"/>
    <xf numFmtId="10" fontId="10" fillId="0" borderId="29"/>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41" fontId="10" fillId="77" borderId="29"/>
    <xf numFmtId="41" fontId="10" fillId="77" borderId="29"/>
    <xf numFmtId="174" fontId="34" fillId="0" borderId="0">
      <alignment horizontal="left" wrapText="1"/>
    </xf>
    <xf numFmtId="41" fontId="10" fillId="77" borderId="29"/>
    <xf numFmtId="41" fontId="10" fillId="77" borderId="29"/>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1">
      <alignment horizontal="center"/>
    </xf>
    <xf numFmtId="0" fontId="92" fillId="0" borderId="21">
      <alignment horizontal="center"/>
    </xf>
    <xf numFmtId="174" fontId="34" fillId="0" borderId="0">
      <alignment horizontal="left" wrapText="1"/>
    </xf>
    <xf numFmtId="174" fontId="34" fillId="0" borderId="0">
      <alignment horizontal="left" wrapText="1"/>
    </xf>
    <xf numFmtId="0" fontId="92" fillId="0" borderId="21">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30"/>
    <xf numFmtId="0" fontId="97" fillId="80" borderId="3"/>
    <xf numFmtId="0" fontId="98" fillId="79" borderId="37"/>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8">
      <alignment vertical="center"/>
    </xf>
    <xf numFmtId="42" fontId="10" fillId="67" borderId="38">
      <alignment vertical="center"/>
    </xf>
    <xf numFmtId="174" fontId="34" fillId="0" borderId="0">
      <alignment horizontal="left" wrapText="1"/>
    </xf>
    <xf numFmtId="42" fontId="10" fillId="67" borderId="38">
      <alignment vertical="center"/>
    </xf>
    <xf numFmtId="174" fontId="34" fillId="0" borderId="0">
      <alignment horizontal="left" wrapText="1"/>
    </xf>
    <xf numFmtId="42" fontId="10" fillId="67" borderId="38">
      <alignment vertical="center"/>
    </xf>
    <xf numFmtId="174" fontId="34" fillId="0" borderId="0">
      <alignment horizontal="left" wrapText="1"/>
    </xf>
    <xf numFmtId="0" fontId="15" fillId="67" borderId="1" applyNumberFormat="0">
      <alignment horizontal="center" vertical="center" wrapText="1"/>
    </xf>
    <xf numFmtId="0" fontId="15" fillId="67" borderId="39"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6" applyNumberFormat="0" applyProtection="0">
      <alignment vertical="center"/>
    </xf>
    <xf numFmtId="174" fontId="34" fillId="0" borderId="0">
      <alignment horizontal="left" wrapText="1"/>
    </xf>
    <xf numFmtId="4" fontId="12" fillId="76" borderId="36" applyNumberFormat="0" applyProtection="0">
      <alignment vertical="center"/>
    </xf>
    <xf numFmtId="4" fontId="100" fillId="76" borderId="36" applyNumberFormat="0" applyProtection="0">
      <alignment vertical="center"/>
    </xf>
    <xf numFmtId="174" fontId="34" fillId="0" borderId="0">
      <alignment horizontal="left" wrapText="1"/>
    </xf>
    <xf numFmtId="4" fontId="100" fillId="76" borderId="36" applyNumberFormat="0" applyProtection="0">
      <alignment vertical="center"/>
    </xf>
    <xf numFmtId="4" fontId="12" fillId="76" borderId="36" applyNumberFormat="0" applyProtection="0">
      <alignment horizontal="left" vertical="center" indent="1"/>
    </xf>
    <xf numFmtId="174" fontId="34" fillId="0" borderId="0">
      <alignment horizontal="left" wrapText="1"/>
    </xf>
    <xf numFmtId="4" fontId="12" fillId="76" borderId="36" applyNumberFormat="0" applyProtection="0">
      <alignment horizontal="left" vertical="center" indent="1"/>
    </xf>
    <xf numFmtId="4" fontId="12" fillId="76" borderId="36" applyNumberFormat="0" applyProtection="0">
      <alignment horizontal="left" vertical="center" indent="1"/>
    </xf>
    <xf numFmtId="174" fontId="34" fillId="0" borderId="0">
      <alignment horizontal="left" wrapText="1"/>
    </xf>
    <xf numFmtId="4" fontId="12" fillId="76"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83" borderId="36" applyNumberFormat="0" applyProtection="0">
      <alignment horizontal="right" vertical="center"/>
    </xf>
    <xf numFmtId="174" fontId="34" fillId="0" borderId="0">
      <alignment horizontal="left" wrapText="1"/>
    </xf>
    <xf numFmtId="4" fontId="12" fillId="83" borderId="36" applyNumberFormat="0" applyProtection="0">
      <alignment horizontal="right" vertical="center"/>
    </xf>
    <xf numFmtId="4" fontId="12" fillId="84" borderId="36" applyNumberFormat="0" applyProtection="0">
      <alignment horizontal="right" vertical="center"/>
    </xf>
    <xf numFmtId="174" fontId="34" fillId="0" borderId="0">
      <alignment horizontal="left" wrapText="1"/>
    </xf>
    <xf numFmtId="4" fontId="12" fillId="84" borderId="36" applyNumberFormat="0" applyProtection="0">
      <alignment horizontal="right" vertical="center"/>
    </xf>
    <xf numFmtId="4" fontId="12" fillId="85" borderId="36" applyNumberFormat="0" applyProtection="0">
      <alignment horizontal="right" vertical="center"/>
    </xf>
    <xf numFmtId="174" fontId="34" fillId="0" borderId="0">
      <alignment horizontal="left" wrapText="1"/>
    </xf>
    <xf numFmtId="4" fontId="12" fillId="85" borderId="36" applyNumberFormat="0" applyProtection="0">
      <alignment horizontal="right" vertical="center"/>
    </xf>
    <xf numFmtId="4" fontId="12" fillId="86" borderId="36" applyNumberFormat="0" applyProtection="0">
      <alignment horizontal="right" vertical="center"/>
    </xf>
    <xf numFmtId="174" fontId="34" fillId="0" borderId="0">
      <alignment horizontal="left" wrapText="1"/>
    </xf>
    <xf numFmtId="4" fontId="12" fillId="86" borderId="36" applyNumberFormat="0" applyProtection="0">
      <alignment horizontal="right" vertical="center"/>
    </xf>
    <xf numFmtId="4" fontId="12" fillId="87" borderId="36" applyNumberFormat="0" applyProtection="0">
      <alignment horizontal="right" vertical="center"/>
    </xf>
    <xf numFmtId="174" fontId="34" fillId="0" borderId="0">
      <alignment horizontal="left" wrapText="1"/>
    </xf>
    <xf numFmtId="4" fontId="12" fillId="87" borderId="36" applyNumberFormat="0" applyProtection="0">
      <alignment horizontal="right" vertical="center"/>
    </xf>
    <xf numFmtId="4" fontId="12" fillId="88" borderId="36" applyNumberFormat="0" applyProtection="0">
      <alignment horizontal="right" vertical="center"/>
    </xf>
    <xf numFmtId="174" fontId="34" fillId="0" borderId="0">
      <alignment horizontal="left" wrapText="1"/>
    </xf>
    <xf numFmtId="4" fontId="12" fillId="88" borderId="36" applyNumberFormat="0" applyProtection="0">
      <alignment horizontal="right" vertical="center"/>
    </xf>
    <xf numFmtId="4" fontId="12" fillId="89" borderId="36" applyNumberFormat="0" applyProtection="0">
      <alignment horizontal="right" vertical="center"/>
    </xf>
    <xf numFmtId="174" fontId="34" fillId="0" borderId="0">
      <alignment horizontal="left" wrapText="1"/>
    </xf>
    <xf numFmtId="4" fontId="12" fillId="89" borderId="36" applyNumberFormat="0" applyProtection="0">
      <alignment horizontal="right" vertical="center"/>
    </xf>
    <xf numFmtId="4" fontId="12" fillId="90" borderId="36" applyNumberFormat="0" applyProtection="0">
      <alignment horizontal="right" vertical="center"/>
    </xf>
    <xf numFmtId="174" fontId="34" fillId="0" borderId="0">
      <alignment horizontal="left" wrapText="1"/>
    </xf>
    <xf numFmtId="4" fontId="12" fillId="90" borderId="36" applyNumberFormat="0" applyProtection="0">
      <alignment horizontal="right" vertical="center"/>
    </xf>
    <xf numFmtId="4" fontId="12" fillId="91" borderId="36" applyNumberFormat="0" applyProtection="0">
      <alignment horizontal="right" vertical="center"/>
    </xf>
    <xf numFmtId="174" fontId="34" fillId="0" borderId="0">
      <alignment horizontal="left" wrapText="1"/>
    </xf>
    <xf numFmtId="4" fontId="12" fillId="91" borderId="36" applyNumberFormat="0" applyProtection="0">
      <alignment horizontal="right" vertical="center"/>
    </xf>
    <xf numFmtId="4" fontId="13" fillId="92" borderId="36"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6" applyNumberFormat="0" applyProtection="0">
      <alignment horizontal="left" vertical="center" indent="1"/>
    </xf>
    <xf numFmtId="4" fontId="12" fillId="94" borderId="40"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94" borderId="36" applyNumberFormat="0" applyProtection="0">
      <alignment horizontal="left" vertical="center" indent="1"/>
    </xf>
    <xf numFmtId="4" fontId="12" fillId="94" borderId="36" applyNumberFormat="0" applyProtection="0">
      <alignment horizontal="left" vertical="center" indent="1"/>
    </xf>
    <xf numFmtId="4" fontId="102" fillId="0" borderId="0" applyNumberFormat="0" applyProtection="0">
      <alignment horizontal="left" vertical="center" indent="1"/>
    </xf>
    <xf numFmtId="4" fontId="12" fillId="94" borderId="36" applyNumberFormat="0" applyProtection="0">
      <alignment horizontal="left" vertical="center" indent="1"/>
    </xf>
    <xf numFmtId="4" fontId="12" fillId="96" borderId="36" applyNumberFormat="0" applyProtection="0">
      <alignment horizontal="left" vertical="center" indent="1"/>
    </xf>
    <xf numFmtId="4" fontId="12" fillId="96" borderId="36" applyNumberFormat="0" applyProtection="0">
      <alignment horizontal="left" vertical="center" indent="1"/>
    </xf>
    <xf numFmtId="4" fontId="102" fillId="0" borderId="0" applyNumberFormat="0" applyProtection="0">
      <alignment horizontal="left" vertical="center" indent="1"/>
    </xf>
    <xf numFmtId="4" fontId="12"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174" fontId="34" fillId="0" borderId="0">
      <alignment horizontal="left" wrapTex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6" applyNumberFormat="0" applyProtection="0">
      <alignment horizontal="left" vertical="center" indent="1"/>
    </xf>
    <xf numFmtId="0" fontId="10" fillId="96" borderId="36" applyNumberFormat="0" applyProtection="0">
      <alignment horizontal="left" vertical="center" indent="1"/>
    </xf>
    <xf numFmtId="174" fontId="34" fillId="0" borderId="0">
      <alignment horizontal="left" wrapText="1"/>
    </xf>
    <xf numFmtId="0" fontId="10" fillId="96" borderId="36" applyNumberFormat="0" applyProtection="0">
      <alignment horizontal="left" vertical="center" indent="1"/>
    </xf>
    <xf numFmtId="174" fontId="34" fillId="0" borderId="0">
      <alignment horizontal="left" wrapText="1"/>
    </xf>
    <xf numFmtId="0" fontId="10" fillId="96" borderId="36" applyNumberFormat="0" applyProtection="0">
      <alignment horizontal="left" vertical="center" indent="1"/>
    </xf>
    <xf numFmtId="174" fontId="34" fillId="0" borderId="0">
      <alignment horizontal="left" wrapText="1"/>
    </xf>
    <xf numFmtId="0" fontId="10" fillId="96"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174" fontId="34" fillId="0" borderId="0">
      <alignment horizontal="left" wrapTex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174" fontId="34" fillId="0" borderId="0">
      <alignment horizontal="left" wrapTex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174" fontId="34" fillId="0" borderId="0">
      <alignment horizontal="left" wrapTex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174" fontId="34" fillId="0" borderId="0">
      <alignment horizontal="left" wrapTex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69" borderId="28" applyNumberFormat="0">
      <protection locked="0"/>
    </xf>
    <xf numFmtId="0" fontId="10" fillId="69" borderId="28" applyNumberFormat="0">
      <protection locked="0"/>
    </xf>
    <xf numFmtId="174" fontId="34" fillId="0" borderId="0">
      <alignment horizontal="left" wrapText="1"/>
    </xf>
    <xf numFmtId="174" fontId="34" fillId="0" borderId="0">
      <alignment horizontal="left" wrapText="1"/>
    </xf>
    <xf numFmtId="0" fontId="77" fillId="64" borderId="41" applyBorder="0"/>
    <xf numFmtId="4" fontId="12" fillId="98" borderId="36" applyNumberFormat="0" applyProtection="0">
      <alignment vertical="center"/>
    </xf>
    <xf numFmtId="174" fontId="34" fillId="0" borderId="0">
      <alignment horizontal="left" wrapText="1"/>
    </xf>
    <xf numFmtId="4" fontId="12" fillId="98" borderId="36" applyNumberFormat="0" applyProtection="0">
      <alignment vertical="center"/>
    </xf>
    <xf numFmtId="4" fontId="100" fillId="98" borderId="36" applyNumberFormat="0" applyProtection="0">
      <alignment vertical="center"/>
    </xf>
    <xf numFmtId="174" fontId="34" fillId="0" borderId="0">
      <alignment horizontal="left" wrapText="1"/>
    </xf>
    <xf numFmtId="4" fontId="100" fillId="98" borderId="36" applyNumberFormat="0" applyProtection="0">
      <alignment vertical="center"/>
    </xf>
    <xf numFmtId="4" fontId="12" fillId="98" borderId="36" applyNumberFormat="0" applyProtection="0">
      <alignment horizontal="left" vertical="center" indent="1"/>
    </xf>
    <xf numFmtId="174" fontId="34" fillId="0" borderId="0">
      <alignment horizontal="left" wrapText="1"/>
    </xf>
    <xf numFmtId="4" fontId="12" fillId="98" borderId="36" applyNumberFormat="0" applyProtection="0">
      <alignment horizontal="left" vertical="center" indent="1"/>
    </xf>
    <xf numFmtId="4" fontId="12" fillId="98" borderId="36" applyNumberFormat="0" applyProtection="0">
      <alignment horizontal="left" vertical="center" indent="1"/>
    </xf>
    <xf numFmtId="174" fontId="34" fillId="0" borderId="0">
      <alignment horizontal="left" wrapText="1"/>
    </xf>
    <xf numFmtId="4" fontId="12" fillId="98" borderId="36" applyNumberFormat="0" applyProtection="0">
      <alignment horizontal="left" vertical="center" indent="1"/>
    </xf>
    <xf numFmtId="4" fontId="12" fillId="94" borderId="36" applyNumberFormat="0" applyProtection="0">
      <alignment horizontal="right" vertical="center"/>
    </xf>
    <xf numFmtId="4" fontId="12" fillId="94" borderId="36" applyNumberFormat="0" applyProtection="0">
      <alignment horizontal="right" vertical="center"/>
    </xf>
    <xf numFmtId="174" fontId="34" fillId="0" borderId="0">
      <alignment horizontal="left" wrapText="1"/>
    </xf>
    <xf numFmtId="4" fontId="12" fillId="94" borderId="36" applyNumberFormat="0" applyProtection="0">
      <alignment horizontal="right" vertical="center"/>
    </xf>
    <xf numFmtId="4" fontId="100" fillId="94" borderId="36" applyNumberFormat="0" applyProtection="0">
      <alignment horizontal="right" vertical="center"/>
    </xf>
    <xf numFmtId="174" fontId="34" fillId="0" borderId="0">
      <alignment horizontal="left" wrapText="1"/>
    </xf>
    <xf numFmtId="4" fontId="100" fillId="94" borderId="36" applyNumberFormat="0" applyProtection="0">
      <alignment horizontal="right" vertical="center"/>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8"/>
    <xf numFmtId="4" fontId="105" fillId="94" borderId="36" applyNumberFormat="0" applyProtection="0">
      <alignment horizontal="right" vertical="center"/>
    </xf>
    <xf numFmtId="174" fontId="34" fillId="0" borderId="0">
      <alignment horizontal="left" wrapText="1"/>
    </xf>
    <xf numFmtId="4" fontId="105" fillId="94" borderId="36"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174" fontId="34" fillId="0" borderId="0">
      <alignment horizontal="left" wrapText="1"/>
    </xf>
    <xf numFmtId="38" fontId="66" fillId="0" borderId="42"/>
    <xf numFmtId="0" fontId="66" fillId="0" borderId="42"/>
    <xf numFmtId="38" fontId="66" fillId="0" borderId="42"/>
    <xf numFmtId="38" fontId="66" fillId="0" borderId="42"/>
    <xf numFmtId="38" fontId="66" fillId="0" borderId="42"/>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7"/>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3" applyNumberFormat="0" applyFon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30" fillId="0" borderId="15" applyNumberFormat="0" applyFill="0" applyAlignment="0" applyProtection="0"/>
    <xf numFmtId="0" fontId="30" fillId="0" borderId="45" applyNumberFormat="0" applyFill="0" applyAlignment="0" applyProtection="0"/>
    <xf numFmtId="174" fontId="34" fillId="0" borderId="0">
      <alignment horizontal="left" wrapText="1"/>
    </xf>
    <xf numFmtId="174" fontId="34" fillId="0" borderId="0">
      <alignment horizontal="left" wrapText="1"/>
    </xf>
    <xf numFmtId="0" fontId="30" fillId="0" borderId="45" applyNumberFormat="0" applyFill="0" applyAlignment="0" applyProtection="0"/>
    <xf numFmtId="0" fontId="30" fillId="0" borderId="15" applyNumberFormat="0" applyFill="0" applyAlignment="0" applyProtection="0"/>
    <xf numFmtId="0" fontId="30" fillId="0" borderId="45"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5" applyNumberFormat="0" applyFill="0" applyAlignment="0" applyProtection="0"/>
    <xf numFmtId="0" fontId="30" fillId="0" borderId="15" applyNumberFormat="0" applyFill="0" applyAlignment="0" applyProtection="0"/>
    <xf numFmtId="0" fontId="52" fillId="0" borderId="46"/>
    <xf numFmtId="0" fontId="53" fillId="0" borderId="46"/>
    <xf numFmtId="0" fontId="53" fillId="0" borderId="46"/>
    <xf numFmtId="0" fontId="52" fillId="0" borderId="46"/>
    <xf numFmtId="0" fontId="53" fillId="0" borderId="46"/>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9"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5" fillId="0" borderId="9"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6"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7" fillId="0" borderId="0" applyBorder="0">
      <alignment horizontal="centerContinuous"/>
    </xf>
    <xf numFmtId="0" fontId="128" fillId="0" borderId="0" applyBorder="0">
      <alignment horizontal="centerContinuous"/>
    </xf>
    <xf numFmtId="0" fontId="129" fillId="67" borderId="0">
      <alignment horizontal="right"/>
    </xf>
    <xf numFmtId="0" fontId="128" fillId="67" borderId="47"/>
    <xf numFmtId="42" fontId="10" fillId="0" borderId="0" applyFont="0" applyFill="0" applyBorder="0" applyAlignment="0" applyProtection="0"/>
    <xf numFmtId="0" fontId="13" fillId="69" borderId="0">
      <alignment horizontal="left"/>
    </xf>
    <xf numFmtId="0" fontId="130" fillId="69" borderId="0">
      <alignment horizontal="right"/>
    </xf>
    <xf numFmtId="0" fontId="130" fillId="69" borderId="0">
      <alignment horizontal="center"/>
    </xf>
    <xf numFmtId="0" fontId="130" fillId="69" borderId="0">
      <alignment horizontal="right"/>
    </xf>
    <xf numFmtId="0" fontId="131"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2"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30" fillId="69" borderId="0">
      <alignment horizontal="center"/>
    </xf>
    <xf numFmtId="0" fontId="130"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30" fillId="69" borderId="0">
      <alignment horizontal="right"/>
    </xf>
    <xf numFmtId="0" fontId="60" fillId="102" borderId="0">
      <alignment horizontal="center"/>
    </xf>
    <xf numFmtId="0" fontId="63" fillId="102" borderId="0">
      <alignment horizontal="center"/>
    </xf>
    <xf numFmtId="0" fontId="133"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9"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5" fillId="0" borderId="9"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7"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4"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5"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10" applyNumberFormat="0" applyAlignment="0" applyProtection="0"/>
    <xf numFmtId="0" fontId="25" fillId="68" borderId="10" applyNumberFormat="0" applyAlignment="0" applyProtection="0"/>
    <xf numFmtId="0" fontId="43" fillId="68" borderId="17" applyNumberFormat="0" applyAlignment="0" applyProtection="0"/>
    <xf numFmtId="0" fontId="77" fillId="0" borderId="0" applyFill="0" applyBorder="0" applyProtection="0">
      <alignment horizontal="center" vertical="center"/>
    </xf>
    <xf numFmtId="0" fontId="136" fillId="0" borderId="0" applyFill="0" applyBorder="0" applyProtection="0">
      <alignment horizontal="center"/>
      <protection locked="0"/>
    </xf>
    <xf numFmtId="0" fontId="77" fillId="0" borderId="0" applyFill="0" applyBorder="0" applyProtection="0">
      <alignment horizontal="center" vertical="center"/>
    </xf>
    <xf numFmtId="0" fontId="27" fillId="8" borderId="13" applyNumberFormat="0" applyAlignment="0" applyProtection="0"/>
    <xf numFmtId="0" fontId="27" fillId="8" borderId="13" applyNumberFormat="0" applyAlignment="0" applyProtection="0"/>
    <xf numFmtId="0" fontId="45" fillId="70" borderId="18" applyNumberFormat="0" applyAlignment="0" applyProtection="0"/>
    <xf numFmtId="0" fontId="137" fillId="0" borderId="48">
      <alignment horizontal="center"/>
    </xf>
    <xf numFmtId="208" fontId="138" fillId="0" borderId="0" applyFont="0" applyFill="0" applyBorder="0" applyAlignment="0" applyProtection="0">
      <alignment horizontal="right"/>
    </xf>
    <xf numFmtId="209" fontId="139" fillId="0" borderId="0" applyFont="0" applyFill="0" applyBorder="0" applyAlignment="0" applyProtection="0"/>
    <xf numFmtId="210" fontId="140" fillId="0" borderId="0" applyFont="0" applyFill="0" applyBorder="0" applyAlignment="0" applyProtection="0"/>
    <xf numFmtId="211" fontId="14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39"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0"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4"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9" fillId="0" borderId="0">
      <protection locked="0"/>
    </xf>
    <xf numFmtId="0" fontId="145" fillId="0" borderId="0" applyFill="0" applyBorder="0" applyAlignment="0" applyProtection="0"/>
    <xf numFmtId="0" fontId="146" fillId="0" borderId="0" applyFill="0" applyBorder="0" applyAlignment="0" applyProtection="0">
      <protection locked="0"/>
    </xf>
    <xf numFmtId="0" fontId="145" fillId="0" borderId="0" applyFill="0" applyBorder="0" applyAlignment="0" applyProtection="0"/>
    <xf numFmtId="214" fontId="140" fillId="0" borderId="0" applyFont="0" applyFill="0" applyBorder="0" applyAlignment="0" applyProtection="0"/>
    <xf numFmtId="215" fontId="140" fillId="0" borderId="0" applyFont="0" applyFill="0" applyBorder="0" applyAlignment="0" applyProtection="0"/>
    <xf numFmtId="216" fontId="14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2"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9" fillId="0" borderId="0">
      <protection locked="0"/>
    </xf>
    <xf numFmtId="186" fontId="147" fillId="0" borderId="0" applyFont="0" applyFill="0" applyBorder="0" applyAlignment="0" applyProtection="0"/>
    <xf numFmtId="207" fontId="148"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9" fillId="0" borderId="0"/>
    <xf numFmtId="219" fontId="149" fillId="0" borderId="0"/>
    <xf numFmtId="165" fontId="149" fillId="0" borderId="0"/>
    <xf numFmtId="219" fontId="149" fillId="0" borderId="0"/>
    <xf numFmtId="220" fontId="149" fillId="0" borderId="0"/>
    <xf numFmtId="220" fontId="149" fillId="0" borderId="0"/>
    <xf numFmtId="218" fontId="149" fillId="0" borderId="0"/>
    <xf numFmtId="189" fontId="149" fillId="0" borderId="0"/>
    <xf numFmtId="221" fontId="149" fillId="0" borderId="0"/>
    <xf numFmtId="222" fontId="149" fillId="0" borderId="0"/>
    <xf numFmtId="223" fontId="149"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7" applyNumberFormat="0" applyFill="0" applyAlignment="0" applyProtection="0"/>
    <xf numFmtId="0" fontId="150" fillId="0" borderId="22" applyNumberFormat="0" applyFill="0" applyAlignment="0" applyProtection="0"/>
    <xf numFmtId="0" fontId="70" fillId="0" borderId="22" applyNumberFormat="0" applyFill="0" applyAlignment="0" applyProtection="0"/>
    <xf numFmtId="0" fontId="18" fillId="0" borderId="8" applyNumberFormat="0" applyFill="0" applyAlignment="0" applyProtection="0"/>
    <xf numFmtId="0" fontId="151" fillId="0" borderId="8" applyNumberFormat="0" applyFill="0" applyAlignment="0" applyProtection="0"/>
    <xf numFmtId="0" fontId="73" fillId="0" borderId="24"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52" fillId="0" borderId="26" applyNumberFormat="0" applyFill="0" applyAlignment="0" applyProtection="0"/>
    <xf numFmtId="0" fontId="75" fillId="0" borderId="26"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2"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6" fillId="0" borderId="0" applyFill="0" applyAlignment="0" applyProtection="0">
      <protection locked="0"/>
    </xf>
    <xf numFmtId="0" fontId="15" fillId="0" borderId="0" applyFill="0" applyAlignment="0" applyProtection="0"/>
    <xf numFmtId="0" fontId="15" fillId="0" borderId="39" applyFill="0" applyAlignment="0" applyProtection="0"/>
    <xf numFmtId="0" fontId="136" fillId="0" borderId="39" applyFill="0" applyAlignment="0" applyProtection="0">
      <protection locked="0"/>
    </xf>
    <xf numFmtId="0" fontId="15" fillId="0" borderId="39" applyFill="0" applyAlignment="0" applyProtection="0"/>
    <xf numFmtId="0" fontId="136" fillId="0" borderId="0" applyFill="0" applyAlignment="0" applyProtection="0"/>
    <xf numFmtId="207" fontId="153" fillId="67" borderId="0" applyNumberFormat="0" applyBorder="0" applyAlignment="0" applyProtection="0"/>
    <xf numFmtId="0" fontId="23" fillId="6" borderId="10"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2" applyNumberFormat="0" applyFill="0" applyAlignment="0" applyProtection="0"/>
    <xf numFmtId="0" fontId="26" fillId="0" borderId="12" applyNumberFormat="0" applyFill="0" applyAlignment="0" applyProtection="0"/>
    <xf numFmtId="0" fontId="82" fillId="0" borderId="31"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 fillId="0" borderId="0"/>
    <xf numFmtId="0" fontId="1" fillId="0" borderId="0"/>
    <xf numFmtId="0" fontId="1" fillId="0" borderId="0"/>
    <xf numFmtId="0" fontId="1" fillId="0" borderId="0"/>
    <xf numFmtId="0" fontId="14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41" fillId="0" borderId="0"/>
    <xf numFmtId="207" fontId="10" fillId="0" borderId="0"/>
    <xf numFmtId="0" fontId="141" fillId="0" borderId="0"/>
    <xf numFmtId="0" fontId="1" fillId="0" borderId="0"/>
    <xf numFmtId="0" fontId="141" fillId="0" borderId="0"/>
    <xf numFmtId="0" fontId="1" fillId="0" borderId="0"/>
    <xf numFmtId="0" fontId="1" fillId="0" borderId="0"/>
    <xf numFmtId="0" fontId="1" fillId="0" borderId="0"/>
    <xf numFmtId="0" fontId="1" fillId="0" borderId="0"/>
    <xf numFmtId="0" fontId="141"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0" fillId="39" borderId="35" applyNumberFormat="0" applyFont="0" applyAlignment="0" applyProtection="0"/>
    <xf numFmtId="0" fontId="1" fillId="9" borderId="14" applyNumberFormat="0" applyFont="0" applyAlignment="0" applyProtection="0"/>
    <xf numFmtId="0" fontId="24" fillId="7" borderId="11" applyNumberFormat="0" applyAlignment="0" applyProtection="0"/>
    <xf numFmtId="0" fontId="24" fillId="7" borderId="11" applyNumberFormat="0" applyAlignment="0" applyProtection="0"/>
    <xf numFmtId="0" fontId="24" fillId="68" borderId="11" applyNumberFormat="0" applyAlignment="0" applyProtection="0"/>
    <xf numFmtId="0" fontId="91" fillId="68" borderId="36"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40" fillId="0" borderId="0" applyFont="0" applyFill="0" applyBorder="0" applyAlignment="0" applyProtection="0"/>
    <xf numFmtId="225" fontId="139" fillId="0" borderId="0" applyFont="0" applyFill="0" applyBorder="0" applyAlignment="0" applyProtection="0"/>
    <xf numFmtId="226" fontId="140" fillId="0" borderId="0" applyFont="0" applyFill="0" applyBorder="0" applyAlignment="0" applyProtection="0"/>
    <xf numFmtId="227" fontId="139" fillId="0" borderId="0" applyFont="0" applyFill="0" applyBorder="0" applyAlignment="0" applyProtection="0"/>
    <xf numFmtId="228" fontId="140" fillId="0" borderId="0" applyFont="0" applyFill="0" applyBorder="0" applyAlignment="0" applyProtection="0"/>
    <xf numFmtId="229" fontId="139" fillId="0" borderId="0" applyFont="0" applyFill="0" applyBorder="0" applyAlignment="0" applyProtection="0"/>
    <xf numFmtId="230" fontId="140" fillId="0" borderId="0" applyFont="0" applyFill="0" applyBorder="0" applyAlignment="0" applyProtection="0"/>
    <xf numFmtId="231" fontId="139" fillId="0" borderId="0" applyFont="0" applyFill="0" applyBorder="0" applyAlignment="0" applyProtection="0"/>
    <xf numFmtId="232" fontId="139" fillId="0" borderId="0" applyFont="0" applyFill="0" applyBorder="0" applyAlignment="0" applyProtection="0"/>
    <xf numFmtId="233"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4" fillId="85" borderId="0" applyNumberFormat="0" applyBorder="0" applyAlignment="0" applyProtection="0"/>
    <xf numFmtId="0" fontId="154" fillId="0" borderId="0">
      <alignment horizontal="right"/>
    </xf>
    <xf numFmtId="0" fontId="155" fillId="0" borderId="0">
      <alignment horizontal="right"/>
    </xf>
    <xf numFmtId="0" fontId="149" fillId="0" borderId="0"/>
    <xf numFmtId="0" fontId="156" fillId="0" borderId="0" applyNumberFormat="0" applyBorder="0" applyAlignment="0"/>
    <xf numFmtId="0" fontId="156" fillId="0" borderId="0" applyNumberFormat="0" applyBorder="0" applyAlignment="0"/>
    <xf numFmtId="0" fontId="12" fillId="0" borderId="0" applyNumberFormat="0" applyBorder="0" applyAlignment="0"/>
    <xf numFmtId="207" fontId="12" fillId="0" borderId="0" applyNumberFormat="0" applyBorder="0" applyAlignment="0"/>
    <xf numFmtId="0" fontId="149" fillId="0" borderId="0"/>
    <xf numFmtId="207" fontId="12" fillId="0" borderId="0" applyNumberFormat="0" applyBorder="0" applyAlignment="0"/>
    <xf numFmtId="0" fontId="157" fillId="0" borderId="0"/>
    <xf numFmtId="0" fontId="158" fillId="0" borderId="0" applyNumberFormat="0" applyBorder="0" applyAlignment="0"/>
    <xf numFmtId="0" fontId="158" fillId="0" borderId="0" applyNumberFormat="0" applyBorder="0" applyAlignment="0"/>
    <xf numFmtId="0" fontId="157" fillId="0" borderId="0"/>
    <xf numFmtId="0" fontId="159" fillId="0" borderId="0"/>
    <xf numFmtId="207" fontId="160" fillId="0" borderId="0"/>
    <xf numFmtId="0" fontId="161" fillId="0" borderId="0"/>
    <xf numFmtId="0" fontId="162" fillId="0" borderId="0" applyNumberFormat="0" applyBorder="0" applyAlignment="0"/>
    <xf numFmtId="0" fontId="162" fillId="0" borderId="0" applyNumberFormat="0" applyBorder="0" applyAlignment="0"/>
    <xf numFmtId="0" fontId="161" fillId="0" borderId="0"/>
    <xf numFmtId="0" fontId="163" fillId="0" borderId="0" applyNumberFormat="0" applyBorder="0" applyAlignment="0"/>
    <xf numFmtId="0" fontId="164" fillId="0" borderId="0"/>
    <xf numFmtId="207" fontId="165" fillId="0" borderId="0"/>
    <xf numFmtId="0" fontId="166" fillId="0" borderId="0"/>
    <xf numFmtId="0" fontId="162" fillId="105" borderId="0" applyNumberFormat="0" applyBorder="0" applyAlignment="0"/>
    <xf numFmtId="0" fontId="167" fillId="0" borderId="0"/>
    <xf numFmtId="0" fontId="168" fillId="0" borderId="0"/>
    <xf numFmtId="0" fontId="169" fillId="0" borderId="0"/>
    <xf numFmtId="0" fontId="168" fillId="79" borderId="0"/>
    <xf numFmtId="0" fontId="16" fillId="0" borderId="0" applyNumberFormat="0" applyFill="0" applyBorder="0" applyAlignment="0" applyProtection="0"/>
    <xf numFmtId="0" fontId="170" fillId="71" borderId="49" applyNumberFormat="0">
      <alignment horizontal="left"/>
    </xf>
    <xf numFmtId="0" fontId="16" fillId="0" borderId="0" applyNumberFormat="0" applyFill="0" applyBorder="0" applyAlignment="0" applyProtection="0"/>
    <xf numFmtId="0" fontId="171" fillId="0" borderId="0" applyNumberFormat="0" applyFill="0" applyBorder="0" applyAlignment="0" applyProtection="0"/>
    <xf numFmtId="0" fontId="113" fillId="0" borderId="0" applyNumberFormat="0" applyFill="0" applyBorder="0" applyAlignment="0" applyProtection="0"/>
    <xf numFmtId="0" fontId="170" fillId="71" borderId="50">
      <alignment horizontal="left"/>
    </xf>
    <xf numFmtId="3" fontId="32" fillId="0" borderId="0"/>
    <xf numFmtId="0" fontId="30" fillId="0" borderId="15" applyNumberFormat="0" applyFill="0" applyAlignment="0" applyProtection="0"/>
    <xf numFmtId="0" fontId="30" fillId="0" borderId="44" applyNumberFormat="0" applyFill="0" applyAlignment="0" applyProtection="0"/>
    <xf numFmtId="0" fontId="62" fillId="0" borderId="44"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9" fillId="0" borderId="0" applyFont="0" applyFill="0" applyBorder="0" applyAlignment="0" applyProtection="0"/>
    <xf numFmtId="235" fontId="139" fillId="0" borderId="0" applyFont="0" applyFill="0" applyBorder="0" applyAlignment="0" applyProtection="0"/>
    <xf numFmtId="236" fontId="139" fillId="0" borderId="0" applyFont="0" applyFill="0" applyBorder="0" applyAlignment="0" applyProtection="0"/>
    <xf numFmtId="237" fontId="139" fillId="0" borderId="0" applyFont="0" applyFill="0" applyBorder="0" applyAlignment="0" applyProtection="0"/>
    <xf numFmtId="238" fontId="139" fillId="0" borderId="0" applyFont="0" applyFill="0" applyBorder="0" applyAlignment="0" applyProtection="0"/>
    <xf numFmtId="239" fontId="139" fillId="0" borderId="0" applyFont="0" applyFill="0" applyBorder="0" applyAlignment="0" applyProtection="0"/>
    <xf numFmtId="240" fontId="139" fillId="0" borderId="0" applyFont="0" applyFill="0" applyBorder="0" applyAlignment="0" applyProtection="0"/>
    <xf numFmtId="241" fontId="139"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5" fillId="0" borderId="9"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5" fillId="0" borderId="9"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5" fillId="0" borderId="9"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6" applyNumberFormat="0" applyAlignment="0" applyProtection="0"/>
    <xf numFmtId="0" fontId="43" fillId="68" borderId="17"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7" applyNumberFormat="0" applyAlignment="0" applyProtection="0"/>
    <xf numFmtId="43" fontId="32" fillId="0" borderId="0" applyFont="0" applyFill="0" applyBorder="0" applyAlignment="0" applyProtection="0"/>
    <xf numFmtId="0" fontId="10" fillId="39" borderId="35" applyNumberFormat="0" applyFont="0" applyAlignment="0" applyProtection="0"/>
    <xf numFmtId="9" fontId="32" fillId="0" borderId="0" applyFont="0" applyFill="0" applyBorder="0" applyAlignment="0" applyProtection="0"/>
    <xf numFmtId="0" fontId="62" fillId="0" borderId="44"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4"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7"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10" fillId="39" borderId="35" applyNumberFormat="0" applyFont="0" applyAlignment="0" applyProtection="0"/>
    <xf numFmtId="0" fontId="30" fillId="0" borderId="44"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5" applyNumberFormat="0" applyFont="0" applyAlignment="0" applyProtection="0"/>
    <xf numFmtId="0" fontId="91" fillId="68" borderId="36" applyNumberFormat="0" applyAlignment="0" applyProtection="0"/>
    <xf numFmtId="44" fontId="32" fillId="0" borderId="0" applyFont="0" applyFill="0" applyBorder="0" applyAlignment="0" applyProtection="0"/>
    <xf numFmtId="0" fontId="30" fillId="0" borderId="44"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4"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5" applyNumberFormat="0" applyFont="0" applyAlignment="0" applyProtection="0"/>
    <xf numFmtId="0" fontId="91" fillId="68" borderId="36" applyNumberFormat="0" applyAlignment="0" applyProtection="0"/>
    <xf numFmtId="0" fontId="43" fillId="68" borderId="17" applyNumberFormat="0" applyAlignment="0" applyProtection="0"/>
    <xf numFmtId="9" fontId="32" fillId="0" borderId="0" applyFont="0" applyFill="0" applyBorder="0" applyAlignment="0" applyProtection="0"/>
    <xf numFmtId="0" fontId="91" fillId="68" borderId="36" applyNumberFormat="0" applyAlignment="0" applyProtection="0"/>
    <xf numFmtId="0" fontId="30" fillId="0" borderId="44"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4" applyNumberFormat="0" applyFill="0" applyAlignment="0" applyProtection="0"/>
    <xf numFmtId="0" fontId="62" fillId="0" borderId="44"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7"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4"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5" applyNumberFormat="0" applyFont="0" applyAlignment="0" applyProtection="0"/>
    <xf numFmtId="0" fontId="91" fillId="68" borderId="36"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7" applyNumberFormat="0" applyAlignment="0" applyProtection="0"/>
    <xf numFmtId="0" fontId="62" fillId="0" borderId="44" applyNumberFormat="0" applyFill="0" applyAlignment="0" applyProtection="0"/>
    <xf numFmtId="0" fontId="62" fillId="0" borderId="44" applyNumberFormat="0" applyFill="0" applyAlignment="0" applyProtection="0"/>
    <xf numFmtId="0" fontId="43" fillId="68"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4"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5" applyNumberFormat="0" applyFont="0" applyAlignment="0" applyProtection="0"/>
    <xf numFmtId="0" fontId="43" fillId="68"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4"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4"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5"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4" applyNumberFormat="0" applyFill="0" applyAlignment="0" applyProtection="0"/>
    <xf numFmtId="0" fontId="91" fillId="68" borderId="36" applyNumberFormat="0" applyAlignment="0" applyProtection="0"/>
    <xf numFmtId="0" fontId="91" fillId="68" borderId="36" applyNumberFormat="0" applyAlignment="0" applyProtection="0"/>
    <xf numFmtId="0" fontId="62" fillId="0" borderId="44" applyNumberFormat="0" applyFill="0" applyAlignment="0" applyProtection="0"/>
    <xf numFmtId="0" fontId="30" fillId="0" borderId="44" applyNumberFormat="0" applyFill="0" applyAlignment="0" applyProtection="0"/>
    <xf numFmtId="0" fontId="91" fillId="68" borderId="36" applyNumberFormat="0" applyAlignment="0" applyProtection="0"/>
    <xf numFmtId="0" fontId="79" fillId="41" borderId="17" applyNumberFormat="0" applyAlignment="0" applyProtection="0"/>
    <xf numFmtId="0" fontId="79" fillId="41" borderId="17" applyNumberFormat="0" applyAlignment="0" applyProtection="0"/>
    <xf numFmtId="0" fontId="43" fillId="68" borderId="17" applyNumberFormat="0" applyAlignment="0" applyProtection="0"/>
    <xf numFmtId="0" fontId="91" fillId="68" borderId="36" applyNumberFormat="0" applyAlignment="0" applyProtection="0"/>
    <xf numFmtId="0" fontId="79" fillId="41" borderId="17" applyNumberFormat="0" applyAlignment="0" applyProtection="0"/>
    <xf numFmtId="0" fontId="43" fillId="68" borderId="17" applyNumberFormat="0" applyAlignment="0" applyProtection="0"/>
    <xf numFmtId="0" fontId="1" fillId="0" borderId="0"/>
    <xf numFmtId="0" fontId="32" fillId="0" borderId="0"/>
    <xf numFmtId="0" fontId="125" fillId="0" borderId="9"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2" fillId="0" borderId="0"/>
    <xf numFmtId="44"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2" fillId="0" borderId="0" applyFont="0" applyFill="0" applyBorder="0" applyAlignment="0" applyProtection="0"/>
    <xf numFmtId="9" fontId="172"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5" fillId="0" borderId="9"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7" applyNumberFormat="0" applyAlignment="0" applyProtection="0"/>
    <xf numFmtId="0" fontId="10" fillId="39" borderId="35" applyNumberFormat="0" applyFont="0" applyAlignment="0" applyProtection="0"/>
    <xf numFmtId="0" fontId="91" fillId="68" borderId="36" applyNumberFormat="0" applyAlignment="0" applyProtection="0"/>
    <xf numFmtId="0" fontId="30" fillId="0" borderId="44" applyNumberFormat="0" applyFill="0" applyAlignment="0" applyProtection="0"/>
    <xf numFmtId="0" fontId="62" fillId="0" borderId="44" applyNumberFormat="0" applyFill="0" applyAlignment="0" applyProtection="0"/>
    <xf numFmtId="0" fontId="91" fillId="68" borderId="36" applyNumberFormat="0" applyAlignment="0" applyProtection="0"/>
    <xf numFmtId="0" fontId="43" fillId="68" borderId="17" applyNumberFormat="0" applyAlignment="0" applyProtection="0"/>
    <xf numFmtId="0" fontId="43" fillId="68" borderId="17" applyNumberFormat="0" applyAlignment="0" applyProtection="0"/>
    <xf numFmtId="0" fontId="10" fillId="39" borderId="35" applyNumberFormat="0" applyFont="0" applyAlignment="0" applyProtection="0"/>
    <xf numFmtId="0" fontId="62" fillId="0" borderId="44" applyNumberFormat="0" applyFill="0" applyAlignment="0" applyProtection="0"/>
    <xf numFmtId="0" fontId="62" fillId="0" borderId="44" applyNumberFormat="0" applyFill="0" applyAlignment="0" applyProtection="0"/>
    <xf numFmtId="0" fontId="43" fillId="68"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10" fillId="39" borderId="35" applyNumberFormat="0" applyFont="0" applyAlignment="0" applyProtection="0"/>
    <xf numFmtId="0" fontId="30" fillId="0" borderId="44" applyNumberFormat="0" applyFill="0" applyAlignment="0" applyProtection="0"/>
    <xf numFmtId="0" fontId="10" fillId="39" borderId="35" applyNumberFormat="0" applyFont="0" applyAlignment="0" applyProtection="0"/>
    <xf numFmtId="0" fontId="91" fillId="68" borderId="36" applyNumberFormat="0" applyAlignment="0" applyProtection="0"/>
    <xf numFmtId="0" fontId="30" fillId="0" borderId="44" applyNumberFormat="0" applyFill="0" applyAlignment="0" applyProtection="0"/>
    <xf numFmtId="0" fontId="62" fillId="0" borderId="44" applyNumberFormat="0" applyFill="0" applyAlignment="0" applyProtection="0"/>
    <xf numFmtId="0" fontId="10" fillId="39" borderId="35" applyNumberFormat="0" applyFont="0" applyAlignment="0" applyProtection="0"/>
    <xf numFmtId="0" fontId="91" fillId="68" borderId="36" applyNumberFormat="0" applyAlignment="0" applyProtection="0"/>
    <xf numFmtId="0" fontId="43" fillId="68" borderId="17" applyNumberFormat="0" applyAlignment="0" applyProtection="0"/>
    <xf numFmtId="0" fontId="91" fillId="68" borderId="36" applyNumberFormat="0" applyAlignment="0" applyProtection="0"/>
    <xf numFmtId="0" fontId="30" fillId="0" borderId="44" applyNumberFormat="0" applyFill="0" applyAlignment="0" applyProtection="0"/>
    <xf numFmtId="0" fontId="30" fillId="0" borderId="44" applyNumberFormat="0" applyFill="0" applyAlignment="0" applyProtection="0"/>
    <xf numFmtId="0" fontId="62" fillId="0" borderId="44" applyNumberFormat="0" applyFill="0" applyAlignment="0" applyProtection="0"/>
    <xf numFmtId="0" fontId="79" fillId="41" borderId="17" applyNumberFormat="0" applyAlignment="0" applyProtection="0"/>
    <xf numFmtId="0" fontId="30" fillId="0" borderId="44" applyNumberFormat="0" applyFill="0" applyAlignment="0" applyProtection="0"/>
    <xf numFmtId="0" fontId="10" fillId="39" borderId="35" applyNumberFormat="0" applyFont="0" applyAlignment="0" applyProtection="0"/>
    <xf numFmtId="0" fontId="91" fillId="68" borderId="36" applyNumberFormat="0" applyAlignment="0" applyProtection="0"/>
    <xf numFmtId="0" fontId="62" fillId="0" borderId="44" applyNumberFormat="0" applyFill="0" applyAlignment="0" applyProtection="0"/>
    <xf numFmtId="0" fontId="43" fillId="68" borderId="17" applyNumberFormat="0" applyAlignment="0" applyProtection="0"/>
    <xf numFmtId="0" fontId="62" fillId="0" borderId="44" applyNumberFormat="0" applyFill="0" applyAlignment="0" applyProtection="0"/>
    <xf numFmtId="0" fontId="62" fillId="0" borderId="44" applyNumberFormat="0" applyFill="0" applyAlignment="0" applyProtection="0"/>
    <xf numFmtId="0" fontId="43" fillId="68" borderId="17" applyNumberFormat="0" applyAlignment="0" applyProtection="0"/>
    <xf numFmtId="0" fontId="79" fillId="41" borderId="17" applyNumberFormat="0" applyAlignment="0" applyProtection="0"/>
    <xf numFmtId="0" fontId="10" fillId="39" borderId="35" applyNumberFormat="0" applyFont="0" applyAlignment="0" applyProtection="0"/>
    <xf numFmtId="0" fontId="30" fillId="0" borderId="44" applyNumberFormat="0" applyFill="0" applyAlignment="0" applyProtection="0"/>
    <xf numFmtId="0" fontId="10" fillId="39" borderId="35" applyNumberFormat="0" applyFont="0" applyAlignment="0" applyProtection="0"/>
    <xf numFmtId="0" fontId="10" fillId="39" borderId="35" applyNumberFormat="0" applyFont="0" applyAlignment="0" applyProtection="0"/>
    <xf numFmtId="0" fontId="43" fillId="68" borderId="17" applyNumberFormat="0" applyAlignment="0" applyProtection="0"/>
    <xf numFmtId="0" fontId="30" fillId="0" borderId="44" applyNumberFormat="0" applyFill="0" applyAlignment="0" applyProtection="0"/>
    <xf numFmtId="0" fontId="62" fillId="0" borderId="44" applyNumberFormat="0" applyFill="0" applyAlignment="0" applyProtection="0"/>
    <xf numFmtId="0" fontId="79" fillId="41" borderId="17" applyNumberFormat="0" applyAlignment="0" applyProtection="0"/>
    <xf numFmtId="0" fontId="10" fillId="39" borderId="35" applyNumberFormat="0" applyFont="0" applyAlignment="0" applyProtection="0"/>
    <xf numFmtId="0" fontId="30" fillId="0" borderId="44" applyNumberFormat="0" applyFill="0" applyAlignment="0" applyProtection="0"/>
    <xf numFmtId="0" fontId="91" fillId="68" borderId="36" applyNumberFormat="0" applyAlignment="0" applyProtection="0"/>
    <xf numFmtId="0" fontId="91" fillId="68" borderId="36" applyNumberFormat="0" applyAlignment="0" applyProtection="0"/>
    <xf numFmtId="0" fontId="62" fillId="0" borderId="44" applyNumberFormat="0" applyFill="0" applyAlignment="0" applyProtection="0"/>
    <xf numFmtId="0" fontId="30" fillId="0" borderId="44" applyNumberFormat="0" applyFill="0" applyAlignment="0" applyProtection="0"/>
    <xf numFmtId="0" fontId="91" fillId="68" borderId="36" applyNumberFormat="0" applyAlignment="0" applyProtection="0"/>
    <xf numFmtId="0" fontId="79" fillId="41" borderId="17" applyNumberFormat="0" applyAlignment="0" applyProtection="0"/>
    <xf numFmtId="0" fontId="79" fillId="41" borderId="17" applyNumberFormat="0" applyAlignment="0" applyProtection="0"/>
    <xf numFmtId="0" fontId="43" fillId="68" borderId="17" applyNumberFormat="0" applyAlignment="0" applyProtection="0"/>
    <xf numFmtId="0" fontId="91" fillId="68" borderId="36" applyNumberFormat="0" applyAlignment="0" applyProtection="0"/>
    <xf numFmtId="0" fontId="79" fillId="41" borderId="17" applyNumberFormat="0" applyAlignment="0" applyProtection="0"/>
    <xf numFmtId="0" fontId="43" fillId="68" borderId="17" applyNumberFormat="0" applyAlignment="0" applyProtection="0"/>
    <xf numFmtId="3" fontId="66" fillId="0" borderId="0" applyFont="0" applyFill="0" applyBorder="0" applyAlignment="0" applyProtection="0"/>
    <xf numFmtId="0" fontId="43" fillId="68" borderId="17" applyNumberFormat="0" applyAlignment="0" applyProtection="0"/>
    <xf numFmtId="0" fontId="43" fillId="68"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39" fillId="39" borderId="35" applyNumberFormat="0" applyFont="0" applyAlignment="0" applyProtection="0"/>
    <xf numFmtId="0" fontId="39" fillId="39" borderId="35" applyNumberFormat="0" applyFont="0" applyAlignment="0" applyProtection="0"/>
    <xf numFmtId="0" fontId="10" fillId="39" borderId="35" applyNumberFormat="0" applyFont="0" applyAlignment="0" applyProtection="0"/>
    <xf numFmtId="0" fontId="10" fillId="39" borderId="35" applyNumberFormat="0" applyFont="0" applyAlignment="0" applyProtection="0"/>
    <xf numFmtId="0" fontId="10" fillId="39" borderId="35" applyNumberFormat="0" applyFont="0" applyAlignment="0" applyProtection="0"/>
    <xf numFmtId="0" fontId="34"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91" fillId="68" borderId="36" applyNumberFormat="0" applyAlignment="0" applyProtection="0"/>
    <xf numFmtId="0" fontId="91" fillId="68" borderId="36" applyNumberFormat="0" applyAlignment="0" applyProtection="0"/>
    <xf numFmtId="0" fontId="91" fillId="68" borderId="36" applyNumberFormat="0" applyAlignment="0" applyProtection="0"/>
    <xf numFmtId="0" fontId="91" fillId="68" borderId="36" applyNumberFormat="0" applyAlignment="0" applyProtection="0"/>
    <xf numFmtId="0" fontId="91" fillId="68" borderId="36" applyNumberFormat="0" applyAlignment="0" applyProtection="0"/>
    <xf numFmtId="0" fontId="91" fillId="69" borderId="36"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6" applyNumberFormat="0" applyProtection="0">
      <alignment vertical="center"/>
    </xf>
    <xf numFmtId="4" fontId="12" fillId="76" borderId="36" applyNumberFormat="0" applyProtection="0">
      <alignment vertical="center"/>
    </xf>
    <xf numFmtId="4" fontId="100" fillId="76" borderId="36" applyNumberFormat="0" applyProtection="0">
      <alignment vertical="center"/>
    </xf>
    <xf numFmtId="4" fontId="100" fillId="76" borderId="36" applyNumberFormat="0" applyProtection="0">
      <alignment vertical="center"/>
    </xf>
    <xf numFmtId="4" fontId="12" fillId="76" borderId="36" applyNumberFormat="0" applyProtection="0">
      <alignment horizontal="left" vertical="center" indent="1"/>
    </xf>
    <xf numFmtId="4" fontId="12" fillId="76" borderId="36" applyNumberFormat="0" applyProtection="0">
      <alignment horizontal="left" vertical="center" indent="1"/>
    </xf>
    <xf numFmtId="4" fontId="12" fillId="76" borderId="36" applyNumberFormat="0" applyProtection="0">
      <alignment horizontal="left" vertical="center" indent="1"/>
    </xf>
    <xf numFmtId="4" fontId="12" fillId="76"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83" borderId="36" applyNumberFormat="0" applyProtection="0">
      <alignment horizontal="right" vertical="center"/>
    </xf>
    <xf numFmtId="4" fontId="12" fillId="83" borderId="36" applyNumberFormat="0" applyProtection="0">
      <alignment horizontal="right" vertical="center"/>
    </xf>
    <xf numFmtId="4" fontId="12" fillId="84" borderId="36" applyNumberFormat="0" applyProtection="0">
      <alignment horizontal="right" vertical="center"/>
    </xf>
    <xf numFmtId="4" fontId="12" fillId="84" borderId="36" applyNumberFormat="0" applyProtection="0">
      <alignment horizontal="right" vertical="center"/>
    </xf>
    <xf numFmtId="4" fontId="12" fillId="85" borderId="36" applyNumberFormat="0" applyProtection="0">
      <alignment horizontal="right" vertical="center"/>
    </xf>
    <xf numFmtId="4" fontId="12" fillId="85" borderId="36" applyNumberFormat="0" applyProtection="0">
      <alignment horizontal="right" vertical="center"/>
    </xf>
    <xf numFmtId="4" fontId="12" fillId="86" borderId="36" applyNumberFormat="0" applyProtection="0">
      <alignment horizontal="right" vertical="center"/>
    </xf>
    <xf numFmtId="4" fontId="12" fillId="86" borderId="36" applyNumberFormat="0" applyProtection="0">
      <alignment horizontal="right" vertical="center"/>
    </xf>
    <xf numFmtId="4" fontId="12" fillId="87" borderId="36" applyNumberFormat="0" applyProtection="0">
      <alignment horizontal="right" vertical="center"/>
    </xf>
    <xf numFmtId="4" fontId="12" fillId="87" borderId="36" applyNumberFormat="0" applyProtection="0">
      <alignment horizontal="right" vertical="center"/>
    </xf>
    <xf numFmtId="4" fontId="12" fillId="88" borderId="36" applyNumberFormat="0" applyProtection="0">
      <alignment horizontal="right" vertical="center"/>
    </xf>
    <xf numFmtId="4" fontId="12" fillId="88" borderId="36" applyNumberFormat="0" applyProtection="0">
      <alignment horizontal="right" vertical="center"/>
    </xf>
    <xf numFmtId="4" fontId="12" fillId="89" borderId="36" applyNumberFormat="0" applyProtection="0">
      <alignment horizontal="right" vertical="center"/>
    </xf>
    <xf numFmtId="4" fontId="12" fillId="89" borderId="36" applyNumberFormat="0" applyProtection="0">
      <alignment horizontal="right" vertical="center"/>
    </xf>
    <xf numFmtId="4" fontId="12" fillId="90" borderId="36" applyNumberFormat="0" applyProtection="0">
      <alignment horizontal="right" vertical="center"/>
    </xf>
    <xf numFmtId="4" fontId="12" fillId="90" borderId="36" applyNumberFormat="0" applyProtection="0">
      <alignment horizontal="right" vertical="center"/>
    </xf>
    <xf numFmtId="4" fontId="12" fillId="91" borderId="36" applyNumberFormat="0" applyProtection="0">
      <alignment horizontal="right" vertical="center"/>
    </xf>
    <xf numFmtId="4" fontId="12" fillId="91" borderId="36" applyNumberFormat="0" applyProtection="0">
      <alignment horizontal="right" vertical="center"/>
    </xf>
    <xf numFmtId="4" fontId="13" fillId="92" borderId="36" applyNumberFormat="0" applyProtection="0">
      <alignment horizontal="left" vertical="center" indent="1"/>
    </xf>
    <xf numFmtId="4" fontId="13" fillId="92"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94" borderId="36" applyNumberFormat="0" applyProtection="0">
      <alignment horizontal="left" vertical="center" indent="1"/>
    </xf>
    <xf numFmtId="4" fontId="12" fillId="94" borderId="36" applyNumberFormat="0" applyProtection="0">
      <alignment horizontal="left" vertical="center" indent="1"/>
    </xf>
    <xf numFmtId="4" fontId="12" fillId="94" borderId="36" applyNumberFormat="0" applyProtection="0">
      <alignment horizontal="left" vertical="center" indent="1"/>
    </xf>
    <xf numFmtId="4" fontId="12" fillId="96" borderId="36" applyNumberFormat="0" applyProtection="0">
      <alignment horizontal="left" vertical="center" indent="1"/>
    </xf>
    <xf numFmtId="4" fontId="12" fillId="96" borderId="36" applyNumberFormat="0" applyProtection="0">
      <alignment horizontal="left" vertical="center" indent="1"/>
    </xf>
    <xf numFmtId="4" fontId="12"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98" borderId="36" applyNumberFormat="0" applyProtection="0">
      <alignment vertical="center"/>
    </xf>
    <xf numFmtId="4" fontId="12" fillId="98" borderId="36" applyNumberFormat="0" applyProtection="0">
      <alignment vertical="center"/>
    </xf>
    <xf numFmtId="4" fontId="100" fillId="98" borderId="36" applyNumberFormat="0" applyProtection="0">
      <alignment vertical="center"/>
    </xf>
    <xf numFmtId="4" fontId="100" fillId="98" borderId="36" applyNumberFormat="0" applyProtection="0">
      <alignment vertical="center"/>
    </xf>
    <xf numFmtId="4" fontId="12" fillId="98" borderId="36" applyNumberFormat="0" applyProtection="0">
      <alignment horizontal="left" vertical="center" indent="1"/>
    </xf>
    <xf numFmtId="4" fontId="12" fillId="98" borderId="36" applyNumberFormat="0" applyProtection="0">
      <alignment horizontal="left" vertical="center" indent="1"/>
    </xf>
    <xf numFmtId="4" fontId="12" fillId="98" borderId="36" applyNumberFormat="0" applyProtection="0">
      <alignment horizontal="left" vertical="center" indent="1"/>
    </xf>
    <xf numFmtId="4" fontId="12" fillId="98" borderId="36" applyNumberFormat="0" applyProtection="0">
      <alignment horizontal="left" vertical="center" indent="1"/>
    </xf>
    <xf numFmtId="4" fontId="12" fillId="94" borderId="36" applyNumberFormat="0" applyProtection="0">
      <alignment horizontal="right" vertical="center"/>
    </xf>
    <xf numFmtId="4" fontId="12" fillId="94" borderId="36" applyNumberFormat="0" applyProtection="0">
      <alignment horizontal="right" vertical="center"/>
    </xf>
    <xf numFmtId="4" fontId="12" fillId="94" borderId="36" applyNumberFormat="0" applyProtection="0">
      <alignment horizontal="right" vertical="center"/>
    </xf>
    <xf numFmtId="4" fontId="100" fillId="94" borderId="36" applyNumberFormat="0" applyProtection="0">
      <alignment horizontal="right" vertical="center"/>
    </xf>
    <xf numFmtId="4" fontId="100" fillId="94" borderId="36" applyNumberFormat="0" applyProtection="0">
      <alignment horizontal="right" vertical="center"/>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05" fillId="94" borderId="36" applyNumberFormat="0" applyProtection="0">
      <alignment horizontal="right" vertical="center"/>
    </xf>
    <xf numFmtId="4" fontId="105" fillId="94" borderId="36"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43" fillId="68" borderId="17" applyNumberFormat="0" applyAlignment="0" applyProtection="0"/>
    <xf numFmtId="0" fontId="10" fillId="39" borderId="35" applyNumberFormat="0" applyFont="0" applyAlignment="0" applyProtection="0"/>
    <xf numFmtId="0" fontId="91" fillId="68" borderId="36" applyNumberFormat="0" applyAlignment="0" applyProtection="0"/>
    <xf numFmtId="0" fontId="30" fillId="0" borderId="44" applyNumberFormat="0" applyFill="0" applyAlignment="0" applyProtection="0"/>
    <xf numFmtId="0" fontId="62" fillId="0" borderId="44" applyNumberFormat="0" applyFill="0" applyAlignment="0" applyProtection="0"/>
    <xf numFmtId="0" fontId="10" fillId="39" borderId="35" applyNumberFormat="0" applyFont="0" applyAlignment="0" applyProtection="0"/>
    <xf numFmtId="0" fontId="10" fillId="39" borderId="35" applyNumberFormat="0" applyFont="0" applyAlignment="0" applyProtection="0"/>
    <xf numFmtId="0" fontId="10" fillId="39" borderId="35" applyNumberFormat="0" applyFont="0" applyAlignment="0" applyProtection="0"/>
    <xf numFmtId="0" fontId="10" fillId="39" borderId="35"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2" applyNumberFormat="0">
      <alignment horizontal="center" vertical="center" wrapText="1"/>
    </xf>
    <xf numFmtId="0" fontId="15" fillId="67" borderId="52" applyNumberFormat="0">
      <alignment horizontal="center" vertical="center" wrapText="1"/>
    </xf>
    <xf numFmtId="0" fontId="67" fillId="0" borderId="53"/>
    <xf numFmtId="0" fontId="96" fillId="79" borderId="53"/>
    <xf numFmtId="0" fontId="15" fillId="67" borderId="52" applyNumberFormat="0">
      <alignment horizontal="center" vertical="center" wrapText="1"/>
    </xf>
    <xf numFmtId="0" fontId="15" fillId="67" borderId="52" applyNumberFormat="0">
      <alignment horizontal="center" vertical="center" wrapText="1"/>
    </xf>
  </cellStyleXfs>
  <cellXfs count="226">
    <xf numFmtId="0" fontId="0" fillId="0" borderId="0" xfId="0"/>
    <xf numFmtId="0" fontId="2" fillId="0" borderId="0" xfId="3"/>
    <xf numFmtId="0" fontId="5" fillId="2" borderId="0" xfId="3" applyFont="1" applyFill="1"/>
    <xf numFmtId="0" fontId="6" fillId="2" borderId="0" xfId="3" applyFont="1" applyFill="1" applyAlignment="1">
      <alignment horizontal="center"/>
    </xf>
    <xf numFmtId="0" fontId="6" fillId="2" borderId="1" xfId="3" applyFont="1" applyFill="1" applyBorder="1" applyAlignment="1">
      <alignment horizontal="center" vertical="center" wrapText="1"/>
    </xf>
    <xf numFmtId="0" fontId="6" fillId="2" borderId="1" xfId="3" applyFont="1" applyFill="1" applyBorder="1" applyAlignment="1">
      <alignment vertical="center"/>
    </xf>
    <xf numFmtId="0" fontId="6" fillId="2" borderId="1" xfId="3" applyFont="1" applyFill="1" applyBorder="1" applyAlignment="1">
      <alignment horizontal="center" vertic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5" fontId="7" fillId="2" borderId="0" xfId="4" applyNumberFormat="1" applyFont="1" applyFill="1"/>
    <xf numFmtId="0" fontId="5" fillId="2" borderId="0" xfId="3" applyFont="1" applyFill="1" applyAlignment="1">
      <alignment horizontal="center" vertical="center"/>
    </xf>
    <xf numFmtId="0" fontId="5" fillId="2" borderId="0" xfId="3" applyFont="1" applyFill="1" applyAlignment="1">
      <alignment vertical="center"/>
    </xf>
    <xf numFmtId="166" fontId="5" fillId="2" borderId="0" xfId="3" applyNumberFormat="1" applyFont="1" applyFill="1"/>
    <xf numFmtId="167" fontId="7" fillId="2" borderId="0" xfId="3" applyNumberFormat="1" applyFont="1" applyFill="1"/>
    <xf numFmtId="0" fontId="7" fillId="2" borderId="0" xfId="3" applyFont="1" applyFill="1"/>
    <xf numFmtId="0" fontId="5" fillId="2" borderId="0" xfId="3" applyFont="1" applyFill="1" applyAlignment="1">
      <alignment horizontal="left"/>
    </xf>
    <xf numFmtId="167" fontId="7" fillId="2" borderId="0" xfId="1" applyNumberFormat="1" applyFont="1" applyFill="1"/>
    <xf numFmtId="0" fontId="5" fillId="2" borderId="0" xfId="3" applyFont="1" applyFill="1" applyAlignment="1">
      <alignment horizontal="right"/>
    </xf>
    <xf numFmtId="0" fontId="5" fillId="0" borderId="0" xfId="3" applyFont="1" applyFill="1" applyAlignment="1">
      <alignment horizontal="center"/>
    </xf>
    <xf numFmtId="10" fontId="7" fillId="2" borderId="0" xfId="2" applyNumberFormat="1" applyFont="1" applyFill="1"/>
    <xf numFmtId="167" fontId="7" fillId="2" borderId="0" xfId="5" applyNumberFormat="1" applyFont="1" applyFill="1"/>
    <xf numFmtId="0" fontId="6" fillId="2" borderId="0" xfId="3" applyFont="1" applyFill="1"/>
    <xf numFmtId="167" fontId="8" fillId="2" borderId="2" xfId="5" applyNumberFormat="1" applyFont="1" applyFill="1" applyBorder="1"/>
    <xf numFmtId="167" fontId="7" fillId="2" borderId="0" xfId="3" applyNumberFormat="1" applyFont="1" applyFill="1" applyBorder="1"/>
    <xf numFmtId="166" fontId="7" fillId="2" borderId="0" xfId="3" applyNumberFormat="1" applyFont="1" applyFill="1" applyAlignment="1">
      <alignment vertical="center"/>
    </xf>
    <xf numFmtId="167" fontId="8" fillId="2" borderId="2" xfId="3" applyNumberFormat="1" applyFont="1" applyFill="1" applyBorder="1"/>
    <xf numFmtId="0" fontId="5" fillId="2" borderId="0" xfId="3" applyFont="1" applyFill="1" applyBorder="1"/>
    <xf numFmtId="0" fontId="5" fillId="0" borderId="0" xfId="3" applyFont="1"/>
    <xf numFmtId="0" fontId="3" fillId="2" borderId="0" xfId="3" applyFont="1" applyFill="1" applyAlignment="1">
      <alignment horizontal="center"/>
    </xf>
    <xf numFmtId="0" fontId="3" fillId="2" borderId="0" xfId="3" quotePrefix="1" applyFont="1" applyFill="1" applyAlignment="1">
      <alignment horizontal="center"/>
    </xf>
    <xf numFmtId="0" fontId="3" fillId="2" borderId="0" xfId="3" applyFont="1" applyFill="1" applyAlignment="1"/>
    <xf numFmtId="0" fontId="3" fillId="2" borderId="0" xfId="0" applyFont="1" applyFill="1" applyAlignment="1"/>
    <xf numFmtId="0" fontId="3" fillId="2" borderId="0" xfId="0" applyFont="1" applyFill="1" applyAlignment="1">
      <alignment horizontal="center"/>
    </xf>
    <xf numFmtId="165" fontId="5" fillId="2" borderId="0" xfId="4" applyNumberFormat="1" applyFont="1" applyFill="1"/>
    <xf numFmtId="0" fontId="5" fillId="2" borderId="0" xfId="3" applyFont="1" applyFill="1" applyAlignment="1">
      <alignment horizontal="center" vertical="center" wrapText="1"/>
    </xf>
    <xf numFmtId="0" fontId="5" fillId="2" borderId="0" xfId="3" applyFont="1" applyFill="1" applyAlignment="1">
      <alignment vertical="center" wrapText="1"/>
    </xf>
    <xf numFmtId="166" fontId="7" fillId="2" borderId="0" xfId="3" applyNumberFormat="1" applyFont="1" applyFill="1" applyAlignment="1">
      <alignment vertical="center" wrapText="1"/>
    </xf>
    <xf numFmtId="167" fontId="5" fillId="2" borderId="0" xfId="3" applyNumberFormat="1" applyFont="1" applyFill="1"/>
    <xf numFmtId="168" fontId="7" fillId="2" borderId="0" xfId="5" applyNumberFormat="1" applyFont="1" applyFill="1"/>
    <xf numFmtId="169" fontId="5" fillId="2" borderId="0" xfId="3" applyNumberFormat="1" applyFont="1" applyFill="1"/>
    <xf numFmtId="166" fontId="5" fillId="2" borderId="0" xfId="1" applyNumberFormat="1" applyFont="1" applyFill="1"/>
    <xf numFmtId="170" fontId="5" fillId="2" borderId="0" xfId="6" applyNumberFormat="1" applyFont="1" applyFill="1"/>
    <xf numFmtId="0" fontId="5" fillId="0" borderId="0" xfId="3" applyFont="1" applyFill="1"/>
    <xf numFmtId="167" fontId="8" fillId="2" borderId="0" xfId="3" applyNumberFormat="1" applyFont="1" applyFill="1" applyBorder="1"/>
    <xf numFmtId="167" fontId="5" fillId="2" borderId="0" xfId="3" applyNumberFormat="1" applyFont="1" applyFill="1" applyBorder="1"/>
    <xf numFmtId="0" fontId="10" fillId="0" borderId="0" xfId="7"/>
    <xf numFmtId="0" fontId="11" fillId="0" borderId="3" xfId="7" applyFont="1" applyFill="1" applyBorder="1" applyAlignment="1">
      <alignment horizontal="left" vertical="top"/>
    </xf>
    <xf numFmtId="0" fontId="10" fillId="0" borderId="0" xfId="7" applyFill="1"/>
    <xf numFmtId="0" fontId="0" fillId="0" borderId="0" xfId="0" applyFill="1"/>
    <xf numFmtId="0" fontId="12" fillId="0" borderId="3" xfId="7" applyFont="1" applyFill="1" applyBorder="1" applyAlignment="1">
      <alignment horizontal="left" vertical="top"/>
    </xf>
    <xf numFmtId="0" fontId="11" fillId="0" borderId="4" xfId="7" applyFont="1" applyFill="1" applyBorder="1" applyAlignment="1">
      <alignment horizontal="left" vertical="top" wrapText="1"/>
    </xf>
    <xf numFmtId="0" fontId="11" fillId="0" borderId="4" xfId="7" applyFont="1" applyFill="1" applyBorder="1" applyAlignment="1">
      <alignment horizontal="left" vertical="top"/>
    </xf>
    <xf numFmtId="0" fontId="11" fillId="0" borderId="5" xfId="7" applyFont="1" applyFill="1" applyBorder="1" applyAlignment="1">
      <alignment horizontal="left" vertical="top" wrapText="1"/>
    </xf>
    <xf numFmtId="0" fontId="11" fillId="0" borderId="5" xfId="7" applyFont="1" applyFill="1" applyBorder="1" applyAlignment="1">
      <alignment horizontal="left" vertical="top"/>
    </xf>
    <xf numFmtId="0" fontId="11" fillId="0" borderId="6" xfId="7" applyFont="1" applyFill="1" applyBorder="1" applyAlignment="1">
      <alignment horizontal="left" vertical="top"/>
    </xf>
    <xf numFmtId="0" fontId="11" fillId="0" borderId="6" xfId="7" applyFont="1" applyFill="1" applyBorder="1" applyAlignment="1">
      <alignment horizontal="left" vertical="top" wrapText="1"/>
    </xf>
    <xf numFmtId="0" fontId="11" fillId="0" borderId="3" xfId="7" applyFont="1" applyFill="1" applyBorder="1" applyAlignment="1">
      <alignment horizontal="center" wrapText="1"/>
    </xf>
    <xf numFmtId="0" fontId="12" fillId="0" borderId="3" xfId="7" applyFont="1" applyFill="1" applyBorder="1" applyAlignment="1">
      <alignment horizontal="center"/>
    </xf>
    <xf numFmtId="0" fontId="15" fillId="0" borderId="0" xfId="7" applyFont="1" applyFill="1"/>
    <xf numFmtId="173" fontId="13" fillId="0" borderId="3" xfId="7" applyNumberFormat="1" applyFont="1" applyFill="1" applyBorder="1" applyAlignment="1">
      <alignment horizontal="right" vertical="center"/>
    </xf>
    <xf numFmtId="0" fontId="13" fillId="0" borderId="3" xfId="7" applyNumberFormat="1" applyFont="1" applyFill="1" applyBorder="1" applyAlignment="1">
      <alignment horizontal="right" vertical="center"/>
    </xf>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3" xfId="7" applyFont="1" applyFill="1" applyBorder="1" applyAlignment="1">
      <alignment horizontal="center"/>
    </xf>
    <xf numFmtId="43" fontId="0" fillId="0" borderId="0" xfId="6" applyFont="1"/>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0" fontId="14" fillId="0" borderId="0" xfId="0" applyFont="1" applyAlignment="1">
      <alignment horizontal="center"/>
    </xf>
    <xf numFmtId="164" fontId="6" fillId="2" borderId="1" xfId="3" applyNumberFormat="1" applyFont="1" applyFill="1" applyBorder="1" applyAlignment="1">
      <alignment horizontal="center" vertical="center"/>
    </xf>
    <xf numFmtId="0" fontId="11" fillId="0" borderId="3" xfId="30951" applyFont="1" applyFill="1" applyBorder="1" applyAlignment="1">
      <alignment horizontal="left" vertical="top"/>
    </xf>
    <xf numFmtId="173" fontId="13" fillId="0" borderId="3" xfId="30949" applyNumberFormat="1" applyFont="1" applyFill="1" applyBorder="1" applyAlignment="1">
      <alignment horizontal="right" vertical="center"/>
    </xf>
    <xf numFmtId="173" fontId="13" fillId="0" borderId="3" xfId="9550" applyNumberFormat="1" applyFont="1" applyFill="1" applyBorder="1" applyAlignment="1">
      <alignment horizontal="right" vertical="center"/>
    </xf>
    <xf numFmtId="171" fontId="11" fillId="0" borderId="3" xfId="9550" applyNumberFormat="1" applyFont="1" applyFill="1" applyBorder="1" applyAlignment="1">
      <alignment horizontal="right" vertical="center"/>
    </xf>
    <xf numFmtId="171" fontId="11" fillId="0" borderId="3" xfId="30949" applyNumberFormat="1" applyFont="1" applyFill="1" applyBorder="1" applyAlignment="1">
      <alignment horizontal="right" vertical="center"/>
    </xf>
    <xf numFmtId="0" fontId="10" fillId="0" borderId="0" xfId="30954"/>
    <xf numFmtId="0" fontId="11" fillId="0" borderId="3" xfId="9552" applyFont="1" applyFill="1" applyBorder="1" applyAlignment="1">
      <alignment horizontal="left" vertical="center"/>
    </xf>
    <xf numFmtId="171" fontId="13" fillId="0" borderId="3" xfId="30951" applyNumberFormat="1" applyFont="1" applyFill="1" applyBorder="1" applyAlignment="1">
      <alignment horizontal="right" vertical="center"/>
    </xf>
    <xf numFmtId="0" fontId="11" fillId="0" borderId="3" xfId="30949" applyFont="1" applyFill="1" applyBorder="1" applyAlignment="1">
      <alignment horizontal="left" vertical="center"/>
    </xf>
    <xf numFmtId="172" fontId="11" fillId="0" borderId="3" xfId="9552" applyNumberFormat="1" applyFont="1" applyFill="1" applyBorder="1" applyAlignment="1">
      <alignment horizontal="right" vertical="center"/>
    </xf>
    <xf numFmtId="0" fontId="10" fillId="0" borderId="0" xfId="30951" applyFill="1"/>
    <xf numFmtId="0" fontId="10" fillId="0" borderId="0" xfId="30948"/>
    <xf numFmtId="0" fontId="11" fillId="0" borderId="4" xfId="30952" applyFont="1" applyFill="1" applyBorder="1" applyAlignment="1">
      <alignment horizontal="left" vertical="top"/>
    </xf>
    <xf numFmtId="171" fontId="11" fillId="0" borderId="3" xfId="30951" applyNumberFormat="1" applyFont="1" applyFill="1" applyBorder="1" applyAlignment="1">
      <alignment horizontal="right" vertical="center"/>
    </xf>
    <xf numFmtId="172" fontId="13" fillId="0" borderId="3" xfId="30949" applyNumberFormat="1" applyFont="1" applyFill="1" applyBorder="1" applyAlignment="1">
      <alignment horizontal="right" vertical="center"/>
    </xf>
    <xf numFmtId="171" fontId="13" fillId="0" borderId="3" xfId="9550" applyNumberFormat="1" applyFont="1" applyFill="1" applyBorder="1" applyAlignment="1">
      <alignment horizontal="right" vertical="center"/>
    </xf>
    <xf numFmtId="171" fontId="11" fillId="0" borderId="3" xfId="30952" applyNumberFormat="1" applyFont="1" applyFill="1" applyBorder="1" applyAlignment="1">
      <alignment horizontal="right" vertical="center"/>
    </xf>
    <xf numFmtId="171" fontId="13" fillId="0" borderId="3" xfId="9552" applyNumberFormat="1" applyFont="1" applyFill="1" applyBorder="1" applyAlignment="1">
      <alignment horizontal="right" vertical="center"/>
    </xf>
    <xf numFmtId="172" fontId="13" fillId="0" borderId="3" xfId="30951" applyNumberFormat="1" applyFont="1" applyFill="1" applyBorder="1" applyAlignment="1">
      <alignment horizontal="right" vertical="center"/>
    </xf>
    <xf numFmtId="172" fontId="13" fillId="0" borderId="3" xfId="9550" applyNumberFormat="1" applyFont="1" applyFill="1" applyBorder="1" applyAlignment="1">
      <alignment horizontal="right" vertical="center"/>
    </xf>
    <xf numFmtId="0" fontId="11" fillId="0" borderId="4" xfId="30951" applyFont="1" applyFill="1" applyBorder="1" applyAlignment="1">
      <alignment horizontal="left" vertical="top" wrapText="1"/>
    </xf>
    <xf numFmtId="172" fontId="11" fillId="0" borderId="3" xfId="9550" applyNumberFormat="1" applyFont="1" applyFill="1" applyBorder="1" applyAlignment="1">
      <alignment horizontal="right" vertical="center"/>
    </xf>
    <xf numFmtId="165" fontId="124" fillId="2" borderId="0" xfId="4" applyNumberFormat="1" applyFont="1" applyFill="1"/>
    <xf numFmtId="165" fontId="124" fillId="2" borderId="0" xfId="4" applyNumberFormat="1" applyFont="1" applyFill="1"/>
    <xf numFmtId="167" fontId="124" fillId="2" borderId="0" xfId="3" applyNumberFormat="1" applyFont="1" applyFill="1"/>
    <xf numFmtId="165" fontId="124" fillId="2" borderId="0" xfId="4" applyNumberFormat="1" applyFont="1" applyFill="1"/>
    <xf numFmtId="0" fontId="0" fillId="0" borderId="0" xfId="0"/>
    <xf numFmtId="0" fontId="5" fillId="2" borderId="0" xfId="3" applyFont="1" applyFill="1"/>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8" fontId="7" fillId="2" borderId="0" xfId="5"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7" fontId="5" fillId="2" borderId="0" xfId="3" applyNumberFormat="1" applyFont="1" applyFill="1" applyBorder="1"/>
    <xf numFmtId="0" fontId="3" fillId="2" borderId="0" xfId="0" applyFont="1" applyFill="1" applyAlignment="1"/>
    <xf numFmtId="10" fontId="7" fillId="2" borderId="0" xfId="2" applyNumberFormat="1" applyFont="1" applyFill="1"/>
    <xf numFmtId="167" fontId="8" fillId="2" borderId="2" xfId="5" applyNumberFormat="1" applyFont="1" applyFill="1" applyBorder="1"/>
    <xf numFmtId="166" fontId="7" fillId="2" borderId="0" xfId="3" applyNumberFormat="1" applyFont="1" applyFill="1" applyAlignment="1">
      <alignment vertical="center" wrapText="1"/>
    </xf>
    <xf numFmtId="166" fontId="5" fillId="2" borderId="0" xfId="1" applyNumberFormat="1" applyFont="1" applyFill="1"/>
    <xf numFmtId="166" fontId="5" fillId="2" borderId="0" xfId="3" applyNumberFormat="1" applyFont="1" applyFill="1"/>
    <xf numFmtId="165" fontId="124" fillId="2" borderId="0" xfId="4" applyNumberFormat="1" applyFont="1" applyFill="1"/>
    <xf numFmtId="167" fontId="124" fillId="2" borderId="0" xfId="3" applyNumberFormat="1" applyFont="1" applyFill="1"/>
    <xf numFmtId="165" fontId="122" fillId="2" borderId="0" xfId="4" applyNumberFormat="1" applyFont="1" applyFill="1"/>
    <xf numFmtId="165" fontId="123" fillId="2" borderId="0" xfId="4" applyNumberFormat="1" applyFont="1" applyFill="1"/>
    <xf numFmtId="0" fontId="11" fillId="0" borderId="4" xfId="30951" applyFont="1" applyFill="1" applyBorder="1" applyAlignment="1">
      <alignment horizontal="left" vertical="top"/>
    </xf>
    <xf numFmtId="0" fontId="12" fillId="0" borderId="3" xfId="30952" applyFont="1" applyFill="1" applyBorder="1" applyAlignment="1">
      <alignment horizontal="left" vertical="top"/>
    </xf>
    <xf numFmtId="172" fontId="11" fillId="0" borderId="3" xfId="30949" applyNumberFormat="1" applyFont="1" applyFill="1" applyBorder="1" applyAlignment="1">
      <alignment horizontal="right" vertical="center"/>
    </xf>
    <xf numFmtId="0" fontId="11" fillId="0" borderId="6" xfId="30952" applyFont="1" applyFill="1" applyBorder="1" applyAlignment="1">
      <alignment horizontal="left" vertical="top"/>
    </xf>
    <xf numFmtId="0" fontId="11" fillId="0" borderId="3" xfId="30951" applyFont="1" applyFill="1" applyBorder="1" applyAlignment="1">
      <alignment horizontal="left" vertical="center"/>
    </xf>
    <xf numFmtId="0" fontId="30" fillId="0" borderId="0" xfId="0" applyFont="1" applyFill="1" applyAlignment="1">
      <alignment horizontal="center"/>
    </xf>
    <xf numFmtId="172" fontId="11" fillId="0" borderId="3" xfId="30952" applyNumberFormat="1" applyFont="1" applyFill="1" applyBorder="1" applyAlignment="1">
      <alignment horizontal="right" vertical="center"/>
    </xf>
    <xf numFmtId="0" fontId="12" fillId="0" borderId="3" xfId="30951" applyFont="1" applyFill="1" applyBorder="1" applyAlignment="1">
      <alignment horizontal="left" vertical="top"/>
    </xf>
    <xf numFmtId="172" fontId="13" fillId="0" borderId="3" xfId="9552" applyNumberFormat="1" applyFont="1" applyFill="1" applyBorder="1" applyAlignment="1">
      <alignment horizontal="right" vertical="center"/>
    </xf>
    <xf numFmtId="173" fontId="13" fillId="0" borderId="3" xfId="9552" applyNumberFormat="1" applyFont="1" applyFill="1" applyBorder="1" applyAlignment="1">
      <alignment horizontal="right" vertical="center"/>
    </xf>
    <xf numFmtId="0" fontId="11" fillId="0" borderId="3" xfId="30951" applyFont="1" applyFill="1" applyBorder="1" applyAlignment="1">
      <alignment horizontal="center" vertical="center" wrapText="1"/>
    </xf>
    <xf numFmtId="0" fontId="11" fillId="0" borderId="5" xfId="30952" applyFont="1" applyFill="1" applyBorder="1" applyAlignment="1">
      <alignment horizontal="left" vertical="top"/>
    </xf>
    <xf numFmtId="171" fontId="13" fillId="0" borderId="3" xfId="30949" applyNumberFormat="1" applyFont="1" applyFill="1" applyBorder="1" applyAlignment="1">
      <alignment horizontal="right" vertical="center"/>
    </xf>
    <xf numFmtId="0" fontId="11" fillId="0" borderId="5" xfId="30951" applyFont="1" applyFill="1" applyBorder="1" applyAlignment="1">
      <alignment horizontal="left" vertical="top" wrapText="1"/>
    </xf>
    <xf numFmtId="0" fontId="11" fillId="0" borderId="3" xfId="30951" applyFont="1" applyFill="1" applyBorder="1" applyAlignment="1">
      <alignment horizontal="left" vertical="center" wrapText="1"/>
    </xf>
    <xf numFmtId="0" fontId="11" fillId="0" borderId="3" xfId="30951" applyFont="1" applyFill="1" applyBorder="1" applyAlignment="1">
      <alignment horizontal="right" vertical="center" wrapText="1"/>
    </xf>
    <xf numFmtId="0" fontId="11" fillId="0" borderId="3" xfId="9550" applyFont="1" applyFill="1" applyBorder="1" applyAlignment="1">
      <alignment horizontal="left" vertical="center"/>
    </xf>
    <xf numFmtId="171" fontId="11" fillId="0" borderId="3" xfId="9552" applyNumberFormat="1" applyFont="1" applyFill="1" applyBorder="1" applyAlignment="1">
      <alignment horizontal="right" vertical="center"/>
    </xf>
    <xf numFmtId="0" fontId="11" fillId="0" borderId="6" xfId="30951" applyFont="1" applyFill="1" applyBorder="1" applyAlignment="1">
      <alignment horizontal="left" vertical="top"/>
    </xf>
    <xf numFmtId="0" fontId="10" fillId="0" borderId="0" xfId="9553"/>
    <xf numFmtId="0" fontId="11" fillId="0" borderId="3" xfId="30952" applyFont="1" applyFill="1" applyBorder="1" applyAlignment="1">
      <alignment horizontal="left" vertical="center"/>
    </xf>
    <xf numFmtId="0" fontId="11" fillId="0" borderId="6" xfId="30951" applyFont="1" applyFill="1" applyBorder="1" applyAlignment="1">
      <alignment horizontal="left" vertical="top" wrapText="1"/>
    </xf>
    <xf numFmtId="173" fontId="13" fillId="0" borderId="3" xfId="30951" applyNumberFormat="1" applyFont="1" applyFill="1" applyBorder="1" applyAlignment="1">
      <alignment horizontal="right" vertical="center"/>
    </xf>
    <xf numFmtId="172" fontId="11" fillId="0" borderId="3" xfId="30951" applyNumberFormat="1" applyFont="1" applyFill="1" applyBorder="1" applyAlignment="1">
      <alignment horizontal="right" vertical="center"/>
    </xf>
    <xf numFmtId="167" fontId="122" fillId="2" borderId="0" xfId="1" applyNumberFormat="1" applyFont="1" applyFill="1"/>
    <xf numFmtId="167" fontId="123" fillId="2" borderId="0" xfId="1" applyNumberFormat="1" applyFont="1" applyFill="1"/>
    <xf numFmtId="165" fontId="122" fillId="2" borderId="0" xfId="4" applyNumberFormat="1" applyFont="1" applyFill="1"/>
    <xf numFmtId="165" fontId="123" fillId="2" borderId="0" xfId="4" applyNumberFormat="1" applyFont="1" applyFill="1"/>
    <xf numFmtId="0" fontId="0" fillId="0" borderId="0" xfId="0"/>
    <xf numFmtId="0" fontId="5" fillId="2" borderId="0" xfId="3" applyFont="1" applyFill="1"/>
    <xf numFmtId="0" fontId="5" fillId="2" borderId="0" xfId="3" applyFont="1" applyFill="1" applyAlignment="1">
      <alignment horizontal="center"/>
    </xf>
    <xf numFmtId="0" fontId="7" fillId="2" borderId="0" xfId="3" applyFont="1" applyFill="1"/>
    <xf numFmtId="165" fontId="7" fillId="2" borderId="0" xfId="4" applyNumberFormat="1" applyFont="1" applyFill="1"/>
    <xf numFmtId="167" fontId="7" fillId="2" borderId="0" xfId="3" applyNumberFormat="1" applyFont="1" applyFill="1"/>
    <xf numFmtId="167" fontId="7" fillId="2" borderId="0" xfId="1" applyNumberFormat="1" applyFont="1" applyFill="1"/>
    <xf numFmtId="0" fontId="0" fillId="0" borderId="0" xfId="0" applyFill="1"/>
    <xf numFmtId="10" fontId="7" fillId="2" borderId="0" xfId="2" applyNumberFormat="1" applyFont="1" applyFill="1"/>
    <xf numFmtId="166" fontId="5" fillId="2" borderId="0" xfId="3" applyNumberFormat="1" applyFont="1" applyFill="1"/>
    <xf numFmtId="167" fontId="8" fillId="2" borderId="2" xfId="5" applyNumberFormat="1" applyFont="1" applyFill="1" applyBorder="1"/>
    <xf numFmtId="167" fontId="122" fillId="2" borderId="0" xfId="1" applyNumberFormat="1" applyFont="1" applyFill="1"/>
    <xf numFmtId="167" fontId="123" fillId="2" borderId="0" xfId="1" applyNumberFormat="1" applyFont="1" applyFill="1"/>
    <xf numFmtId="0" fontId="11" fillId="0" borderId="3" xfId="0" applyFont="1" applyFill="1" applyBorder="1" applyAlignment="1">
      <alignment horizontal="left" vertical="top"/>
    </xf>
    <xf numFmtId="0" fontId="11" fillId="0" borderId="3" xfId="0" applyFont="1" applyFill="1" applyBorder="1" applyAlignment="1">
      <alignment horizontal="left" vertical="center" wrapText="1"/>
    </xf>
    <xf numFmtId="0" fontId="12" fillId="0" borderId="3" xfId="0" applyFont="1" applyFill="1" applyBorder="1" applyAlignment="1">
      <alignment horizontal="left" vertical="top"/>
    </xf>
    <xf numFmtId="0" fontId="11" fillId="0" borderId="3" xfId="0" applyFont="1" applyFill="1" applyBorder="1" applyAlignment="1">
      <alignment horizontal="center" vertical="center" wrapText="1"/>
    </xf>
    <xf numFmtId="0" fontId="11" fillId="0" borderId="3" xfId="0" applyFont="1" applyFill="1" applyBorder="1" applyAlignment="1">
      <alignment horizontal="right" vertical="center" wrapText="1"/>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1" xfId="0" applyFont="1" applyFill="1" applyBorder="1" applyAlignment="1">
      <alignment horizontal="left" vertical="top"/>
    </xf>
    <xf numFmtId="173" fontId="13" fillId="0" borderId="3" xfId="0" applyNumberFormat="1" applyFont="1" applyFill="1" applyBorder="1" applyAlignment="1">
      <alignment horizontal="right" vertical="center"/>
    </xf>
    <xf numFmtId="172" fontId="13" fillId="0" borderId="3" xfId="0" applyNumberFormat="1" applyFont="1" applyFill="1" applyBorder="1" applyAlignment="1">
      <alignment horizontal="right" vertical="center"/>
    </xf>
    <xf numFmtId="171" fontId="13" fillId="0" borderId="3" xfId="0" applyNumberFormat="1" applyFont="1" applyFill="1" applyBorder="1" applyAlignment="1">
      <alignment horizontal="right" vertical="center"/>
    </xf>
    <xf numFmtId="0" fontId="11" fillId="0" borderId="51"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203" fontId="0" fillId="0" borderId="0" xfId="0" applyNumberForma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165" fontId="124" fillId="2" borderId="0" xfId="4" applyNumberFormat="1" applyFont="1" applyFill="1"/>
    <xf numFmtId="10" fontId="7" fillId="2" borderId="0" xfId="2" applyNumberFormat="1" applyFont="1" applyFill="1"/>
    <xf numFmtId="165" fontId="124" fillId="2" borderId="0" xfId="4" applyNumberFormat="1" applyFont="1" applyFill="1"/>
    <xf numFmtId="167" fontId="124" fillId="2" borderId="0" xfId="3" applyNumberFormat="1" applyFont="1" applyFill="1"/>
    <xf numFmtId="165" fontId="124" fillId="2" borderId="0" xfId="4" applyNumberFormat="1" applyFont="1" applyFill="1"/>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0" fontId="7" fillId="2" borderId="0" xfId="2" applyNumberFormat="1" applyFont="1" applyFill="1"/>
    <xf numFmtId="167" fontId="8" fillId="2" borderId="2" xfId="5" applyNumberFormat="1" applyFont="1" applyFill="1" applyBorder="1"/>
    <xf numFmtId="166" fontId="5" fillId="2" borderId="0" xfId="3" applyNumberFormat="1" applyFont="1" applyFill="1"/>
    <xf numFmtId="165" fontId="124" fillId="2" borderId="0" xfId="4" applyNumberFormat="1" applyFont="1" applyFill="1"/>
    <xf numFmtId="167" fontId="124" fillId="2" borderId="0" xfId="3" applyNumberFormat="1" applyFont="1" applyFill="1"/>
    <xf numFmtId="0" fontId="3" fillId="2" borderId="0" xfId="3" applyFont="1" applyFill="1" applyAlignment="1">
      <alignment horizontal="center"/>
    </xf>
    <xf numFmtId="165" fontId="123" fillId="2" borderId="0" xfId="4" applyNumberFormat="1" applyFont="1" applyFill="1"/>
    <xf numFmtId="167" fontId="123" fillId="2" borderId="0" xfId="1" applyNumberFormat="1" applyFont="1" applyFill="1"/>
    <xf numFmtId="165" fontId="123" fillId="2" borderId="0" xfId="4" applyNumberFormat="1" applyFont="1" applyFill="1"/>
    <xf numFmtId="0" fontId="0" fillId="0" borderId="0" xfId="0"/>
    <xf numFmtId="10" fontId="7" fillId="2" borderId="0" xfId="2" applyNumberFormat="1" applyFont="1" applyFill="1"/>
    <xf numFmtId="167" fontId="123" fillId="2" borderId="0" xfId="1" applyNumberFormat="1" applyFont="1" applyFill="1"/>
    <xf numFmtId="0" fontId="11" fillId="0" borderId="53" xfId="30951" applyFont="1" applyFill="1" applyBorder="1" applyAlignment="1">
      <alignment horizontal="left" vertical="top"/>
    </xf>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5" fillId="2" borderId="0" xfId="3" applyFont="1" applyFill="1" applyAlignment="1">
      <alignment horizontal="center" vertical="center" wrapText="1"/>
    </xf>
    <xf numFmtId="0" fontId="3" fillId="2" borderId="0" xfId="3" applyFont="1" applyFill="1" applyAlignment="1">
      <alignment horizontal="center"/>
    </xf>
    <xf numFmtId="0" fontId="4" fillId="2" borderId="0" xfId="3" applyFont="1" applyFill="1" applyAlignment="1">
      <alignment horizontal="center"/>
    </xf>
    <xf numFmtId="0" fontId="3" fillId="2" borderId="0" xfId="3" quotePrefix="1" applyFont="1" applyFill="1" applyAlignment="1">
      <alignment horizontal="center"/>
    </xf>
    <xf numFmtId="0" fontId="14"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tabSelected="1" topLeftCell="A20" zoomScaleNormal="100" workbookViewId="0">
      <selection activeCell="T15" sqref="T15"/>
    </sheetView>
  </sheetViews>
  <sheetFormatPr defaultRowHeight="14.5"/>
  <cols>
    <col min="1" max="1" width="7.453125" customWidth="1"/>
    <col min="2" max="2" width="33.54296875" customWidth="1"/>
    <col min="3" max="3" width="14.81640625" customWidth="1"/>
    <col min="4" max="4" width="12.453125" hidden="1" customWidth="1"/>
    <col min="5" max="5" width="12.54296875" hidden="1" customWidth="1"/>
    <col min="6" max="6" width="0.54296875" customWidth="1"/>
    <col min="7" max="9" width="12.1796875" hidden="1" customWidth="1"/>
    <col min="10" max="10" width="12.81640625" customWidth="1"/>
    <col min="11" max="11" width="13" customWidth="1"/>
    <col min="12" max="12" width="12.453125" customWidth="1"/>
    <col min="13" max="13" width="9.81640625" hidden="1" customWidth="1"/>
    <col min="14" max="15" width="8.90625" hidden="1" customWidth="1"/>
    <col min="16" max="16" width="12.90625" style="147" customWidth="1"/>
    <col min="17" max="17" width="12.90625" style="97" customWidth="1"/>
    <col min="18" max="18" width="12" style="147" customWidth="1"/>
    <col min="19" max="19" width="13.36328125" customWidth="1"/>
  </cols>
  <sheetData>
    <row r="1" spans="1:19" ht="15.5">
      <c r="A1" s="220" t="s">
        <v>0</v>
      </c>
      <c r="B1" s="220"/>
      <c r="C1" s="220"/>
      <c r="D1" s="220"/>
      <c r="E1" s="220"/>
      <c r="F1" s="220"/>
      <c r="G1" s="220"/>
      <c r="H1" s="220"/>
      <c r="I1" s="220"/>
      <c r="J1" s="220"/>
      <c r="K1" s="220"/>
      <c r="L1" s="220"/>
      <c r="M1" s="220"/>
      <c r="N1" s="220"/>
      <c r="O1" s="220"/>
      <c r="P1" s="220"/>
      <c r="Q1" s="220"/>
      <c r="R1" s="220"/>
      <c r="S1" s="220"/>
    </row>
    <row r="2" spans="1:19" ht="17.5">
      <c r="A2" s="221" t="s">
        <v>44</v>
      </c>
      <c r="B2" s="221"/>
      <c r="C2" s="221"/>
      <c r="D2" s="221"/>
      <c r="E2" s="221"/>
      <c r="F2" s="221"/>
      <c r="G2" s="221"/>
      <c r="H2" s="221"/>
      <c r="I2" s="221"/>
      <c r="J2" s="221"/>
      <c r="K2" s="221"/>
      <c r="L2" s="221"/>
      <c r="M2" s="221"/>
      <c r="N2" s="221"/>
      <c r="O2" s="221"/>
      <c r="P2" s="221"/>
      <c r="Q2" s="221"/>
      <c r="R2" s="221"/>
      <c r="S2" s="221"/>
    </row>
    <row r="3" spans="1:19" ht="15.5">
      <c r="A3" s="222" t="s">
        <v>45</v>
      </c>
      <c r="B3" s="222"/>
      <c r="C3" s="222"/>
      <c r="D3" s="222"/>
      <c r="E3" s="222"/>
      <c r="F3" s="222"/>
      <c r="G3" s="222"/>
      <c r="H3" s="222"/>
      <c r="I3" s="222"/>
      <c r="J3" s="222"/>
      <c r="K3" s="222"/>
      <c r="L3" s="222"/>
      <c r="M3" s="222"/>
      <c r="N3" s="222"/>
      <c r="O3" s="222"/>
      <c r="P3" s="222"/>
      <c r="Q3" s="222"/>
      <c r="R3" s="222"/>
      <c r="S3" s="222"/>
    </row>
    <row r="4" spans="1:19" ht="15.5">
      <c r="A4" s="30"/>
      <c r="B4" s="31"/>
      <c r="C4" s="31"/>
      <c r="D4" s="32"/>
      <c r="E4" s="32"/>
      <c r="F4" s="31"/>
      <c r="G4" s="31"/>
      <c r="H4" s="31"/>
      <c r="I4" s="31"/>
      <c r="J4" s="31"/>
      <c r="K4" s="31"/>
      <c r="L4" s="31"/>
      <c r="M4" s="31"/>
      <c r="N4" s="31"/>
      <c r="O4" s="31"/>
      <c r="P4" s="109"/>
      <c r="Q4" s="109"/>
      <c r="R4" s="109"/>
      <c r="S4" s="2"/>
    </row>
    <row r="5" spans="1:19" ht="26.5">
      <c r="A5" s="2"/>
      <c r="B5" s="2"/>
      <c r="C5" s="2"/>
      <c r="D5" s="32" t="s">
        <v>3</v>
      </c>
      <c r="E5" s="32" t="s">
        <v>3</v>
      </c>
      <c r="F5" s="2"/>
      <c r="G5" s="2"/>
      <c r="H5" s="2"/>
      <c r="I5" s="2"/>
      <c r="J5" s="2"/>
      <c r="K5" s="2"/>
      <c r="L5" s="2"/>
      <c r="M5" s="2"/>
      <c r="N5" s="2"/>
      <c r="O5" s="2"/>
      <c r="P5" s="188" t="s">
        <v>119</v>
      </c>
      <c r="Q5" s="188" t="s">
        <v>86</v>
      </c>
      <c r="R5" s="188" t="s">
        <v>118</v>
      </c>
      <c r="S5" s="188" t="s">
        <v>117</v>
      </c>
    </row>
    <row r="6" spans="1:19">
      <c r="A6" s="4" t="s">
        <v>4</v>
      </c>
      <c r="B6" s="5"/>
      <c r="C6" s="6" t="s">
        <v>5</v>
      </c>
      <c r="D6" s="7">
        <v>42005</v>
      </c>
      <c r="E6" s="7">
        <f t="shared" ref="E6:O6" si="0">EDATE(D6,1)</f>
        <v>42036</v>
      </c>
      <c r="F6" s="7">
        <f t="shared" si="0"/>
        <v>42064</v>
      </c>
      <c r="G6" s="7">
        <f t="shared" si="0"/>
        <v>42095</v>
      </c>
      <c r="H6" s="7">
        <f t="shared" si="0"/>
        <v>42125</v>
      </c>
      <c r="I6" s="7">
        <f t="shared" si="0"/>
        <v>42156</v>
      </c>
      <c r="J6" s="7">
        <f t="shared" si="0"/>
        <v>42186</v>
      </c>
      <c r="K6" s="7">
        <f t="shared" si="0"/>
        <v>42217</v>
      </c>
      <c r="L6" s="7">
        <f t="shared" si="0"/>
        <v>42248</v>
      </c>
      <c r="M6" s="7">
        <f t="shared" si="0"/>
        <v>42278</v>
      </c>
      <c r="N6" s="7">
        <f t="shared" si="0"/>
        <v>42309</v>
      </c>
      <c r="O6" s="7">
        <f t="shared" si="0"/>
        <v>42339</v>
      </c>
      <c r="P6" s="70" t="s">
        <v>6</v>
      </c>
      <c r="Q6" s="70" t="s">
        <v>6</v>
      </c>
      <c r="R6" s="70" t="s">
        <v>6</v>
      </c>
      <c r="S6" s="7" t="s">
        <v>6</v>
      </c>
    </row>
    <row r="7" spans="1:19">
      <c r="A7" s="8"/>
      <c r="B7" s="8" t="s">
        <v>7</v>
      </c>
      <c r="C7" s="8" t="s">
        <v>8</v>
      </c>
      <c r="D7" s="8" t="s">
        <v>9</v>
      </c>
      <c r="E7" s="8" t="s">
        <v>10</v>
      </c>
      <c r="F7" s="8" t="s">
        <v>11</v>
      </c>
      <c r="G7" s="8" t="s">
        <v>12</v>
      </c>
      <c r="H7" s="8" t="s">
        <v>13</v>
      </c>
      <c r="I7" s="8" t="s">
        <v>14</v>
      </c>
      <c r="J7" s="8" t="s">
        <v>15</v>
      </c>
      <c r="K7" s="8" t="s">
        <v>16</v>
      </c>
      <c r="L7" s="8" t="s">
        <v>17</v>
      </c>
      <c r="M7" s="8" t="s">
        <v>18</v>
      </c>
      <c r="N7" s="8" t="s">
        <v>19</v>
      </c>
      <c r="O7" s="8" t="s">
        <v>20</v>
      </c>
      <c r="P7" s="149"/>
      <c r="Q7" s="99"/>
      <c r="R7" s="149"/>
      <c r="S7" s="8" t="s">
        <v>21</v>
      </c>
    </row>
    <row r="8" spans="1:19">
      <c r="A8" s="8"/>
      <c r="B8" s="3" t="s">
        <v>22</v>
      </c>
      <c r="C8" s="8"/>
      <c r="D8" s="8"/>
      <c r="E8" s="8"/>
      <c r="F8" s="8"/>
      <c r="G8" s="8"/>
      <c r="H8" s="8"/>
      <c r="I8" s="8"/>
      <c r="J8" s="8"/>
      <c r="K8" s="8"/>
      <c r="L8" s="8"/>
      <c r="M8" s="8"/>
      <c r="N8" s="8"/>
      <c r="O8" s="8"/>
      <c r="P8" s="149"/>
      <c r="Q8" s="99"/>
      <c r="R8" s="149"/>
      <c r="S8" s="2"/>
    </row>
    <row r="9" spans="1:19">
      <c r="A9" s="8">
        <v>1</v>
      </c>
      <c r="B9" s="2" t="s">
        <v>23</v>
      </c>
      <c r="C9" s="8" t="s">
        <v>24</v>
      </c>
      <c r="D9" s="9">
        <v>207224</v>
      </c>
      <c r="E9" s="9">
        <v>207250</v>
      </c>
      <c r="F9" s="9">
        <v>206422</v>
      </c>
      <c r="G9" s="93">
        <v>206679</v>
      </c>
      <c r="H9" s="93">
        <v>206185</v>
      </c>
      <c r="I9" s="93">
        <v>206224</v>
      </c>
      <c r="J9" s="191">
        <v>207030</v>
      </c>
      <c r="K9" s="191">
        <v>206682</v>
      </c>
      <c r="L9" s="191">
        <v>207742</v>
      </c>
      <c r="M9" s="9"/>
      <c r="N9" s="9"/>
      <c r="O9" s="9"/>
      <c r="P9" s="151">
        <f>SUM(D9:F9)</f>
        <v>620896</v>
      </c>
      <c r="Q9" s="102">
        <f>SUM(G9:I9)</f>
        <v>619088</v>
      </c>
      <c r="R9" s="151">
        <f>SUM(J9:L9)</f>
        <v>621454</v>
      </c>
      <c r="S9" s="33">
        <f>SUM(D9:O9)</f>
        <v>1861438</v>
      </c>
    </row>
    <row r="10" spans="1:19">
      <c r="A10" s="34">
        <f t="shared" ref="A10:A42" si="1">A9+1</f>
        <v>2</v>
      </c>
      <c r="B10" s="35" t="s">
        <v>25</v>
      </c>
      <c r="C10" s="10" t="s">
        <v>46</v>
      </c>
      <c r="D10" s="36">
        <v>78.809318650824423</v>
      </c>
      <c r="E10" s="36">
        <v>69.941481960984561</v>
      </c>
      <c r="F10" s="36">
        <v>64.345815043164464</v>
      </c>
      <c r="G10" s="36">
        <v>51.01990701924457</v>
      </c>
      <c r="H10" s="36">
        <v>47.063799760088948</v>
      </c>
      <c r="I10" s="36">
        <v>44.921736331003189</v>
      </c>
      <c r="J10" s="36">
        <v>51.178827370287053</v>
      </c>
      <c r="K10" s="36">
        <v>54.246921456412629</v>
      </c>
      <c r="L10" s="36">
        <v>45.858943541371545</v>
      </c>
      <c r="M10" s="36">
        <v>52.532862039130649</v>
      </c>
      <c r="N10" s="36">
        <v>65.528007877298535</v>
      </c>
      <c r="O10" s="36">
        <v>83.062378950189284</v>
      </c>
      <c r="P10" s="112">
        <f>P11/P9</f>
        <v>71.040796232142881</v>
      </c>
      <c r="Q10" s="112">
        <f>Q11/Q9</f>
        <v>47.670982266639299</v>
      </c>
      <c r="R10" s="112">
        <f>R11/R9</f>
        <v>50.420857376565941</v>
      </c>
      <c r="S10" s="36">
        <f>S11/S9</f>
        <v>56.384216281680182</v>
      </c>
    </row>
    <row r="11" spans="1:19">
      <c r="A11" s="8">
        <f t="shared" si="1"/>
        <v>3</v>
      </c>
      <c r="B11" s="2" t="s">
        <v>27</v>
      </c>
      <c r="C11" s="8" t="str">
        <f>"("&amp;A9&amp;") x ("&amp;A10&amp;")"</f>
        <v>(1) x (2)</v>
      </c>
      <c r="D11" s="13">
        <f t="shared" ref="D11:O11" si="2">D9*D10</f>
        <v>16331182.24809844</v>
      </c>
      <c r="E11" s="13">
        <f t="shared" si="2"/>
        <v>14495372.136414051</v>
      </c>
      <c r="F11" s="13">
        <f t="shared" si="2"/>
        <v>13282391.832840094</v>
      </c>
      <c r="G11" s="13">
        <f t="shared" si="2"/>
        <v>10544743.362830449</v>
      </c>
      <c r="H11" s="13">
        <f t="shared" si="2"/>
        <v>9703849.5535339396</v>
      </c>
      <c r="I11" s="13">
        <f t="shared" si="2"/>
        <v>9263940.1531248018</v>
      </c>
      <c r="J11" s="13">
        <f t="shared" si="2"/>
        <v>10595552.630470529</v>
      </c>
      <c r="K11" s="13">
        <f t="shared" si="2"/>
        <v>11211862.220454276</v>
      </c>
      <c r="L11" s="13">
        <f t="shared" si="2"/>
        <v>9526828.6491716076</v>
      </c>
      <c r="M11" s="13">
        <f t="shared" si="2"/>
        <v>0</v>
      </c>
      <c r="N11" s="13">
        <f t="shared" si="2"/>
        <v>0</v>
      </c>
      <c r="O11" s="13">
        <f t="shared" si="2"/>
        <v>0</v>
      </c>
      <c r="P11" s="152">
        <f>SUM(D11:F11)</f>
        <v>44108946.217352584</v>
      </c>
      <c r="Q11" s="103">
        <f>SUM(G11:I11)</f>
        <v>29512533.069489188</v>
      </c>
      <c r="R11" s="152">
        <f>SUM(J11:L11)</f>
        <v>31334243.500096411</v>
      </c>
      <c r="S11" s="37">
        <f>SUM(D11:O11)</f>
        <v>104955722.78693819</v>
      </c>
    </row>
    <row r="12" spans="1:19">
      <c r="A12" s="8"/>
      <c r="B12" s="2"/>
      <c r="C12" s="8"/>
      <c r="D12" s="14"/>
      <c r="E12" s="14"/>
      <c r="F12" s="14"/>
      <c r="G12" s="14"/>
      <c r="H12" s="14"/>
      <c r="I12" s="14"/>
      <c r="J12" s="14"/>
      <c r="K12" s="14"/>
      <c r="L12" s="14"/>
      <c r="M12" s="14"/>
      <c r="N12" s="14"/>
      <c r="O12" s="14"/>
      <c r="P12" s="150"/>
      <c r="Q12" s="100"/>
      <c r="R12" s="150"/>
      <c r="S12" s="2"/>
    </row>
    <row r="13" spans="1:19" hidden="1">
      <c r="A13" s="8"/>
      <c r="B13" s="2"/>
      <c r="C13" s="8"/>
      <c r="D13" s="14"/>
      <c r="E13" s="14"/>
      <c r="F13" s="14"/>
      <c r="G13" s="14"/>
      <c r="H13" s="14"/>
      <c r="I13" s="14"/>
      <c r="J13" s="14"/>
      <c r="K13" s="14"/>
      <c r="L13" s="14"/>
      <c r="M13" s="14"/>
      <c r="N13" s="14"/>
      <c r="O13" s="14"/>
      <c r="P13" s="150"/>
      <c r="Q13" s="100"/>
      <c r="R13" s="150"/>
      <c r="S13" s="2"/>
    </row>
    <row r="14" spans="1:19">
      <c r="A14" s="8">
        <v>4</v>
      </c>
      <c r="B14" s="2" t="s">
        <v>47</v>
      </c>
      <c r="C14" s="8" t="s">
        <v>24</v>
      </c>
      <c r="D14" s="13">
        <v>25101844.505918302</v>
      </c>
      <c r="E14" s="13">
        <v>17879887.201779999</v>
      </c>
      <c r="F14" s="13">
        <v>17559759.671609998</v>
      </c>
      <c r="G14" s="95">
        <v>15694519.05022</v>
      </c>
      <c r="H14" s="95">
        <v>13097132.782890001</v>
      </c>
      <c r="I14" s="95">
        <v>14889106.69554</v>
      </c>
      <c r="J14" s="194">
        <v>19331800.532899998</v>
      </c>
      <c r="K14" s="194">
        <v>17006511.33876</v>
      </c>
      <c r="L14" s="194">
        <v>13586942.977359999</v>
      </c>
      <c r="M14" s="13"/>
      <c r="N14" s="13"/>
      <c r="O14" s="13"/>
      <c r="P14" s="152"/>
      <c r="Q14" s="103"/>
      <c r="R14" s="152"/>
      <c r="S14" s="37"/>
    </row>
    <row r="15" spans="1:19">
      <c r="A15" s="8">
        <v>5</v>
      </c>
      <c r="B15" s="2" t="s">
        <v>48</v>
      </c>
      <c r="C15" s="8" t="s">
        <v>24</v>
      </c>
      <c r="D15" s="13">
        <v>1761404</v>
      </c>
      <c r="E15" s="13">
        <v>1761625</v>
      </c>
      <c r="F15" s="13">
        <v>1754587</v>
      </c>
      <c r="G15" s="95">
        <v>1756771.5</v>
      </c>
      <c r="H15" s="95">
        <v>1752572.5</v>
      </c>
      <c r="I15" s="95">
        <v>1752904</v>
      </c>
      <c r="J15" s="194">
        <v>1821149.5</v>
      </c>
      <c r="K15" s="194">
        <v>1819598</v>
      </c>
      <c r="L15" s="194">
        <v>1819259.5</v>
      </c>
      <c r="M15" s="13"/>
      <c r="N15" s="13"/>
      <c r="O15" s="13"/>
      <c r="P15" s="152"/>
      <c r="Q15" s="103"/>
      <c r="R15" s="152"/>
      <c r="S15" s="37"/>
    </row>
    <row r="16" spans="1:19">
      <c r="A16" s="8">
        <v>6</v>
      </c>
      <c r="B16" s="15" t="s">
        <v>49</v>
      </c>
      <c r="C16" s="8" t="s">
        <v>24</v>
      </c>
      <c r="D16" s="9">
        <v>273966953</v>
      </c>
      <c r="E16" s="9">
        <v>197618642</v>
      </c>
      <c r="F16" s="9">
        <v>196511929</v>
      </c>
      <c r="G16" s="94">
        <v>174058158</v>
      </c>
      <c r="H16" s="94">
        <v>144371121</v>
      </c>
      <c r="I16" s="94">
        <v>166807706</v>
      </c>
      <c r="J16" s="193">
        <v>215398297</v>
      </c>
      <c r="K16" s="193">
        <v>186598692</v>
      </c>
      <c r="L16" s="193">
        <v>148639680</v>
      </c>
      <c r="M16" s="9"/>
      <c r="N16" s="9"/>
      <c r="O16" s="9"/>
      <c r="P16" s="151"/>
      <c r="Q16" s="102"/>
      <c r="R16" s="151"/>
      <c r="S16" s="9"/>
    </row>
    <row r="17" spans="1:19">
      <c r="A17" s="8">
        <v>7</v>
      </c>
      <c r="B17" s="2" t="s">
        <v>50</v>
      </c>
      <c r="C17" s="8" t="s">
        <v>51</v>
      </c>
      <c r="D17" s="38">
        <v>2.1080000000000002E-2</v>
      </c>
      <c r="E17" s="38">
        <v>2.1080000000000002E-2</v>
      </c>
      <c r="F17" s="38">
        <v>2.1080000000000002E-2</v>
      </c>
      <c r="G17" s="38">
        <v>2.1080000000000002E-2</v>
      </c>
      <c r="H17" s="38">
        <v>2.1080000000000002E-2</v>
      </c>
      <c r="I17" s="38">
        <v>2.1080000000000002E-2</v>
      </c>
      <c r="J17" s="38">
        <v>2.1080000000000002E-2</v>
      </c>
      <c r="K17" s="38">
        <v>2.1080000000000002E-2</v>
      </c>
      <c r="L17" s="38">
        <v>2.1080000000000002E-2</v>
      </c>
      <c r="M17" s="38">
        <v>2.1080000000000002E-2</v>
      </c>
      <c r="N17" s="38">
        <v>2.1080000000000002E-2</v>
      </c>
      <c r="O17" s="38">
        <v>2.1080000000000002E-2</v>
      </c>
      <c r="P17" s="104"/>
      <c r="Q17" s="104"/>
      <c r="R17" s="104"/>
      <c r="S17" s="39"/>
    </row>
    <row r="18" spans="1:19">
      <c r="A18" s="8">
        <v>8</v>
      </c>
      <c r="B18" s="2" t="s">
        <v>52</v>
      </c>
      <c r="C18" s="8" t="str">
        <f>"("&amp;A16&amp;") x ("&amp;A17&amp;")"</f>
        <v>(6) x (7)</v>
      </c>
      <c r="D18" s="13">
        <f t="shared" ref="D18:O18" si="3">D16*D17</f>
        <v>5775223.3692400008</v>
      </c>
      <c r="E18" s="13">
        <f t="shared" si="3"/>
        <v>4165800.9733600002</v>
      </c>
      <c r="F18" s="13">
        <f t="shared" si="3"/>
        <v>4142471.4633200001</v>
      </c>
      <c r="G18" s="13">
        <f t="shared" si="3"/>
        <v>3669145.9706400004</v>
      </c>
      <c r="H18" s="13">
        <f t="shared" si="3"/>
        <v>3043343.23068</v>
      </c>
      <c r="I18" s="13">
        <f t="shared" si="3"/>
        <v>3516306.4424800002</v>
      </c>
      <c r="J18" s="13">
        <f t="shared" si="3"/>
        <v>4540596.1007600008</v>
      </c>
      <c r="K18" s="13">
        <f t="shared" si="3"/>
        <v>3933500.4273600001</v>
      </c>
      <c r="L18" s="13">
        <f t="shared" si="3"/>
        <v>3133324.4544000002</v>
      </c>
      <c r="M18" s="13">
        <f t="shared" si="3"/>
        <v>0</v>
      </c>
      <c r="N18" s="13">
        <f t="shared" si="3"/>
        <v>0</v>
      </c>
      <c r="O18" s="13">
        <f t="shared" si="3"/>
        <v>0</v>
      </c>
      <c r="P18" s="152"/>
      <c r="Q18" s="103"/>
      <c r="R18" s="152"/>
      <c r="S18" s="37"/>
    </row>
    <row r="19" spans="1:19">
      <c r="A19" s="8">
        <v>9</v>
      </c>
      <c r="B19" s="2" t="s">
        <v>30</v>
      </c>
      <c r="C19" s="8" t="str">
        <f>"("&amp;A14&amp;") - ("&amp;A15&amp;") -("&amp;A18&amp;")"</f>
        <v>(4) - (5) -(8)</v>
      </c>
      <c r="D19" s="13">
        <f>D14-D15-D18</f>
        <v>17565217.136678301</v>
      </c>
      <c r="E19" s="13">
        <f t="shared" ref="E19:O19" si="4">E14-E15-E18</f>
        <v>11952461.228419999</v>
      </c>
      <c r="F19" s="13">
        <f t="shared" si="4"/>
        <v>11662701.208289998</v>
      </c>
      <c r="G19" s="13">
        <f t="shared" si="4"/>
        <v>10268601.57958</v>
      </c>
      <c r="H19" s="13">
        <f t="shared" si="4"/>
        <v>8301217.0522100013</v>
      </c>
      <c r="I19" s="13">
        <f t="shared" si="4"/>
        <v>9619896.25306</v>
      </c>
      <c r="J19" s="13">
        <f t="shared" si="4"/>
        <v>12970054.932139996</v>
      </c>
      <c r="K19" s="13">
        <f t="shared" si="4"/>
        <v>11253412.9114</v>
      </c>
      <c r="L19" s="13">
        <f t="shared" si="4"/>
        <v>8634359.0229599997</v>
      </c>
      <c r="M19" s="13">
        <f t="shared" si="4"/>
        <v>0</v>
      </c>
      <c r="N19" s="13">
        <f t="shared" si="4"/>
        <v>0</v>
      </c>
      <c r="O19" s="13">
        <f t="shared" si="4"/>
        <v>0</v>
      </c>
      <c r="P19" s="152">
        <f>SUM(D19:F19)</f>
        <v>41180379.573388293</v>
      </c>
      <c r="Q19" s="103">
        <f>SUM(G19:I19)</f>
        <v>28189714.884850003</v>
      </c>
      <c r="R19" s="152">
        <f>SUM(J19:L19)</f>
        <v>32857826.866499998</v>
      </c>
      <c r="S19" s="37">
        <f>SUM(D19:O19)</f>
        <v>102227921.32473829</v>
      </c>
    </row>
    <row r="20" spans="1:19">
      <c r="A20" s="8"/>
      <c r="B20" s="17" t="s">
        <v>31</v>
      </c>
      <c r="C20" s="8"/>
      <c r="D20" s="40">
        <f>D19/D9</f>
        <v>84.764395710334227</v>
      </c>
      <c r="E20" s="40">
        <f t="shared" ref="E20:S20" si="5">E19/E9</f>
        <v>57.671706771628465</v>
      </c>
      <c r="F20" s="40">
        <f t="shared" si="5"/>
        <v>56.499313097877156</v>
      </c>
      <c r="G20" s="40">
        <f t="shared" si="5"/>
        <v>49.683816834705027</v>
      </c>
      <c r="H20" s="40">
        <f t="shared" si="5"/>
        <v>40.261013421005416</v>
      </c>
      <c r="I20" s="40">
        <f t="shared" si="5"/>
        <v>46.64780167710839</v>
      </c>
      <c r="J20" s="40">
        <f t="shared" si="5"/>
        <v>62.648190755639263</v>
      </c>
      <c r="K20" s="40">
        <f t="shared" si="5"/>
        <v>54.447958271160523</v>
      </c>
      <c r="L20" s="40">
        <f t="shared" si="5"/>
        <v>41.562895432603902</v>
      </c>
      <c r="M20" s="40" t="e">
        <f t="shared" si="5"/>
        <v>#DIV/0!</v>
      </c>
      <c r="N20" s="40" t="e">
        <f t="shared" si="5"/>
        <v>#DIV/0!</v>
      </c>
      <c r="O20" s="40" t="e">
        <f t="shared" si="5"/>
        <v>#DIV/0!</v>
      </c>
      <c r="P20" s="113">
        <f t="shared" ref="P20" si="6">P19/P9</f>
        <v>66.324118005895173</v>
      </c>
      <c r="Q20" s="113">
        <f t="shared" si="5"/>
        <v>45.53426150216125</v>
      </c>
      <c r="R20" s="113">
        <f t="shared" ref="R20" si="7">R19/R9</f>
        <v>52.872500404696083</v>
      </c>
      <c r="S20" s="40">
        <f t="shared" si="5"/>
        <v>54.918789304149961</v>
      </c>
    </row>
    <row r="21" spans="1:19">
      <c r="A21" s="8">
        <v>10</v>
      </c>
      <c r="B21" s="2" t="s">
        <v>32</v>
      </c>
      <c r="C21" s="8" t="str">
        <f>"("&amp;A$11&amp;") - ("&amp;A19&amp;")"</f>
        <v>(3) - (9)</v>
      </c>
      <c r="D21" s="13">
        <f>D11-D19</f>
        <v>-1234034.8885798603</v>
      </c>
      <c r="E21" s="13">
        <f t="shared" ref="E21:O21" si="8">E11-E19</f>
        <v>2542910.9079940524</v>
      </c>
      <c r="F21" s="13">
        <f t="shared" si="8"/>
        <v>1619690.6245500967</v>
      </c>
      <c r="G21" s="13">
        <f t="shared" si="8"/>
        <v>276141.78325044923</v>
      </c>
      <c r="H21" s="13">
        <f t="shared" si="8"/>
        <v>1402632.5013239384</v>
      </c>
      <c r="I21" s="13">
        <f t="shared" si="8"/>
        <v>-355956.0999351982</v>
      </c>
      <c r="J21" s="13">
        <f t="shared" si="8"/>
        <v>-2374502.3016694672</v>
      </c>
      <c r="K21" s="13">
        <f t="shared" si="8"/>
        <v>-41550.690945724025</v>
      </c>
      <c r="L21" s="13">
        <f t="shared" si="8"/>
        <v>892469.62621160783</v>
      </c>
      <c r="M21" s="13">
        <f t="shared" si="8"/>
        <v>0</v>
      </c>
      <c r="N21" s="13">
        <f t="shared" si="8"/>
        <v>0</v>
      </c>
      <c r="O21" s="13">
        <f t="shared" si="8"/>
        <v>0</v>
      </c>
      <c r="P21" s="152">
        <f>SUM(D21:F21)</f>
        <v>2928566.6439642888</v>
      </c>
      <c r="Q21" s="103">
        <f t="shared" ref="Q21:Q22" si="9">SUM(G21:I21)</f>
        <v>1322818.1846391894</v>
      </c>
      <c r="R21" s="152">
        <f>SUM(J21:L21)</f>
        <v>-1523583.3664035834</v>
      </c>
      <c r="S21" s="37">
        <f>SUM(D21:O21)</f>
        <v>2727801.4621998947</v>
      </c>
    </row>
    <row r="22" spans="1:19">
      <c r="A22" s="8">
        <v>11</v>
      </c>
      <c r="B22" s="2" t="s">
        <v>33</v>
      </c>
      <c r="C22" s="41" t="s">
        <v>34</v>
      </c>
      <c r="D22" s="13">
        <f>D21*-0.045395</f>
        <v>56019.013767082753</v>
      </c>
      <c r="E22" s="13">
        <f>E21*-0.045395</f>
        <v>-115435.44066839</v>
      </c>
      <c r="F22" s="13">
        <f t="shared" ref="F22:N22" si="10">F21*-0.045395</f>
        <v>-73525.855901451636</v>
      </c>
      <c r="G22" s="13">
        <f t="shared" si="10"/>
        <v>-12535.456250654142</v>
      </c>
      <c r="H22" s="13">
        <f t="shared" si="10"/>
        <v>-63672.502397600176</v>
      </c>
      <c r="I22" s="13">
        <f t="shared" si="10"/>
        <v>16158.627156558321</v>
      </c>
      <c r="J22" s="13">
        <f t="shared" si="10"/>
        <v>107790.53198428547</v>
      </c>
      <c r="K22" s="13">
        <f t="shared" si="10"/>
        <v>1886.1936154811419</v>
      </c>
      <c r="L22" s="13">
        <f t="shared" si="10"/>
        <v>-40513.658681875939</v>
      </c>
      <c r="M22" s="13">
        <f t="shared" si="10"/>
        <v>0</v>
      </c>
      <c r="N22" s="13">
        <f t="shared" si="10"/>
        <v>0</v>
      </c>
      <c r="O22" s="13">
        <f>O21*-0.045395</f>
        <v>0</v>
      </c>
      <c r="P22" s="152">
        <f>SUM(D22:F22)</f>
        <v>-132942.28280275888</v>
      </c>
      <c r="Q22" s="103">
        <f t="shared" si="9"/>
        <v>-60049.331491696001</v>
      </c>
      <c r="R22" s="152">
        <f>SUM(J22:L22)</f>
        <v>69163.066917890668</v>
      </c>
      <c r="S22" s="37">
        <f>SUM(D22:O22)</f>
        <v>-123828.54737656422</v>
      </c>
    </row>
    <row r="23" spans="1:19">
      <c r="A23" s="8"/>
      <c r="B23" s="2"/>
      <c r="C23" s="8" t="s">
        <v>35</v>
      </c>
      <c r="D23" s="19">
        <v>3.2500000000000001E-2</v>
      </c>
      <c r="E23" s="19">
        <f>D23</f>
        <v>3.2500000000000001E-2</v>
      </c>
      <c r="F23" s="19">
        <f>E23</f>
        <v>3.2500000000000001E-2</v>
      </c>
      <c r="G23" s="19">
        <f>F23</f>
        <v>3.2500000000000001E-2</v>
      </c>
      <c r="H23" s="19">
        <f t="shared" ref="H23:O23" si="11">G23</f>
        <v>3.2500000000000001E-2</v>
      </c>
      <c r="I23" s="19">
        <f t="shared" si="11"/>
        <v>3.2500000000000001E-2</v>
      </c>
      <c r="J23" s="192">
        <f t="shared" ref="J23" si="12">I23</f>
        <v>3.2500000000000001E-2</v>
      </c>
      <c r="K23" s="192">
        <f t="shared" ref="K23" si="13">J23</f>
        <v>3.2500000000000001E-2</v>
      </c>
      <c r="L23" s="192">
        <f t="shared" ref="L23" si="14">K23</f>
        <v>3.2500000000000001E-2</v>
      </c>
      <c r="M23" s="19">
        <v>0</v>
      </c>
      <c r="N23" s="19">
        <f t="shared" si="11"/>
        <v>0</v>
      </c>
      <c r="O23" s="19">
        <f t="shared" si="11"/>
        <v>0</v>
      </c>
      <c r="P23" s="155"/>
      <c r="Q23" s="110"/>
      <c r="R23" s="155"/>
      <c r="S23" s="37"/>
    </row>
    <row r="24" spans="1:19">
      <c r="A24" s="8">
        <v>12</v>
      </c>
      <c r="B24" s="2" t="s">
        <v>36</v>
      </c>
      <c r="C24" s="42" t="s">
        <v>41</v>
      </c>
      <c r="D24" s="20">
        <f>(D21+D22)/2*D23/12</f>
        <v>-1595.2298304756366</v>
      </c>
      <c r="E24" s="20">
        <f>(D27+(E21+E22)/2)*0.0325/12</f>
        <v>92.426286928023728</v>
      </c>
      <c r="F24" s="20">
        <f>(E27+(F21+F22)/2)*F23/12</f>
        <v>5473.6477610036627</v>
      </c>
      <c r="G24" s="20">
        <f t="shared" ref="G24:O24" si="15">(F27+(G21+G22)/2)*G23/12</f>
        <v>7939.2039157136423</v>
      </c>
      <c r="H24" s="20">
        <f t="shared" si="15"/>
        <v>10130.84782601034</v>
      </c>
      <c r="I24" s="20">
        <f t="shared" si="15"/>
        <v>11511.318126364125</v>
      </c>
      <c r="J24" s="20">
        <f t="shared" si="15"/>
        <v>8012.84668045327</v>
      </c>
      <c r="K24" s="20">
        <f t="shared" si="15"/>
        <v>4911.3302786294444</v>
      </c>
      <c r="L24" s="20">
        <f t="shared" si="15"/>
        <v>6024.6098306958738</v>
      </c>
      <c r="M24" s="20">
        <f t="shared" si="15"/>
        <v>0</v>
      </c>
      <c r="N24" s="20">
        <f t="shared" si="15"/>
        <v>0</v>
      </c>
      <c r="O24" s="20">
        <f t="shared" si="15"/>
        <v>0</v>
      </c>
      <c r="P24" s="152">
        <f>SUM(D24:F24)</f>
        <v>3970.8442174560496</v>
      </c>
      <c r="Q24" s="103">
        <f>SUM(G24:I24)</f>
        <v>29581.369868088106</v>
      </c>
      <c r="R24" s="152">
        <f>SUM(J24:L24)</f>
        <v>18948.786789778587</v>
      </c>
      <c r="S24" s="37">
        <f>SUM(D24:O24)</f>
        <v>52501.000875322745</v>
      </c>
    </row>
    <row r="25" spans="1:19">
      <c r="A25" s="3"/>
      <c r="B25" s="21" t="s">
        <v>37</v>
      </c>
      <c r="C25" s="3"/>
      <c r="D25" s="22">
        <f>D21+D22+D24</f>
        <v>-1179611.1046432531</v>
      </c>
      <c r="E25" s="22">
        <f t="shared" ref="E25:S25" si="16">E21+E22+E24</f>
        <v>2427567.8936125902</v>
      </c>
      <c r="F25" s="22">
        <f t="shared" si="16"/>
        <v>1551638.4164096487</v>
      </c>
      <c r="G25" s="22">
        <f t="shared" si="16"/>
        <v>271545.53091550875</v>
      </c>
      <c r="H25" s="22">
        <f t="shared" si="16"/>
        <v>1349090.8467523486</v>
      </c>
      <c r="I25" s="22">
        <f t="shared" si="16"/>
        <v>-328286.15465227573</v>
      </c>
      <c r="J25" s="22">
        <f t="shared" si="16"/>
        <v>-2258698.9230047287</v>
      </c>
      <c r="K25" s="22">
        <f t="shared" si="16"/>
        <v>-34753.16705161344</v>
      </c>
      <c r="L25" s="22">
        <f t="shared" si="16"/>
        <v>857980.57736042782</v>
      </c>
      <c r="M25" s="22">
        <f t="shared" si="16"/>
        <v>0</v>
      </c>
      <c r="N25" s="22">
        <f t="shared" si="16"/>
        <v>0</v>
      </c>
      <c r="O25" s="22">
        <f t="shared" si="16"/>
        <v>0</v>
      </c>
      <c r="P25" s="157">
        <f t="shared" ref="P25" si="17">P21+P22+P24</f>
        <v>2799595.205378986</v>
      </c>
      <c r="Q25" s="111">
        <f t="shared" si="16"/>
        <v>1292350.2230155815</v>
      </c>
      <c r="R25" s="157">
        <f t="shared" ref="R25" si="18">R21+R22+R24</f>
        <v>-1435471.5126959141</v>
      </c>
      <c r="S25" s="22">
        <f t="shared" si="16"/>
        <v>2656473.9156986531</v>
      </c>
    </row>
    <row r="26" spans="1:19" ht="14.4" customHeight="1">
      <c r="A26" s="8"/>
      <c r="B26" s="219" t="s">
        <v>38</v>
      </c>
      <c r="C26" s="8"/>
      <c r="D26" s="14"/>
      <c r="E26" s="14"/>
      <c r="F26" s="14"/>
      <c r="G26" s="14"/>
      <c r="H26" s="14"/>
      <c r="I26" s="14"/>
      <c r="J26" s="14"/>
      <c r="K26" s="14"/>
      <c r="L26" s="14"/>
      <c r="M26" s="14"/>
      <c r="N26" s="14"/>
      <c r="O26" s="14"/>
      <c r="P26" s="150"/>
      <c r="Q26" s="100"/>
      <c r="R26" s="150"/>
      <c r="S26" s="37"/>
    </row>
    <row r="27" spans="1:19">
      <c r="A27" s="8">
        <v>13</v>
      </c>
      <c r="B27" s="219"/>
      <c r="C27" s="8" t="str">
        <f>"Σ(("&amp;A$21&amp;") ~ ("&amp;A24&amp;"))"</f>
        <v>Σ((10) ~ (12))</v>
      </c>
      <c r="D27" s="13">
        <f>D21+D22+D24</f>
        <v>-1179611.1046432531</v>
      </c>
      <c r="E27" s="13">
        <f>D27+E21+E22+E24</f>
        <v>1247956.7889693375</v>
      </c>
      <c r="F27" s="13">
        <f>E27+F21+F22+F24</f>
        <v>2799595.205378986</v>
      </c>
      <c r="G27" s="13">
        <f t="shared" ref="G27:O27" si="19">F27+G21+G22+G24</f>
        <v>3071140.7362944949</v>
      </c>
      <c r="H27" s="13">
        <f t="shared" si="19"/>
        <v>4420231.5830468433</v>
      </c>
      <c r="I27" s="13">
        <f t="shared" si="19"/>
        <v>4091945.4283945677</v>
      </c>
      <c r="J27" s="13">
        <f t="shared" si="19"/>
        <v>1833246.5053898392</v>
      </c>
      <c r="K27" s="13">
        <f t="shared" si="19"/>
        <v>1798493.3383382258</v>
      </c>
      <c r="L27" s="13">
        <f t="shared" si="19"/>
        <v>2656473.9156986536</v>
      </c>
      <c r="M27" s="13">
        <f t="shared" si="19"/>
        <v>2656473.9156986536</v>
      </c>
      <c r="N27" s="13">
        <f t="shared" si="19"/>
        <v>2656473.9156986536</v>
      </c>
      <c r="O27" s="23">
        <f t="shared" si="19"/>
        <v>2656473.9156986536</v>
      </c>
      <c r="P27" s="107"/>
      <c r="Q27" s="107"/>
      <c r="R27" s="107"/>
      <c r="S27" s="37"/>
    </row>
    <row r="28" spans="1:19">
      <c r="A28" s="8"/>
      <c r="B28" s="219"/>
      <c r="C28" s="8"/>
      <c r="D28" s="14"/>
      <c r="E28" s="14"/>
      <c r="F28" s="14"/>
      <c r="G28" s="14"/>
      <c r="H28" s="14"/>
      <c r="I28" s="14"/>
      <c r="J28" s="14"/>
      <c r="K28" s="14"/>
      <c r="L28" s="14"/>
      <c r="M28" s="14"/>
      <c r="N28" s="14"/>
      <c r="O28" s="14"/>
      <c r="P28" s="150"/>
      <c r="Q28" s="100"/>
      <c r="R28" s="150"/>
      <c r="S28" s="37"/>
    </row>
    <row r="29" spans="1:19" ht="1.25" customHeight="1">
      <c r="A29" s="8"/>
      <c r="B29" s="2"/>
      <c r="C29" s="8"/>
      <c r="D29" s="13"/>
      <c r="E29" s="13"/>
      <c r="F29" s="13"/>
      <c r="G29" s="13"/>
      <c r="H29" s="27"/>
      <c r="I29" s="13"/>
      <c r="J29" s="13"/>
      <c r="K29" s="13"/>
      <c r="L29" s="13"/>
      <c r="M29" s="13"/>
      <c r="N29" s="13"/>
      <c r="O29" s="13"/>
      <c r="P29" s="152"/>
      <c r="Q29" s="103"/>
      <c r="R29" s="152"/>
      <c r="S29" s="37"/>
    </row>
    <row r="30" spans="1:19">
      <c r="A30" s="8"/>
      <c r="B30" s="2"/>
      <c r="C30" s="8"/>
      <c r="D30" s="13"/>
      <c r="E30" s="13"/>
      <c r="F30" s="13"/>
      <c r="G30" s="13"/>
      <c r="H30" s="13"/>
      <c r="I30" s="13"/>
      <c r="J30" s="13"/>
      <c r="K30" s="13"/>
      <c r="L30" s="13"/>
      <c r="M30" s="13"/>
      <c r="N30" s="13"/>
      <c r="O30" s="13"/>
      <c r="P30" s="152"/>
      <c r="Q30" s="103"/>
      <c r="R30" s="152"/>
      <c r="S30" s="37"/>
    </row>
    <row r="31" spans="1:19">
      <c r="A31" s="8"/>
      <c r="B31" s="3" t="s">
        <v>39</v>
      </c>
      <c r="C31" s="8"/>
      <c r="D31" s="13"/>
      <c r="E31" s="13"/>
      <c r="F31" s="13"/>
      <c r="G31" s="13"/>
      <c r="H31" s="13"/>
      <c r="I31" s="13"/>
      <c r="J31" s="13"/>
      <c r="K31" s="13"/>
      <c r="L31" s="13"/>
      <c r="M31" s="13"/>
      <c r="N31" s="13"/>
      <c r="O31" s="13"/>
      <c r="P31" s="152"/>
      <c r="Q31" s="103"/>
      <c r="R31" s="152"/>
      <c r="S31" s="37"/>
    </row>
    <row r="32" spans="1:19">
      <c r="A32" s="8">
        <v>14</v>
      </c>
      <c r="B32" s="2" t="s">
        <v>23</v>
      </c>
      <c r="C32" s="8" t="s">
        <v>24</v>
      </c>
      <c r="D32" s="9">
        <v>35059</v>
      </c>
      <c r="E32" s="9">
        <v>35579</v>
      </c>
      <c r="F32" s="9">
        <v>35140</v>
      </c>
      <c r="G32" s="96">
        <v>35293</v>
      </c>
      <c r="H32" s="96">
        <v>35221</v>
      </c>
      <c r="I32" s="96">
        <v>35212</v>
      </c>
      <c r="J32" s="195">
        <v>35004</v>
      </c>
      <c r="K32" s="195">
        <v>35238</v>
      </c>
      <c r="L32" s="195">
        <v>35232</v>
      </c>
      <c r="M32" s="9"/>
      <c r="N32" s="9"/>
      <c r="O32" s="9"/>
      <c r="P32" s="151">
        <f>SUM(D32:F32)</f>
        <v>105778</v>
      </c>
      <c r="Q32" s="102">
        <f>SUM(G32:I32)</f>
        <v>105726</v>
      </c>
      <c r="R32" s="151">
        <f>SUM(J32:L32)</f>
        <v>105474</v>
      </c>
      <c r="S32" s="33">
        <f>SUM(D32:O32)</f>
        <v>316978</v>
      </c>
    </row>
    <row r="33" spans="1:19">
      <c r="A33" s="34">
        <f t="shared" si="1"/>
        <v>15</v>
      </c>
      <c r="B33" s="35" t="s">
        <v>25</v>
      </c>
      <c r="C33" s="8" t="s">
        <v>53</v>
      </c>
      <c r="D33" s="36">
        <v>356.03329356425502</v>
      </c>
      <c r="E33" s="36">
        <v>334.3876932182697</v>
      </c>
      <c r="F33" s="36">
        <v>338.63118768530791</v>
      </c>
      <c r="G33" s="36">
        <v>307.26842558580978</v>
      </c>
      <c r="H33" s="36">
        <v>328.68375663236225</v>
      </c>
      <c r="I33" s="36">
        <v>343.68956027474104</v>
      </c>
      <c r="J33" s="36">
        <v>382.86485339177131</v>
      </c>
      <c r="K33" s="36">
        <v>405.75316740997278</v>
      </c>
      <c r="L33" s="36">
        <v>347.12546291923007</v>
      </c>
      <c r="M33" s="36">
        <v>347.28709927511954</v>
      </c>
      <c r="N33" s="36">
        <v>341.2180856492738</v>
      </c>
      <c r="O33" s="36">
        <v>376.397414393887</v>
      </c>
      <c r="P33" s="112">
        <f>P34/P32</f>
        <v>342.97160951562472</v>
      </c>
      <c r="Q33" s="112">
        <f>Q34/Q32</f>
        <v>326.53265926018764</v>
      </c>
      <c r="R33" s="112">
        <f>R34/R32</f>
        <v>378.57344701906152</v>
      </c>
      <c r="S33" s="36">
        <f>S34/S32</f>
        <v>349.33496518741003</v>
      </c>
    </row>
    <row r="34" spans="1:19">
      <c r="A34" s="8">
        <f t="shared" si="1"/>
        <v>16</v>
      </c>
      <c r="B34" s="2" t="s">
        <v>27</v>
      </c>
      <c r="C34" s="8" t="str">
        <f>"("&amp;A32&amp;") x ("&amp;A33&amp;")"</f>
        <v>(14) x (15)</v>
      </c>
      <c r="D34" s="13">
        <f t="shared" ref="D34:O34" si="20">D32*D33</f>
        <v>12482171.239069216</v>
      </c>
      <c r="E34" s="13">
        <f t="shared" si="20"/>
        <v>11897179.737012818</v>
      </c>
      <c r="F34" s="13">
        <f t="shared" si="20"/>
        <v>11899499.935261719</v>
      </c>
      <c r="G34" s="13">
        <f t="shared" si="20"/>
        <v>10844424.544199985</v>
      </c>
      <c r="H34" s="13">
        <f t="shared" si="20"/>
        <v>11576570.59234843</v>
      </c>
      <c r="I34" s="13">
        <f t="shared" si="20"/>
        <v>12101996.796394182</v>
      </c>
      <c r="J34" s="13">
        <f t="shared" si="20"/>
        <v>13401801.328125563</v>
      </c>
      <c r="K34" s="13">
        <f t="shared" si="20"/>
        <v>14297930.11319262</v>
      </c>
      <c r="L34" s="13">
        <f t="shared" si="20"/>
        <v>12229924.309570314</v>
      </c>
      <c r="M34" s="13">
        <f t="shared" si="20"/>
        <v>0</v>
      </c>
      <c r="N34" s="13">
        <f t="shared" si="20"/>
        <v>0</v>
      </c>
      <c r="O34" s="13">
        <f t="shared" si="20"/>
        <v>0</v>
      </c>
      <c r="P34" s="152">
        <f>SUM(D34:F34)</f>
        <v>36278850.911343753</v>
      </c>
      <c r="Q34" s="103">
        <f>SUM(G34:I34)</f>
        <v>34522991.932942599</v>
      </c>
      <c r="R34" s="152">
        <f>SUM(J34:L34)</f>
        <v>39929655.750888497</v>
      </c>
      <c r="S34" s="37">
        <f>SUM(D34:O34)</f>
        <v>110731498.59517485</v>
      </c>
    </row>
    <row r="35" spans="1:19">
      <c r="A35" s="8"/>
      <c r="B35" s="2"/>
      <c r="C35" s="8"/>
      <c r="D35" s="14"/>
      <c r="E35" s="14"/>
      <c r="F35" s="14"/>
      <c r="G35" s="14"/>
      <c r="H35" s="14"/>
      <c r="I35" s="13"/>
      <c r="J35" s="14"/>
      <c r="K35" s="14"/>
      <c r="L35" s="14"/>
      <c r="M35" s="14"/>
      <c r="N35" s="14"/>
      <c r="O35" s="14"/>
      <c r="P35" s="150"/>
      <c r="Q35" s="100"/>
      <c r="R35" s="150"/>
      <c r="S35" s="2"/>
    </row>
    <row r="36" spans="1:19" hidden="1">
      <c r="A36" s="8"/>
      <c r="B36" s="2"/>
      <c r="C36" s="8"/>
      <c r="D36" s="14"/>
      <c r="E36" s="14"/>
      <c r="F36" s="14"/>
      <c r="G36" s="14"/>
      <c r="H36" s="13"/>
      <c r="I36" s="14"/>
      <c r="J36" s="14"/>
      <c r="K36" s="14"/>
      <c r="L36" s="14"/>
      <c r="M36" s="14"/>
      <c r="N36" s="14"/>
      <c r="O36" s="14"/>
      <c r="P36" s="150"/>
      <c r="Q36" s="100"/>
      <c r="R36" s="150"/>
      <c r="S36" s="2"/>
    </row>
    <row r="37" spans="1:19">
      <c r="A37" s="8">
        <v>17</v>
      </c>
      <c r="B37" s="2" t="s">
        <v>47</v>
      </c>
      <c r="C37" s="8" t="s">
        <v>24</v>
      </c>
      <c r="D37" s="13">
        <v>16258940.32929723</v>
      </c>
      <c r="E37" s="13">
        <v>17169122.107000001</v>
      </c>
      <c r="F37" s="13">
        <v>17145796.684179999</v>
      </c>
      <c r="G37" s="116">
        <v>17146414.312720001</v>
      </c>
      <c r="H37" s="116">
        <v>17228784.428180002</v>
      </c>
      <c r="I37" s="116">
        <v>20052821.92825</v>
      </c>
      <c r="J37" s="207">
        <v>19981391.900500003</v>
      </c>
      <c r="K37" s="207">
        <v>20610293.538920004</v>
      </c>
      <c r="L37" s="207">
        <v>17559914.184609998</v>
      </c>
      <c r="M37" s="13"/>
      <c r="N37" s="13"/>
      <c r="O37" s="13"/>
      <c r="P37" s="152"/>
      <c r="Q37" s="103"/>
      <c r="R37" s="152"/>
      <c r="S37" s="2"/>
    </row>
    <row r="38" spans="1:19">
      <c r="A38" s="8">
        <f t="shared" si="1"/>
        <v>18</v>
      </c>
      <c r="B38" s="2" t="s">
        <v>48</v>
      </c>
      <c r="C38" s="8" t="s">
        <v>24</v>
      </c>
      <c r="D38" s="13">
        <v>1590724</v>
      </c>
      <c r="E38" s="13">
        <v>1612616</v>
      </c>
      <c r="F38" s="13">
        <v>1612908</v>
      </c>
      <c r="G38" s="116">
        <v>1601684</v>
      </c>
      <c r="H38" s="116">
        <v>1610510</v>
      </c>
      <c r="I38" s="116">
        <v>1601190</v>
      </c>
      <c r="J38" s="207">
        <v>1620118.76</v>
      </c>
      <c r="K38" s="207">
        <v>1617035.0899999999</v>
      </c>
      <c r="L38" s="207">
        <v>1618290.77</v>
      </c>
      <c r="M38" s="13"/>
      <c r="N38" s="13"/>
      <c r="O38" s="13"/>
      <c r="P38" s="152"/>
      <c r="Q38" s="103"/>
      <c r="R38" s="152"/>
      <c r="S38" s="2"/>
    </row>
    <row r="39" spans="1:19">
      <c r="A39" s="8">
        <f t="shared" si="1"/>
        <v>19</v>
      </c>
      <c r="B39" s="15" t="s">
        <v>54</v>
      </c>
      <c r="C39" s="8" t="s">
        <v>24</v>
      </c>
      <c r="D39" s="9">
        <v>162655588</v>
      </c>
      <c r="E39" s="9">
        <v>168483376</v>
      </c>
      <c r="F39" s="9">
        <v>171828336</v>
      </c>
      <c r="G39" s="115">
        <v>170229514</v>
      </c>
      <c r="H39" s="115">
        <v>173532298</v>
      </c>
      <c r="I39" s="115">
        <v>208221126</v>
      </c>
      <c r="J39" s="206">
        <v>205625075</v>
      </c>
      <c r="K39" s="206">
        <v>213909780</v>
      </c>
      <c r="L39" s="206">
        <v>176781649</v>
      </c>
      <c r="M39" s="9"/>
      <c r="N39" s="9"/>
      <c r="O39" s="9"/>
      <c r="P39" s="151"/>
      <c r="Q39" s="102"/>
      <c r="R39" s="151"/>
      <c r="S39" s="2"/>
    </row>
    <row r="40" spans="1:19">
      <c r="A40" s="8">
        <f t="shared" si="1"/>
        <v>20</v>
      </c>
      <c r="B40" s="2" t="s">
        <v>50</v>
      </c>
      <c r="C40" s="8" t="s">
        <v>51</v>
      </c>
      <c r="D40" s="38">
        <v>2.1080000000000002E-2</v>
      </c>
      <c r="E40" s="38">
        <v>2.1080000000000002E-2</v>
      </c>
      <c r="F40" s="38">
        <v>2.1080000000000002E-2</v>
      </c>
      <c r="G40" s="38">
        <v>2.1080000000000002E-2</v>
      </c>
      <c r="H40" s="38">
        <v>2.1080000000000002E-2</v>
      </c>
      <c r="I40" s="38">
        <v>2.1080000000000002E-2</v>
      </c>
      <c r="J40" s="38">
        <v>2.1080000000000002E-2</v>
      </c>
      <c r="K40" s="38">
        <v>2.1080000000000002E-2</v>
      </c>
      <c r="L40" s="38">
        <v>2.1080000000000002E-2</v>
      </c>
      <c r="M40" s="38">
        <v>2.1080000000000002E-2</v>
      </c>
      <c r="N40" s="38">
        <v>2.1080000000000002E-2</v>
      </c>
      <c r="O40" s="38">
        <v>2.1080000000000002E-2</v>
      </c>
      <c r="P40" s="104"/>
      <c r="Q40" s="104"/>
      <c r="R40" s="104"/>
      <c r="S40" s="39"/>
    </row>
    <row r="41" spans="1:19">
      <c r="A41" s="8">
        <f t="shared" si="1"/>
        <v>21</v>
      </c>
      <c r="B41" s="2" t="s">
        <v>52</v>
      </c>
      <c r="C41" s="8" t="str">
        <f>"("&amp;A39&amp;") x ("&amp;A40&amp;")"</f>
        <v>(19) x (20)</v>
      </c>
      <c r="D41" s="13">
        <f t="shared" ref="D41:O41" si="21">D39*D40</f>
        <v>3428779.7950400002</v>
      </c>
      <c r="E41" s="13">
        <f t="shared" si="21"/>
        <v>3551629.5660800003</v>
      </c>
      <c r="F41" s="13">
        <f t="shared" si="21"/>
        <v>3622141.3228800003</v>
      </c>
      <c r="G41" s="13">
        <f t="shared" si="21"/>
        <v>3588438.1551200002</v>
      </c>
      <c r="H41" s="13">
        <f t="shared" si="21"/>
        <v>3658060.8418400004</v>
      </c>
      <c r="I41" s="13">
        <f t="shared" si="21"/>
        <v>4389301.3360800007</v>
      </c>
      <c r="J41" s="13">
        <f t="shared" si="21"/>
        <v>4334576.5810000002</v>
      </c>
      <c r="K41" s="13">
        <f t="shared" si="21"/>
        <v>4509218.1624000007</v>
      </c>
      <c r="L41" s="13">
        <f t="shared" si="21"/>
        <v>3726557.1609200002</v>
      </c>
      <c r="M41" s="13">
        <f t="shared" si="21"/>
        <v>0</v>
      </c>
      <c r="N41" s="13">
        <f t="shared" si="21"/>
        <v>0</v>
      </c>
      <c r="O41" s="13">
        <f t="shared" si="21"/>
        <v>0</v>
      </c>
      <c r="P41" s="152"/>
      <c r="Q41" s="103"/>
      <c r="R41" s="152"/>
      <c r="S41" s="37"/>
    </row>
    <row r="42" spans="1:19">
      <c r="A42" s="8">
        <f t="shared" si="1"/>
        <v>22</v>
      </c>
      <c r="B42" s="2" t="s">
        <v>30</v>
      </c>
      <c r="C42" s="8" t="str">
        <f>"("&amp;A37&amp;") - ("&amp;A38&amp;") -("&amp;A41&amp;")"</f>
        <v>(17) - (18) -(21)</v>
      </c>
      <c r="D42" s="13">
        <f>D37-D38-D41</f>
        <v>11239436.534257229</v>
      </c>
      <c r="E42" s="13">
        <f t="shared" ref="E42:O42" si="22">E37-E38-E41</f>
        <v>12004876.540920001</v>
      </c>
      <c r="F42" s="13">
        <f t="shared" si="22"/>
        <v>11910747.361299999</v>
      </c>
      <c r="G42" s="13">
        <f t="shared" si="22"/>
        <v>11956292.157600001</v>
      </c>
      <c r="H42" s="13">
        <f t="shared" si="22"/>
        <v>11960213.586340001</v>
      </c>
      <c r="I42" s="13">
        <f t="shared" si="22"/>
        <v>14062330.59217</v>
      </c>
      <c r="J42" s="13">
        <f t="shared" si="22"/>
        <v>14026696.559500001</v>
      </c>
      <c r="K42" s="13">
        <f t="shared" si="22"/>
        <v>14484040.286520004</v>
      </c>
      <c r="L42" s="13">
        <f t="shared" si="22"/>
        <v>12215066.253689999</v>
      </c>
      <c r="M42" s="13">
        <f t="shared" si="22"/>
        <v>0</v>
      </c>
      <c r="N42" s="13">
        <f t="shared" si="22"/>
        <v>0</v>
      </c>
      <c r="O42" s="13">
        <f t="shared" si="22"/>
        <v>0</v>
      </c>
      <c r="P42" s="152">
        <f>SUM(D42:F42)</f>
        <v>35155060.436477229</v>
      </c>
      <c r="Q42" s="103">
        <f>SUM(G42:I42)</f>
        <v>37978836.336110003</v>
      </c>
      <c r="R42" s="152">
        <f>SUM(J42:L42)</f>
        <v>40725803.099710003</v>
      </c>
      <c r="S42" s="37">
        <f>SUM(D42:O42)</f>
        <v>113859699.87229726</v>
      </c>
    </row>
    <row r="43" spans="1:19">
      <c r="A43" s="8"/>
      <c r="B43" s="17" t="s">
        <v>40</v>
      </c>
      <c r="C43" s="8"/>
      <c r="D43" s="12">
        <f>D42/D32</f>
        <v>320.5863411465595</v>
      </c>
      <c r="E43" s="12">
        <f>E42/E32</f>
        <v>337.41466991539954</v>
      </c>
      <c r="F43" s="12">
        <f t="shared" ref="F43:S43" si="23">F42/F32</f>
        <v>338.95126241605004</v>
      </c>
      <c r="G43" s="12">
        <f t="shared" si="23"/>
        <v>338.77233892273256</v>
      </c>
      <c r="H43" s="12">
        <f t="shared" si="23"/>
        <v>339.57620698844443</v>
      </c>
      <c r="I43" s="12">
        <f t="shared" si="23"/>
        <v>399.36188209048049</v>
      </c>
      <c r="J43" s="12">
        <f t="shared" si="23"/>
        <v>400.71696261855794</v>
      </c>
      <c r="K43" s="12">
        <f t="shared" si="23"/>
        <v>411.03468660309903</v>
      </c>
      <c r="L43" s="12">
        <f t="shared" si="23"/>
        <v>346.70374244124656</v>
      </c>
      <c r="M43" s="12" t="e">
        <f t="shared" si="23"/>
        <v>#DIV/0!</v>
      </c>
      <c r="N43" s="12" t="e">
        <f t="shared" si="23"/>
        <v>#DIV/0!</v>
      </c>
      <c r="O43" s="12" t="e">
        <f t="shared" si="23"/>
        <v>#DIV/0!</v>
      </c>
      <c r="P43" s="113">
        <f t="shared" ref="P43" si="24">P42/P32</f>
        <v>332.34756221971702</v>
      </c>
      <c r="Q43" s="113">
        <f t="shared" si="23"/>
        <v>359.2194572395627</v>
      </c>
      <c r="R43" s="113">
        <f t="shared" ref="R43" si="25">R42/R32</f>
        <v>386.12172762680854</v>
      </c>
      <c r="S43" s="12">
        <f t="shared" si="23"/>
        <v>359.20379292032021</v>
      </c>
    </row>
    <row r="44" spans="1:19">
      <c r="A44" s="8">
        <v>23</v>
      </c>
      <c r="B44" s="2" t="s">
        <v>32</v>
      </c>
      <c r="C44" s="8" t="str">
        <f>"("&amp;A$34&amp;") - ("&amp;A42&amp;")"</f>
        <v>(16) - (22)</v>
      </c>
      <c r="D44" s="13">
        <f>D34-D42</f>
        <v>1242734.7048119865</v>
      </c>
      <c r="E44" s="13">
        <f t="shared" ref="E44:O44" si="26">E34-E42</f>
        <v>-107696.80390718207</v>
      </c>
      <c r="F44" s="13">
        <f t="shared" si="26"/>
        <v>-11247.426038280129</v>
      </c>
      <c r="G44" s="13">
        <f t="shared" si="26"/>
        <v>-1111867.613400016</v>
      </c>
      <c r="H44" s="13">
        <f t="shared" si="26"/>
        <v>-383642.99399157055</v>
      </c>
      <c r="I44" s="13">
        <f t="shared" si="26"/>
        <v>-1960333.7957758177</v>
      </c>
      <c r="J44" s="13">
        <f t="shared" si="26"/>
        <v>-624895.23137443885</v>
      </c>
      <c r="K44" s="13">
        <f t="shared" si="26"/>
        <v>-186110.17332738452</v>
      </c>
      <c r="L44" s="13">
        <f t="shared" si="26"/>
        <v>14858.055880315602</v>
      </c>
      <c r="M44" s="13">
        <f t="shared" si="26"/>
        <v>0</v>
      </c>
      <c r="N44" s="13">
        <f t="shared" si="26"/>
        <v>0</v>
      </c>
      <c r="O44" s="13">
        <f t="shared" si="26"/>
        <v>0</v>
      </c>
      <c r="P44" s="152">
        <f>SUM(D44:F44)</f>
        <v>1123790.4748665243</v>
      </c>
      <c r="Q44" s="103">
        <f t="shared" ref="Q44:Q45" si="27">SUM(G44:I44)</f>
        <v>-3455844.4031674042</v>
      </c>
      <c r="R44" s="152">
        <f>SUM(J44:L44)</f>
        <v>-796147.34882150777</v>
      </c>
      <c r="S44" s="37">
        <f>SUM(D44:O44)</f>
        <v>-3128201.2771223877</v>
      </c>
    </row>
    <row r="45" spans="1:19">
      <c r="A45" s="8">
        <v>24</v>
      </c>
      <c r="B45" s="2" t="s">
        <v>33</v>
      </c>
      <c r="C45" s="41" t="s">
        <v>34</v>
      </c>
      <c r="D45" s="13">
        <f>D44*-0.045395</f>
        <v>-56413.941924940125</v>
      </c>
      <c r="E45" s="13">
        <f>E44*-0.045395</f>
        <v>4888.8964133665295</v>
      </c>
      <c r="F45" s="13">
        <f t="shared" ref="F45:N45" si="28">F44*-0.045395</f>
        <v>510.57690500772645</v>
      </c>
      <c r="G45" s="13">
        <f t="shared" si="28"/>
        <v>50473.230310293722</v>
      </c>
      <c r="H45" s="13">
        <f t="shared" si="28"/>
        <v>17415.473712247345</v>
      </c>
      <c r="I45" s="13">
        <f t="shared" si="28"/>
        <v>88989.352659243246</v>
      </c>
      <c r="J45" s="13">
        <f t="shared" si="28"/>
        <v>28367.119028242651</v>
      </c>
      <c r="K45" s="13">
        <f t="shared" si="28"/>
        <v>8448.4713181966199</v>
      </c>
      <c r="L45" s="13">
        <f t="shared" si="28"/>
        <v>-674.48144668692669</v>
      </c>
      <c r="M45" s="13">
        <f t="shared" si="28"/>
        <v>0</v>
      </c>
      <c r="N45" s="13">
        <f t="shared" si="28"/>
        <v>0</v>
      </c>
      <c r="O45" s="13">
        <f>O44*-0.045395</f>
        <v>0</v>
      </c>
      <c r="P45" s="152">
        <f>SUM(D45:F45)</f>
        <v>-51014.468606565868</v>
      </c>
      <c r="Q45" s="103">
        <f t="shared" si="27"/>
        <v>156878.05668178431</v>
      </c>
      <c r="R45" s="152">
        <f>SUM(J45:L45)</f>
        <v>36141.10889975234</v>
      </c>
      <c r="S45" s="37">
        <f>SUM(D45:O45)</f>
        <v>142004.69697497078</v>
      </c>
    </row>
    <row r="46" spans="1:19">
      <c r="A46" s="8"/>
      <c r="B46" s="2"/>
      <c r="C46" s="8" t="s">
        <v>35</v>
      </c>
      <c r="D46" s="19">
        <f>D23</f>
        <v>3.2500000000000001E-2</v>
      </c>
      <c r="E46" s="19">
        <f>D46</f>
        <v>3.2500000000000001E-2</v>
      </c>
      <c r="F46" s="19">
        <f>E46</f>
        <v>3.2500000000000001E-2</v>
      </c>
      <c r="G46" s="19">
        <f>F46</f>
        <v>3.2500000000000001E-2</v>
      </c>
      <c r="H46" s="19">
        <f t="shared" ref="H46:O46" si="29">G46</f>
        <v>3.2500000000000001E-2</v>
      </c>
      <c r="I46" s="19">
        <f t="shared" si="29"/>
        <v>3.2500000000000001E-2</v>
      </c>
      <c r="J46" s="203">
        <f t="shared" si="29"/>
        <v>3.2500000000000001E-2</v>
      </c>
      <c r="K46" s="19">
        <f t="shared" si="29"/>
        <v>3.2500000000000001E-2</v>
      </c>
      <c r="L46" s="19">
        <f t="shared" si="29"/>
        <v>3.2500000000000001E-2</v>
      </c>
      <c r="M46" s="19">
        <v>0</v>
      </c>
      <c r="N46" s="19">
        <f t="shared" si="29"/>
        <v>0</v>
      </c>
      <c r="O46" s="19">
        <f t="shared" si="29"/>
        <v>0</v>
      </c>
      <c r="P46" s="155"/>
      <c r="Q46" s="110"/>
      <c r="R46" s="155"/>
      <c r="S46" s="37"/>
    </row>
    <row r="47" spans="1:19">
      <c r="A47" s="8">
        <v>25</v>
      </c>
      <c r="B47" s="2" t="s">
        <v>36</v>
      </c>
      <c r="C47" s="8" t="s">
        <v>41</v>
      </c>
      <c r="D47" s="20">
        <f>(D44+D45)/2*D46/12</f>
        <v>1606.476033076209</v>
      </c>
      <c r="E47" s="20">
        <f>(D50+(E44+E45)/2)*E46/12</f>
        <v>3078.0838973441237</v>
      </c>
      <c r="F47" s="20">
        <f t="shared" ref="F47:O47" si="30">(E50+(F44+F45)/2)*F46/12</f>
        <v>2932.6618499669162</v>
      </c>
      <c r="G47" s="20">
        <f t="shared" si="30"/>
        <v>1488.7600988419372</v>
      </c>
      <c r="H47" s="20">
        <f t="shared" si="30"/>
        <v>-440.44583670261483</v>
      </c>
      <c r="I47" s="20">
        <f t="shared" si="30"/>
        <v>-3471.6840779422964</v>
      </c>
      <c r="J47" s="20">
        <f t="shared" si="30"/>
        <v>-6822.9973078425583</v>
      </c>
      <c r="K47" s="20">
        <f t="shared" si="30"/>
        <v>-7889.8582991575468</v>
      </c>
      <c r="L47" s="20">
        <f t="shared" si="30"/>
        <v>-8132.6032964763363</v>
      </c>
      <c r="M47" s="20">
        <f t="shared" si="30"/>
        <v>0</v>
      </c>
      <c r="N47" s="20">
        <f t="shared" si="30"/>
        <v>0</v>
      </c>
      <c r="O47" s="20">
        <f t="shared" si="30"/>
        <v>0</v>
      </c>
      <c r="P47" s="152">
        <f>SUM(D47:F47)</f>
        <v>7617.2217803872481</v>
      </c>
      <c r="Q47" s="103">
        <f>SUM(G47:I47)</f>
        <v>-2423.3698158029738</v>
      </c>
      <c r="R47" s="152">
        <f>SUM(J47:L47)</f>
        <v>-22845.458903476443</v>
      </c>
      <c r="S47" s="37">
        <f>SUM(D47:O47)</f>
        <v>-17651.606938892168</v>
      </c>
    </row>
    <row r="48" spans="1:19">
      <c r="A48" s="8"/>
      <c r="B48" s="21" t="s">
        <v>42</v>
      </c>
      <c r="C48" s="8"/>
      <c r="D48" s="22">
        <f>D44+D45+D47</f>
        <v>1187927.2389201226</v>
      </c>
      <c r="E48" s="22">
        <f t="shared" ref="E48:S48" si="31">E44+E45+E47</f>
        <v>-99729.823596471411</v>
      </c>
      <c r="F48" s="22">
        <f t="shared" si="31"/>
        <v>-7804.1872833054858</v>
      </c>
      <c r="G48" s="22">
        <f t="shared" si="31"/>
        <v>-1059905.6229908804</v>
      </c>
      <c r="H48" s="22">
        <f t="shared" si="31"/>
        <v>-366667.96611602581</v>
      </c>
      <c r="I48" s="22">
        <f t="shared" si="31"/>
        <v>-1874816.1271945168</v>
      </c>
      <c r="J48" s="22">
        <f t="shared" si="31"/>
        <v>-603351.1096540388</v>
      </c>
      <c r="K48" s="22">
        <f t="shared" si="31"/>
        <v>-185551.56030834545</v>
      </c>
      <c r="L48" s="22">
        <f t="shared" si="31"/>
        <v>6050.971137152339</v>
      </c>
      <c r="M48" s="22">
        <f t="shared" si="31"/>
        <v>0</v>
      </c>
      <c r="N48" s="22">
        <f t="shared" si="31"/>
        <v>0</v>
      </c>
      <c r="O48" s="22">
        <f t="shared" si="31"/>
        <v>0</v>
      </c>
      <c r="P48" s="157">
        <f t="shared" ref="P48" si="32">P44+P45+P47</f>
        <v>1080393.2280403457</v>
      </c>
      <c r="Q48" s="111">
        <f t="shared" si="31"/>
        <v>-3301389.716301423</v>
      </c>
      <c r="R48" s="157">
        <f t="shared" ref="R48" si="33">R44+R45+R47</f>
        <v>-782851.69882523187</v>
      </c>
      <c r="S48" s="22">
        <f t="shared" si="31"/>
        <v>-3003848.1870863088</v>
      </c>
    </row>
    <row r="49" spans="1:19">
      <c r="A49" s="8"/>
      <c r="B49" s="219" t="s">
        <v>43</v>
      </c>
      <c r="C49" s="8"/>
      <c r="D49" s="14"/>
      <c r="E49" s="14"/>
      <c r="F49" s="14"/>
      <c r="G49" s="14"/>
      <c r="H49" s="14"/>
      <c r="I49" s="14"/>
      <c r="J49" s="14"/>
      <c r="K49" s="14"/>
      <c r="L49" s="14"/>
      <c r="M49" s="14"/>
      <c r="N49" s="14"/>
      <c r="O49" s="14"/>
      <c r="P49" s="150"/>
      <c r="Q49" s="100"/>
      <c r="R49" s="150"/>
      <c r="S49" s="37"/>
    </row>
    <row r="50" spans="1:19">
      <c r="A50" s="8">
        <v>26</v>
      </c>
      <c r="B50" s="219"/>
      <c r="C50" s="8" t="str">
        <f>"Σ(("&amp;A$44&amp;") ~ ("&amp;A47&amp;"))"</f>
        <v>Σ((23) ~ (25))</v>
      </c>
      <c r="D50" s="13">
        <f>D44+D45+D47</f>
        <v>1187927.2389201226</v>
      </c>
      <c r="E50" s="13">
        <f>D50+E44+E45+E47</f>
        <v>1088197.4153236512</v>
      </c>
      <c r="F50" s="13">
        <f t="shared" ref="F50:N50" si="34">E50+F44+F45+F47</f>
        <v>1080393.2280403457</v>
      </c>
      <c r="G50" s="13">
        <f t="shared" si="34"/>
        <v>20487.60504946539</v>
      </c>
      <c r="H50" s="13">
        <f t="shared" si="34"/>
        <v>-346180.36106656044</v>
      </c>
      <c r="I50" s="13">
        <f t="shared" si="34"/>
        <v>-2220996.4882610771</v>
      </c>
      <c r="J50" s="13">
        <f t="shared" si="34"/>
        <v>-2824347.5979151158</v>
      </c>
      <c r="K50" s="13">
        <f t="shared" si="34"/>
        <v>-3009899.1582234614</v>
      </c>
      <c r="L50" s="13">
        <f t="shared" si="34"/>
        <v>-3003848.1870863093</v>
      </c>
      <c r="M50" s="13">
        <f t="shared" si="34"/>
        <v>-3003848.1870863093</v>
      </c>
      <c r="N50" s="13">
        <f t="shared" si="34"/>
        <v>-3003848.1870863093</v>
      </c>
      <c r="O50" s="23">
        <f>N50+O44+O45+O47</f>
        <v>-3003848.1870863093</v>
      </c>
      <c r="P50" s="107"/>
      <c r="Q50" s="107"/>
      <c r="R50" s="107"/>
      <c r="S50" s="37"/>
    </row>
    <row r="51" spans="1:19">
      <c r="A51" s="8"/>
      <c r="B51" s="219"/>
      <c r="C51" s="8"/>
      <c r="D51" s="13"/>
      <c r="E51" s="13"/>
      <c r="F51" s="13"/>
      <c r="G51" s="13"/>
      <c r="H51" s="13"/>
      <c r="I51" s="13"/>
      <c r="J51" s="13"/>
      <c r="K51" s="13"/>
      <c r="L51" s="13"/>
      <c r="M51" s="13"/>
      <c r="N51" s="13"/>
      <c r="O51" s="43"/>
      <c r="P51" s="105"/>
      <c r="Q51" s="105"/>
      <c r="R51" s="105"/>
      <c r="S51" s="37"/>
    </row>
    <row r="52" spans="1:19" hidden="1">
      <c r="A52" s="8"/>
      <c r="B52" s="2"/>
      <c r="C52" s="2"/>
      <c r="D52" s="2"/>
      <c r="E52" s="2"/>
      <c r="F52" s="2"/>
      <c r="G52" s="2"/>
      <c r="H52" s="2"/>
      <c r="I52" s="2"/>
      <c r="J52" s="2"/>
      <c r="K52" s="2"/>
      <c r="L52" s="2"/>
      <c r="M52" s="2"/>
      <c r="N52" s="2"/>
      <c r="O52" s="2"/>
      <c r="P52" s="148"/>
      <c r="Q52" s="98"/>
      <c r="R52" s="148"/>
      <c r="S52" s="2"/>
    </row>
    <row r="53" spans="1:19">
      <c r="A53" s="8">
        <v>25</v>
      </c>
      <c r="B53" s="98" t="s">
        <v>87</v>
      </c>
      <c r="C53" s="8" t="str">
        <f>"("&amp;A$27&amp;") + ("&amp;A50&amp;")"</f>
        <v>(13) + (26)</v>
      </c>
      <c r="D53" s="37">
        <f>D27+D50</f>
        <v>8316.134276869474</v>
      </c>
      <c r="E53" s="37">
        <f t="shared" ref="E53:O53" si="35">E27+E50</f>
        <v>2336154.2042929884</v>
      </c>
      <c r="F53" s="37">
        <f t="shared" si="35"/>
        <v>3879988.4334193319</v>
      </c>
      <c r="G53" s="37">
        <f t="shared" si="35"/>
        <v>3091628.3413439603</v>
      </c>
      <c r="H53" s="37">
        <f t="shared" si="35"/>
        <v>4074051.221980283</v>
      </c>
      <c r="I53" s="37">
        <f t="shared" si="35"/>
        <v>1870948.9401334906</v>
      </c>
      <c r="J53" s="37">
        <f t="shared" si="35"/>
        <v>-991101.09252527659</v>
      </c>
      <c r="K53" s="37">
        <f t="shared" si="35"/>
        <v>-1211405.8198852355</v>
      </c>
      <c r="L53" s="37">
        <f t="shared" si="35"/>
        <v>-347374.27138765575</v>
      </c>
      <c r="M53" s="37">
        <f t="shared" si="35"/>
        <v>-347374.27138765575</v>
      </c>
      <c r="N53" s="37">
        <f t="shared" si="35"/>
        <v>-347374.27138765575</v>
      </c>
      <c r="O53" s="44">
        <f t="shared" si="35"/>
        <v>-347374.27138765575</v>
      </c>
      <c r="P53" s="108"/>
      <c r="Q53" s="108"/>
      <c r="R53" s="108"/>
      <c r="S53" s="2"/>
    </row>
  </sheetData>
  <mergeCells count="5">
    <mergeCell ref="B49:B51"/>
    <mergeCell ref="A1:S1"/>
    <mergeCell ref="A2:S2"/>
    <mergeCell ref="A3:S3"/>
    <mergeCell ref="B26:B28"/>
  </mergeCells>
  <printOptions horizontalCentered="1"/>
  <pageMargins left="0.7" right="0.71" top="0.9" bottom="0.75" header="0.5" footer="0.5"/>
  <pageSetup scale="64" orientation="landscape" r:id="rId1"/>
  <headerFooter>
    <oddHeader>&amp;CAvista Corporation Decoupling Mechanism
Washington Jurisdiction
Quarterly Report for 3rd Quarter 2015</oddHeader>
    <oddFooter>&amp;Cfile: &amp;F /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tabSelected="1" zoomScaleNormal="100" workbookViewId="0">
      <selection activeCell="T15" sqref="T15"/>
    </sheetView>
  </sheetViews>
  <sheetFormatPr defaultRowHeight="14.5"/>
  <cols>
    <col min="1" max="1" width="7.1796875" customWidth="1"/>
    <col min="2" max="2" width="37.90625" customWidth="1"/>
    <col min="3" max="3" width="15" customWidth="1"/>
    <col min="4" max="4" width="11.54296875" hidden="1" customWidth="1"/>
    <col min="5" max="5" width="11.36328125" hidden="1" customWidth="1"/>
    <col min="6" max="6" width="11.81640625" hidden="1" customWidth="1"/>
    <col min="7" max="9" width="11.1796875" hidden="1" customWidth="1"/>
    <col min="10" max="10" width="11.36328125" customWidth="1"/>
    <col min="11" max="11" width="11.90625" customWidth="1"/>
    <col min="12" max="12" width="11.36328125" customWidth="1"/>
    <col min="13" max="15" width="8.90625" hidden="1" customWidth="1"/>
    <col min="16" max="16" width="12.81640625" style="196" customWidth="1"/>
    <col min="17" max="17" width="12.90625" style="97" customWidth="1"/>
    <col min="18" max="18" width="12.36328125" style="196" customWidth="1"/>
    <col min="19" max="19" width="12.453125" customWidth="1"/>
  </cols>
  <sheetData>
    <row r="1" spans="1:19" ht="15.5">
      <c r="A1" s="220" t="s">
        <v>0</v>
      </c>
      <c r="B1" s="220"/>
      <c r="C1" s="220"/>
      <c r="D1" s="220"/>
      <c r="E1" s="220"/>
      <c r="F1" s="220"/>
      <c r="G1" s="220"/>
      <c r="H1" s="220"/>
      <c r="I1" s="220"/>
      <c r="J1" s="220"/>
      <c r="K1" s="220"/>
      <c r="L1" s="220"/>
      <c r="M1" s="220"/>
      <c r="N1" s="220"/>
      <c r="O1" s="220"/>
      <c r="P1" s="220"/>
      <c r="Q1" s="220"/>
      <c r="R1" s="220"/>
      <c r="S1" s="220"/>
    </row>
    <row r="2" spans="1:19" ht="17.5">
      <c r="A2" s="221" t="s">
        <v>1</v>
      </c>
      <c r="B2" s="221"/>
      <c r="C2" s="221"/>
      <c r="D2" s="221"/>
      <c r="E2" s="221"/>
      <c r="F2" s="221"/>
      <c r="G2" s="221"/>
      <c r="H2" s="221"/>
      <c r="I2" s="221"/>
      <c r="J2" s="221"/>
      <c r="K2" s="221"/>
      <c r="L2" s="221"/>
      <c r="M2" s="221"/>
      <c r="N2" s="221"/>
      <c r="O2" s="221"/>
      <c r="P2" s="221"/>
      <c r="Q2" s="221"/>
      <c r="R2" s="221"/>
      <c r="S2" s="221"/>
    </row>
    <row r="3" spans="1:19" ht="15.5">
      <c r="A3" s="222" t="s">
        <v>2</v>
      </c>
      <c r="B3" s="222"/>
      <c r="C3" s="222"/>
      <c r="D3" s="222"/>
      <c r="E3" s="222"/>
      <c r="F3" s="222"/>
      <c r="G3" s="222"/>
      <c r="H3" s="222"/>
      <c r="I3" s="222"/>
      <c r="J3" s="222"/>
      <c r="K3" s="222"/>
      <c r="L3" s="222"/>
      <c r="M3" s="222"/>
      <c r="N3" s="222"/>
      <c r="O3" s="222"/>
      <c r="P3" s="222"/>
      <c r="Q3" s="222"/>
      <c r="R3" s="222"/>
      <c r="S3" s="222"/>
    </row>
    <row r="4" spans="1:19" ht="6" customHeight="1">
      <c r="A4" s="29"/>
      <c r="B4" s="28"/>
      <c r="C4" s="28"/>
      <c r="D4" s="28"/>
      <c r="E4" s="28"/>
      <c r="F4" s="28"/>
      <c r="G4" s="28"/>
      <c r="H4" s="28"/>
      <c r="I4" s="28"/>
      <c r="J4" s="28"/>
      <c r="K4" s="28"/>
      <c r="L4" s="28"/>
      <c r="M4" s="28"/>
      <c r="N4" s="28"/>
      <c r="O4" s="28"/>
      <c r="P4" s="208"/>
      <c r="Q4" s="189"/>
      <c r="R4" s="208"/>
      <c r="S4" s="1"/>
    </row>
    <row r="5" spans="1:19" ht="26.5">
      <c r="A5" s="2"/>
      <c r="B5" s="2"/>
      <c r="C5" s="2"/>
      <c r="D5" s="3" t="s">
        <v>3</v>
      </c>
      <c r="E5" s="3" t="s">
        <v>3</v>
      </c>
      <c r="F5" s="2"/>
      <c r="G5" s="2"/>
      <c r="H5" s="2"/>
      <c r="I5" s="2"/>
      <c r="J5" s="2"/>
      <c r="K5" s="2"/>
      <c r="L5" s="2"/>
      <c r="M5" s="2"/>
      <c r="N5" s="2"/>
      <c r="O5" s="2"/>
      <c r="P5" s="190" t="s">
        <v>119</v>
      </c>
      <c r="Q5" s="190" t="s">
        <v>86</v>
      </c>
      <c r="R5" s="190" t="s">
        <v>118</v>
      </c>
      <c r="S5" s="190" t="s">
        <v>120</v>
      </c>
    </row>
    <row r="6" spans="1:19" ht="26">
      <c r="A6" s="4" t="s">
        <v>4</v>
      </c>
      <c r="B6" s="5"/>
      <c r="C6" s="6" t="s">
        <v>5</v>
      </c>
      <c r="D6" s="7">
        <v>42005</v>
      </c>
      <c r="E6" s="7">
        <f t="shared" ref="E6:O6" si="0">EDATE(D6,1)</f>
        <v>42036</v>
      </c>
      <c r="F6" s="7">
        <f t="shared" si="0"/>
        <v>42064</v>
      </c>
      <c r="G6" s="7">
        <f t="shared" si="0"/>
        <v>42095</v>
      </c>
      <c r="H6" s="7">
        <f t="shared" si="0"/>
        <v>42125</v>
      </c>
      <c r="I6" s="7">
        <f t="shared" si="0"/>
        <v>42156</v>
      </c>
      <c r="J6" s="7">
        <f t="shared" si="0"/>
        <v>42186</v>
      </c>
      <c r="K6" s="7">
        <f t="shared" si="0"/>
        <v>42217</v>
      </c>
      <c r="L6" s="7">
        <f t="shared" si="0"/>
        <v>42248</v>
      </c>
      <c r="M6" s="7">
        <f t="shared" si="0"/>
        <v>42278</v>
      </c>
      <c r="N6" s="7">
        <f t="shared" si="0"/>
        <v>42309</v>
      </c>
      <c r="O6" s="7">
        <f t="shared" si="0"/>
        <v>42339</v>
      </c>
      <c r="P6" s="70" t="s">
        <v>6</v>
      </c>
      <c r="Q6" s="70" t="s">
        <v>6</v>
      </c>
      <c r="R6" s="70" t="s">
        <v>6</v>
      </c>
      <c r="S6" s="7" t="s">
        <v>6</v>
      </c>
    </row>
    <row r="7" spans="1:19">
      <c r="A7" s="8"/>
      <c r="B7" s="8" t="s">
        <v>7</v>
      </c>
      <c r="C7" s="8" t="s">
        <v>8</v>
      </c>
      <c r="D7" s="8" t="s">
        <v>9</v>
      </c>
      <c r="E7" s="8" t="s">
        <v>10</v>
      </c>
      <c r="F7" s="8" t="s">
        <v>11</v>
      </c>
      <c r="G7" s="8" t="s">
        <v>12</v>
      </c>
      <c r="H7" s="8" t="s">
        <v>13</v>
      </c>
      <c r="I7" s="8" t="s">
        <v>14</v>
      </c>
      <c r="J7" s="8" t="s">
        <v>15</v>
      </c>
      <c r="K7" s="8" t="s">
        <v>16</v>
      </c>
      <c r="L7" s="8" t="s">
        <v>17</v>
      </c>
      <c r="M7" s="8" t="s">
        <v>18</v>
      </c>
      <c r="N7" s="8" t="s">
        <v>19</v>
      </c>
      <c r="O7" s="8" t="s">
        <v>20</v>
      </c>
      <c r="P7" s="197"/>
      <c r="Q7" s="99"/>
      <c r="R7" s="197"/>
      <c r="S7" s="8" t="s">
        <v>21</v>
      </c>
    </row>
    <row r="8" spans="1:19">
      <c r="A8" s="8"/>
      <c r="B8" s="3" t="s">
        <v>22</v>
      </c>
      <c r="C8" s="8"/>
      <c r="D8" s="8"/>
      <c r="E8" s="8"/>
      <c r="F8" s="8"/>
      <c r="G8" s="8"/>
      <c r="H8" s="8"/>
      <c r="I8" s="8"/>
      <c r="J8" s="8"/>
      <c r="K8" s="8"/>
      <c r="L8" s="8"/>
      <c r="M8" s="8"/>
      <c r="N8" s="8"/>
      <c r="O8" s="8"/>
      <c r="P8" s="197"/>
      <c r="Q8" s="99"/>
      <c r="R8" s="197"/>
      <c r="S8" s="1"/>
    </row>
    <row r="9" spans="1:19">
      <c r="A9" s="8">
        <v>1</v>
      </c>
      <c r="B9" s="2" t="s">
        <v>23</v>
      </c>
      <c r="C9" s="8" t="s">
        <v>24</v>
      </c>
      <c r="D9" s="9">
        <v>150806</v>
      </c>
      <c r="E9" s="9">
        <v>150842</v>
      </c>
      <c r="F9" s="9">
        <v>150516</v>
      </c>
      <c r="G9" s="117">
        <v>150480</v>
      </c>
      <c r="H9" s="118">
        <v>150641</v>
      </c>
      <c r="I9" s="118">
        <v>150509</v>
      </c>
      <c r="J9" s="209">
        <v>150813</v>
      </c>
      <c r="K9" s="209">
        <v>150779</v>
      </c>
      <c r="L9" s="209">
        <v>151278</v>
      </c>
      <c r="M9" s="9"/>
      <c r="N9" s="9"/>
      <c r="O9" s="9"/>
      <c r="P9" s="200">
        <f>SUM(D9:F9)</f>
        <v>452164</v>
      </c>
      <c r="Q9" s="102">
        <f>SUM(G9:I9)</f>
        <v>451630</v>
      </c>
      <c r="R9" s="200">
        <f>SUM(J9:L9)</f>
        <v>452870</v>
      </c>
      <c r="S9" s="9">
        <f>SUM(D9:O9)</f>
        <v>1356664</v>
      </c>
    </row>
    <row r="10" spans="1:19">
      <c r="A10" s="10">
        <f t="shared" ref="A10:A11" si="1">A9+1</f>
        <v>2</v>
      </c>
      <c r="B10" s="11" t="s">
        <v>25</v>
      </c>
      <c r="C10" s="8" t="s">
        <v>26</v>
      </c>
      <c r="D10" s="12">
        <v>48.137706084246098</v>
      </c>
      <c r="E10" s="12">
        <v>40.073388678350121</v>
      </c>
      <c r="F10" s="114">
        <v>34.218369443102773</v>
      </c>
      <c r="G10" s="114">
        <v>22.042735795876393</v>
      </c>
      <c r="H10" s="114">
        <v>12.281032305897392</v>
      </c>
      <c r="I10" s="114">
        <v>8.0888741834433677</v>
      </c>
      <c r="J10" s="114">
        <v>5.8833305156034115</v>
      </c>
      <c r="K10" s="114">
        <v>5.3354769369810153</v>
      </c>
      <c r="L10" s="114">
        <v>6.9655167030544396</v>
      </c>
      <c r="M10" s="114">
        <v>16.602087047119149</v>
      </c>
      <c r="N10" s="114">
        <v>33.14327239241473</v>
      </c>
      <c r="O10" s="114">
        <v>47.508209913911003</v>
      </c>
      <c r="P10" s="205">
        <f>P11/P9</f>
        <v>40.813990264281458</v>
      </c>
      <c r="Q10" s="156">
        <f>Q11/Q9</f>
        <v>14.136497209290894</v>
      </c>
      <c r="R10" s="205">
        <f>R11/R9</f>
        <v>6.0624241789816669</v>
      </c>
      <c r="S10" s="12">
        <f>S11/S9</f>
        <v>20.332649326897471</v>
      </c>
    </row>
    <row r="11" spans="1:19">
      <c r="A11" s="8">
        <f t="shared" si="1"/>
        <v>3</v>
      </c>
      <c r="B11" s="2" t="s">
        <v>27</v>
      </c>
      <c r="C11" s="8" t="str">
        <f>"("&amp;A9&amp;") x ("&amp;A10&amp;")"</f>
        <v>(1) x (2)</v>
      </c>
      <c r="D11" s="13">
        <f t="shared" ref="D11:O11" si="2">D9*D10</f>
        <v>7259454.9037408167</v>
      </c>
      <c r="E11" s="13">
        <f t="shared" si="2"/>
        <v>6044750.0950196888</v>
      </c>
      <c r="F11" s="13">
        <f t="shared" si="2"/>
        <v>5150412.0950980568</v>
      </c>
      <c r="G11" s="13">
        <f t="shared" si="2"/>
        <v>3316990.8825634797</v>
      </c>
      <c r="H11" s="13">
        <f t="shared" si="2"/>
        <v>1850026.987592689</v>
      </c>
      <c r="I11" s="13">
        <f t="shared" si="2"/>
        <v>1217448.3644758777</v>
      </c>
      <c r="J11" s="13">
        <f t="shared" si="2"/>
        <v>887282.72504969733</v>
      </c>
      <c r="K11" s="13">
        <f t="shared" si="2"/>
        <v>804477.87708106055</v>
      </c>
      <c r="L11" s="13">
        <f t="shared" si="2"/>
        <v>1053729.4358046695</v>
      </c>
      <c r="M11" s="13">
        <f t="shared" si="2"/>
        <v>0</v>
      </c>
      <c r="N11" s="13">
        <f t="shared" si="2"/>
        <v>0</v>
      </c>
      <c r="O11" s="13">
        <f t="shared" si="2"/>
        <v>0</v>
      </c>
      <c r="P11" s="201">
        <f>SUM(D11:F11)</f>
        <v>18454617.093858562</v>
      </c>
      <c r="Q11" s="103">
        <f>SUM(G11:I11)</f>
        <v>6384466.2346320469</v>
      </c>
      <c r="R11" s="201">
        <f>SUM(J11:L11)</f>
        <v>2745490.0379354274</v>
      </c>
      <c r="S11" s="13">
        <f>SUM(D11:O11)</f>
        <v>27584573.366426032</v>
      </c>
    </row>
    <row r="12" spans="1:19">
      <c r="A12" s="8"/>
      <c r="B12" s="2"/>
      <c r="C12" s="8"/>
      <c r="D12" s="14"/>
      <c r="E12" s="14"/>
      <c r="F12" s="14"/>
      <c r="G12" s="14"/>
      <c r="H12" s="14"/>
      <c r="I12" s="14"/>
      <c r="J12" s="14"/>
      <c r="K12" s="14"/>
      <c r="L12" s="14"/>
      <c r="M12" s="14"/>
      <c r="N12" s="14"/>
      <c r="O12" s="14"/>
      <c r="P12" s="198"/>
      <c r="Q12" s="100"/>
      <c r="R12" s="198"/>
      <c r="S12" s="14"/>
    </row>
    <row r="13" spans="1:19">
      <c r="A13" s="8">
        <v>4</v>
      </c>
      <c r="B13" s="15" t="s">
        <v>28</v>
      </c>
      <c r="C13" s="8" t="s">
        <v>24</v>
      </c>
      <c r="D13" s="16">
        <v>9163508.7650715783</v>
      </c>
      <c r="E13" s="16">
        <v>5564097.0273399986</v>
      </c>
      <c r="F13" s="16">
        <v>5529315.9960999992</v>
      </c>
      <c r="G13" s="143">
        <v>3919938.9588519176</v>
      </c>
      <c r="H13" s="144">
        <v>2352552.9991999995</v>
      </c>
      <c r="I13" s="144">
        <v>2000136.6165800001</v>
      </c>
      <c r="J13" s="210">
        <v>2133780.8979799999</v>
      </c>
      <c r="K13" s="210">
        <v>2054596.4539000001</v>
      </c>
      <c r="L13" s="210">
        <v>2453089.5638000001</v>
      </c>
      <c r="M13" s="16"/>
      <c r="N13" s="16"/>
      <c r="O13" s="16"/>
      <c r="P13" s="153"/>
      <c r="Q13" s="16"/>
      <c r="R13" s="153"/>
      <c r="S13" s="16"/>
    </row>
    <row r="14" spans="1:19">
      <c r="A14" s="8">
        <v>5</v>
      </c>
      <c r="B14" s="2" t="s">
        <v>29</v>
      </c>
      <c r="C14" s="8" t="s">
        <v>24</v>
      </c>
      <c r="D14" s="16">
        <v>1357254</v>
      </c>
      <c r="E14" s="16">
        <v>1357578</v>
      </c>
      <c r="F14" s="16">
        <v>1354644</v>
      </c>
      <c r="G14" s="143">
        <v>1354320</v>
      </c>
      <c r="H14" s="144">
        <v>1355769</v>
      </c>
      <c r="I14" s="144">
        <v>1354581</v>
      </c>
      <c r="J14" s="210">
        <v>1386104</v>
      </c>
      <c r="K14" s="210">
        <v>1384612</v>
      </c>
      <c r="L14" s="210">
        <v>1386467</v>
      </c>
      <c r="M14" s="16"/>
      <c r="N14" s="16"/>
      <c r="O14" s="16"/>
      <c r="P14" s="153"/>
      <c r="Q14" s="16"/>
      <c r="R14" s="153"/>
      <c r="S14" s="16"/>
    </row>
    <row r="15" spans="1:19">
      <c r="A15" s="8">
        <v>6</v>
      </c>
      <c r="B15" s="2" t="s">
        <v>30</v>
      </c>
      <c r="C15" s="8" t="str">
        <f>"("&amp;A13&amp;") - ("&amp;A14&amp;")"</f>
        <v>(4) - (5)</v>
      </c>
      <c r="D15" s="13">
        <f>D13-D14</f>
        <v>7806254.7650715783</v>
      </c>
      <c r="E15" s="13">
        <f t="shared" ref="E15:O15" si="3">E13-E14</f>
        <v>4206519.0273399986</v>
      </c>
      <c r="F15" s="13">
        <f t="shared" si="3"/>
        <v>4174671.9960999992</v>
      </c>
      <c r="G15" s="13">
        <f t="shared" si="3"/>
        <v>2565618.9588519176</v>
      </c>
      <c r="H15" s="13">
        <f t="shared" si="3"/>
        <v>996783.9991999995</v>
      </c>
      <c r="I15" s="13">
        <f t="shared" si="3"/>
        <v>645555.61658000015</v>
      </c>
      <c r="J15" s="13">
        <f t="shared" si="3"/>
        <v>747676.89797999989</v>
      </c>
      <c r="K15" s="13">
        <f t="shared" si="3"/>
        <v>669984.45390000008</v>
      </c>
      <c r="L15" s="13">
        <f t="shared" si="3"/>
        <v>1066622.5638000001</v>
      </c>
      <c r="M15" s="13">
        <f t="shared" si="3"/>
        <v>0</v>
      </c>
      <c r="N15" s="13">
        <f t="shared" si="3"/>
        <v>0</v>
      </c>
      <c r="O15" s="13">
        <f t="shared" si="3"/>
        <v>0</v>
      </c>
      <c r="P15" s="201">
        <f>SUM(D15:F15)</f>
        <v>16187445.788511576</v>
      </c>
      <c r="Q15" s="152">
        <f>SUM(G15:I15)</f>
        <v>4207958.5746319173</v>
      </c>
      <c r="R15" s="201">
        <f>SUM(J15:L15)</f>
        <v>2484283.9156800001</v>
      </c>
      <c r="S15" s="13">
        <f>SUM(D15:O15)</f>
        <v>22879688.278823495</v>
      </c>
    </row>
    <row r="16" spans="1:19">
      <c r="A16" s="8"/>
      <c r="B16" s="17" t="s">
        <v>31</v>
      </c>
      <c r="C16" s="8"/>
      <c r="D16" s="12">
        <f>D15/D9</f>
        <v>51.76355559507963</v>
      </c>
      <c r="E16" s="12">
        <f>E15/E9</f>
        <v>27.88692159570941</v>
      </c>
      <c r="F16" s="12">
        <f>F15/F9</f>
        <v>27.735735709824862</v>
      </c>
      <c r="G16" s="114">
        <f t="shared" ref="G16:O16" si="4">G15/G9</f>
        <v>17.049567775464631</v>
      </c>
      <c r="H16" s="114">
        <f t="shared" si="4"/>
        <v>6.6169502273617375</v>
      </c>
      <c r="I16" s="114">
        <f t="shared" si="4"/>
        <v>4.2891495962367712</v>
      </c>
      <c r="J16" s="114">
        <f t="shared" si="4"/>
        <v>4.9576422323009286</v>
      </c>
      <c r="K16" s="114">
        <f t="shared" si="4"/>
        <v>4.4434865193428799</v>
      </c>
      <c r="L16" s="114">
        <f t="shared" si="4"/>
        <v>7.0507447467576254</v>
      </c>
      <c r="M16" s="114" t="e">
        <f t="shared" si="4"/>
        <v>#DIV/0!</v>
      </c>
      <c r="N16" s="114" t="e">
        <f t="shared" si="4"/>
        <v>#DIV/0!</v>
      </c>
      <c r="O16" s="114" t="e">
        <f t="shared" si="4"/>
        <v>#DIV/0!</v>
      </c>
      <c r="P16" s="205">
        <f>P15/P9</f>
        <v>35.799943800283913</v>
      </c>
      <c r="Q16" s="156">
        <f>Q15/Q9</f>
        <v>9.3172698328984289</v>
      </c>
      <c r="R16" s="205">
        <f>R15/R9</f>
        <v>5.4856447008633831</v>
      </c>
      <c r="S16" s="12">
        <f>S15/S9</f>
        <v>16.864668244180944</v>
      </c>
    </row>
    <row r="17" spans="1:19">
      <c r="A17" s="8">
        <v>7</v>
      </c>
      <c r="B17" s="2" t="s">
        <v>32</v>
      </c>
      <c r="C17" s="8" t="str">
        <f>"("&amp;A$11&amp;") - ("&amp;A15&amp;")"</f>
        <v>(3) - (6)</v>
      </c>
      <c r="D17" s="13">
        <f t="shared" ref="D17:O17" si="5">D11-D15</f>
        <v>-546799.86133076157</v>
      </c>
      <c r="E17" s="13">
        <f t="shared" si="5"/>
        <v>1838231.0676796902</v>
      </c>
      <c r="F17" s="13">
        <f t="shared" si="5"/>
        <v>975740.09899805766</v>
      </c>
      <c r="G17" s="13">
        <f t="shared" si="5"/>
        <v>751371.92371156206</v>
      </c>
      <c r="H17" s="13">
        <f t="shared" si="5"/>
        <v>853242.9883926895</v>
      </c>
      <c r="I17" s="13">
        <f t="shared" si="5"/>
        <v>571892.74789587758</v>
      </c>
      <c r="J17" s="13">
        <f t="shared" si="5"/>
        <v>139605.82706969744</v>
      </c>
      <c r="K17" s="13">
        <f t="shared" si="5"/>
        <v>134493.42318106047</v>
      </c>
      <c r="L17" s="13">
        <f t="shared" si="5"/>
        <v>-12893.127995330608</v>
      </c>
      <c r="M17" s="13">
        <f t="shared" si="5"/>
        <v>0</v>
      </c>
      <c r="N17" s="13">
        <f t="shared" si="5"/>
        <v>0</v>
      </c>
      <c r="O17" s="13">
        <f t="shared" si="5"/>
        <v>0</v>
      </c>
      <c r="P17" s="201">
        <f>SUM(D17:F17)</f>
        <v>2267171.3053469863</v>
      </c>
      <c r="Q17" s="152">
        <f>SUM(G17:I17)</f>
        <v>2176507.6600001291</v>
      </c>
      <c r="R17" s="201">
        <f>SUM(J17:L17)</f>
        <v>261206.1222554273</v>
      </c>
      <c r="S17" s="13">
        <f t="shared" ref="S17:S20" si="6">SUM(D17:O17)</f>
        <v>4704885.0876025427</v>
      </c>
    </row>
    <row r="18" spans="1:19">
      <c r="A18" s="8">
        <v>8</v>
      </c>
      <c r="B18" s="2" t="s">
        <v>33</v>
      </c>
      <c r="C18" s="8" t="s">
        <v>34</v>
      </c>
      <c r="D18" s="13">
        <f>D17*-0.044797</f>
        <v>24494.993388034123</v>
      </c>
      <c r="E18" s="13">
        <f t="shared" ref="E18:O18" si="7">E17*-0.044797</f>
        <v>-82347.237138847078</v>
      </c>
      <c r="F18" s="13">
        <f t="shared" si="7"/>
        <v>-43710.229214815983</v>
      </c>
      <c r="G18" s="13">
        <f t="shared" si="7"/>
        <v>-33659.208066506842</v>
      </c>
      <c r="H18" s="13">
        <f t="shared" si="7"/>
        <v>-38222.726151027309</v>
      </c>
      <c r="I18" s="13">
        <f t="shared" si="7"/>
        <v>-25619.079427491626</v>
      </c>
      <c r="J18" s="13">
        <f t="shared" si="7"/>
        <v>-6253.9222352412353</v>
      </c>
      <c r="K18" s="13">
        <f t="shared" si="7"/>
        <v>-6024.9018782419653</v>
      </c>
      <c r="L18" s="13">
        <f t="shared" si="7"/>
        <v>577.57345480682523</v>
      </c>
      <c r="M18" s="13">
        <f t="shared" si="7"/>
        <v>0</v>
      </c>
      <c r="N18" s="13">
        <f t="shared" si="7"/>
        <v>0</v>
      </c>
      <c r="O18" s="13">
        <f t="shared" si="7"/>
        <v>0</v>
      </c>
      <c r="P18" s="201">
        <f>SUM(D18:F18)</f>
        <v>-101562.47296562893</v>
      </c>
      <c r="Q18" s="152">
        <f>SUM(G18:I18)</f>
        <v>-97501.013645025771</v>
      </c>
      <c r="R18" s="201">
        <f>SUM(J18:L18)</f>
        <v>-11701.250658676376</v>
      </c>
      <c r="S18" s="13">
        <f t="shared" si="6"/>
        <v>-210764.73726933109</v>
      </c>
    </row>
    <row r="19" spans="1:19">
      <c r="A19" s="8"/>
      <c r="B19" s="2"/>
      <c r="C19" s="18" t="s">
        <v>35</v>
      </c>
      <c r="D19" s="19">
        <v>3.2500000000000001E-2</v>
      </c>
      <c r="E19" s="19">
        <f>D19</f>
        <v>3.2500000000000001E-2</v>
      </c>
      <c r="F19" s="19">
        <f>E19</f>
        <v>3.2500000000000001E-2</v>
      </c>
      <c r="G19" s="110">
        <f>F19</f>
        <v>3.2500000000000001E-2</v>
      </c>
      <c r="H19" s="19">
        <f>G19</f>
        <v>3.2500000000000001E-2</v>
      </c>
      <c r="I19" s="19">
        <f t="shared" ref="I19:O19" si="8">H19</f>
        <v>3.2500000000000001E-2</v>
      </c>
      <c r="J19" s="203">
        <f t="shared" si="8"/>
        <v>3.2500000000000001E-2</v>
      </c>
      <c r="K19" s="19">
        <f t="shared" si="8"/>
        <v>3.2500000000000001E-2</v>
      </c>
      <c r="L19" s="19">
        <f t="shared" si="8"/>
        <v>3.2500000000000001E-2</v>
      </c>
      <c r="M19" s="19">
        <v>0</v>
      </c>
      <c r="N19" s="19">
        <f t="shared" si="8"/>
        <v>0</v>
      </c>
      <c r="O19" s="19">
        <f t="shared" si="8"/>
        <v>0</v>
      </c>
      <c r="P19" s="203"/>
      <c r="Q19" s="110"/>
      <c r="R19" s="203"/>
      <c r="S19" s="19"/>
    </row>
    <row r="20" spans="1:19">
      <c r="A20" s="8">
        <v>9</v>
      </c>
      <c r="B20" s="2" t="s">
        <v>36</v>
      </c>
      <c r="C20" s="149" t="s">
        <v>41</v>
      </c>
      <c r="D20" s="20">
        <f>(D17+D18)/2*D19/12</f>
        <v>-707.28784200577684</v>
      </c>
      <c r="E20" s="20">
        <f>(D23+(E17+E18)/2)*E19/12</f>
        <v>961.2680986070726</v>
      </c>
      <c r="F20" s="20">
        <f>(E23+(F17+F18)/2)*F19/12</f>
        <v>4603.7546688963312</v>
      </c>
      <c r="G20" s="20">
        <f t="shared" ref="G20:O20" si="9">(F23+(G17+G18)/2)*G19/12</f>
        <v>6850.2495888920785</v>
      </c>
      <c r="H20" s="20">
        <f t="shared" si="9"/>
        <v>8944.3782557502582</v>
      </c>
      <c r="I20" s="20">
        <f t="shared" si="9"/>
        <v>10812.021478029439</v>
      </c>
      <c r="J20" s="20">
        <f t="shared" si="9"/>
        <v>11761.630333380033</v>
      </c>
      <c r="K20" s="20">
        <f t="shared" si="9"/>
        <v>12148.03324259383</v>
      </c>
      <c r="L20" s="20">
        <f t="shared" si="9"/>
        <v>12338.224641783127</v>
      </c>
      <c r="M20" s="20">
        <f t="shared" si="9"/>
        <v>0</v>
      </c>
      <c r="N20" s="20">
        <f t="shared" si="9"/>
        <v>0</v>
      </c>
      <c r="O20" s="20">
        <f t="shared" si="9"/>
        <v>0</v>
      </c>
      <c r="P20" s="201">
        <f>SUM(D20:F20)</f>
        <v>4857.734925497627</v>
      </c>
      <c r="Q20" s="152">
        <f>SUM(G20:I20)</f>
        <v>26606.649322671776</v>
      </c>
      <c r="R20" s="201">
        <f>SUM(J20:L20)</f>
        <v>36247.88821775699</v>
      </c>
      <c r="S20" s="20">
        <f t="shared" si="6"/>
        <v>67712.272465926391</v>
      </c>
    </row>
    <row r="21" spans="1:19">
      <c r="A21" s="8"/>
      <c r="B21" s="21" t="s">
        <v>37</v>
      </c>
      <c r="C21" s="18"/>
      <c r="D21" s="22">
        <f>D17+D18+D20</f>
        <v>-523012.15578473324</v>
      </c>
      <c r="E21" s="22">
        <f t="shared" ref="E21:S21" si="10">E17+E18+E20</f>
        <v>1756845.09863945</v>
      </c>
      <c r="F21" s="22">
        <f t="shared" si="10"/>
        <v>936633.62445213797</v>
      </c>
      <c r="G21" s="22">
        <f t="shared" si="10"/>
        <v>724562.96523394727</v>
      </c>
      <c r="H21" s="22">
        <f t="shared" si="10"/>
        <v>823964.64049741253</v>
      </c>
      <c r="I21" s="22">
        <f t="shared" si="10"/>
        <v>557085.68994641537</v>
      </c>
      <c r="J21" s="22">
        <f t="shared" si="10"/>
        <v>145113.53516783623</v>
      </c>
      <c r="K21" s="22">
        <f t="shared" si="10"/>
        <v>140616.55454541233</v>
      </c>
      <c r="L21" s="22">
        <f t="shared" si="10"/>
        <v>22.670101259343937</v>
      </c>
      <c r="M21" s="22">
        <f t="shared" si="10"/>
        <v>0</v>
      </c>
      <c r="N21" s="22">
        <f t="shared" si="10"/>
        <v>0</v>
      </c>
      <c r="O21" s="22">
        <f t="shared" si="10"/>
        <v>0</v>
      </c>
      <c r="P21" s="204">
        <f>P17+P18+P20</f>
        <v>2170466.5673068552</v>
      </c>
      <c r="Q21" s="157">
        <f>Q17+Q18+Q20</f>
        <v>2105613.2956777751</v>
      </c>
      <c r="R21" s="204">
        <f>R17+R18+R20</f>
        <v>285752.75981450791</v>
      </c>
      <c r="S21" s="22">
        <f t="shared" si="10"/>
        <v>4561832.6227991385</v>
      </c>
    </row>
    <row r="22" spans="1:19">
      <c r="A22" s="8"/>
      <c r="B22" s="219" t="s">
        <v>38</v>
      </c>
      <c r="C22" s="8"/>
      <c r="D22" s="14"/>
      <c r="E22" s="14"/>
      <c r="F22" s="14"/>
      <c r="G22" s="14"/>
      <c r="H22" s="14"/>
      <c r="I22" s="14"/>
      <c r="J22" s="14"/>
      <c r="K22" s="14"/>
      <c r="L22" s="14"/>
      <c r="M22" s="14"/>
      <c r="N22" s="14"/>
      <c r="O22" s="14"/>
      <c r="P22" s="198"/>
      <c r="Q22" s="100"/>
      <c r="R22" s="198"/>
      <c r="S22" s="1"/>
    </row>
    <row r="23" spans="1:19">
      <c r="A23" s="8">
        <v>10</v>
      </c>
      <c r="B23" s="219"/>
      <c r="C23" s="8" t="str">
        <f>"Σ(("&amp;A$17&amp;") + ("&amp;A20&amp;"))"</f>
        <v>Σ((7) + (9))</v>
      </c>
      <c r="D23" s="13">
        <f>D17+D18+D20</f>
        <v>-523012.15578473324</v>
      </c>
      <c r="E23" s="13">
        <f>D23+E17+E18+E20</f>
        <v>1233832.9428547169</v>
      </c>
      <c r="F23" s="13">
        <f t="shared" ref="F23:N23" si="11">E23+F17+F18+F20</f>
        <v>2170466.5673068552</v>
      </c>
      <c r="G23" s="13">
        <f t="shared" si="11"/>
        <v>2895029.5325408024</v>
      </c>
      <c r="H23" s="13">
        <f t="shared" si="11"/>
        <v>3718994.1730382149</v>
      </c>
      <c r="I23" s="13">
        <f t="shared" si="11"/>
        <v>4276079.8629846303</v>
      </c>
      <c r="J23" s="13">
        <f t="shared" si="11"/>
        <v>4421193.3981524659</v>
      </c>
      <c r="K23" s="13">
        <f t="shared" si="11"/>
        <v>4561809.9526978778</v>
      </c>
      <c r="L23" s="13">
        <f t="shared" si="11"/>
        <v>4561832.6227991367</v>
      </c>
      <c r="M23" s="13">
        <f t="shared" si="11"/>
        <v>4561832.6227991367</v>
      </c>
      <c r="N23" s="13">
        <f t="shared" si="11"/>
        <v>4561832.6227991367</v>
      </c>
      <c r="O23" s="23">
        <f>N23+O17+O18+O20</f>
        <v>4561832.6227991367</v>
      </c>
      <c r="P23" s="202"/>
      <c r="Q23" s="107"/>
      <c r="R23" s="202"/>
      <c r="S23" s="1"/>
    </row>
    <row r="24" spans="1:19">
      <c r="A24" s="8"/>
      <c r="B24" s="219"/>
      <c r="C24" s="8"/>
      <c r="D24" s="14"/>
      <c r="E24" s="14"/>
      <c r="F24" s="14"/>
      <c r="G24" s="14"/>
      <c r="H24" s="14"/>
      <c r="I24" s="14"/>
      <c r="J24" s="14"/>
      <c r="K24" s="14"/>
      <c r="L24" s="14"/>
      <c r="M24" s="14"/>
      <c r="N24" s="14"/>
      <c r="O24" s="14"/>
      <c r="P24" s="198"/>
      <c r="Q24" s="100"/>
      <c r="R24" s="198"/>
      <c r="S24" s="1"/>
    </row>
    <row r="25" spans="1:19">
      <c r="A25" s="8"/>
      <c r="B25" s="2"/>
      <c r="C25" s="8"/>
      <c r="D25" s="13"/>
      <c r="E25" s="13"/>
      <c r="F25" s="13"/>
      <c r="G25" s="13"/>
      <c r="H25" s="13"/>
      <c r="I25" s="13"/>
      <c r="J25" s="13"/>
      <c r="K25" s="13"/>
      <c r="L25" s="13"/>
      <c r="M25" s="13"/>
      <c r="N25" s="13"/>
      <c r="O25" s="13"/>
      <c r="P25" s="201"/>
      <c r="Q25" s="103"/>
      <c r="R25" s="201"/>
      <c r="S25" s="1"/>
    </row>
    <row r="26" spans="1:19">
      <c r="A26" s="8"/>
      <c r="B26" s="2"/>
      <c r="C26" s="8"/>
      <c r="D26" s="13"/>
      <c r="E26" s="13"/>
      <c r="F26" s="13"/>
      <c r="G26" s="13"/>
      <c r="H26" s="13"/>
      <c r="I26" s="13"/>
      <c r="J26" s="13"/>
      <c r="K26" s="13"/>
      <c r="L26" s="13"/>
      <c r="M26" s="13"/>
      <c r="N26" s="13"/>
      <c r="O26" s="13"/>
      <c r="P26" s="201"/>
      <c r="Q26" s="103"/>
      <c r="R26" s="201"/>
      <c r="S26" s="1"/>
    </row>
    <row r="27" spans="1:19">
      <c r="A27" s="8"/>
      <c r="B27" s="3" t="s">
        <v>39</v>
      </c>
      <c r="C27" s="8"/>
      <c r="D27" s="8"/>
      <c r="E27" s="8"/>
      <c r="F27" s="8"/>
      <c r="G27" s="8"/>
      <c r="H27" s="8"/>
      <c r="I27" s="8"/>
      <c r="J27" s="8"/>
      <c r="K27" s="8"/>
      <c r="L27" s="8"/>
      <c r="M27" s="8"/>
      <c r="N27" s="8"/>
      <c r="O27" s="8"/>
      <c r="P27" s="197"/>
      <c r="Q27" s="99"/>
      <c r="R27" s="197"/>
      <c r="S27" s="1"/>
    </row>
    <row r="28" spans="1:19">
      <c r="A28" s="8">
        <v>11</v>
      </c>
      <c r="B28" s="2" t="s">
        <v>23</v>
      </c>
      <c r="C28" s="8" t="s">
        <v>24</v>
      </c>
      <c r="D28" s="9">
        <v>2622</v>
      </c>
      <c r="E28" s="9">
        <v>2634</v>
      </c>
      <c r="F28" s="9">
        <v>2688</v>
      </c>
      <c r="G28" s="145">
        <v>2640</v>
      </c>
      <c r="H28" s="146">
        <v>2654</v>
      </c>
      <c r="I28" s="146">
        <v>2647</v>
      </c>
      <c r="J28" s="211">
        <v>2647</v>
      </c>
      <c r="K28" s="211">
        <v>2642</v>
      </c>
      <c r="L28" s="211">
        <v>2653</v>
      </c>
      <c r="M28" s="9"/>
      <c r="N28" s="9"/>
      <c r="O28" s="9"/>
      <c r="P28" s="200">
        <f>SUM(D28:F28)</f>
        <v>7944</v>
      </c>
      <c r="Q28" s="151">
        <f>SUM(G28:I28)</f>
        <v>7941</v>
      </c>
      <c r="R28" s="200">
        <f>SUM(J28:L28)</f>
        <v>7942</v>
      </c>
      <c r="S28" s="151">
        <f>SUM(D28:O28)</f>
        <v>23827</v>
      </c>
    </row>
    <row r="29" spans="1:19">
      <c r="A29" s="10">
        <v>12</v>
      </c>
      <c r="B29" s="11" t="s">
        <v>25</v>
      </c>
      <c r="C29" s="8" t="s">
        <v>26</v>
      </c>
      <c r="D29" s="24">
        <v>642.23525919067015</v>
      </c>
      <c r="E29" s="24">
        <v>547.49948301856114</v>
      </c>
      <c r="F29" s="24">
        <v>491.15466582936881</v>
      </c>
      <c r="G29" s="24">
        <v>334.58697461438828</v>
      </c>
      <c r="H29" s="24">
        <v>208.08129936813936</v>
      </c>
      <c r="I29" s="24">
        <v>166.52662349562945</v>
      </c>
      <c r="J29" s="24">
        <v>142.14700255957811</v>
      </c>
      <c r="K29" s="24">
        <v>156.16362568722522</v>
      </c>
      <c r="L29" s="24">
        <v>211.98631991522504</v>
      </c>
      <c r="M29" s="24">
        <v>390.54187068635031</v>
      </c>
      <c r="N29" s="24">
        <v>557.50859652134125</v>
      </c>
      <c r="O29" s="24">
        <v>660.89827911352268</v>
      </c>
      <c r="P29" s="205">
        <f>P30/P28</f>
        <v>559.70269758536904</v>
      </c>
      <c r="Q29" s="156">
        <f>Q30/Q28</f>
        <v>236.28678427124518</v>
      </c>
      <c r="R29" s="205">
        <f>R30/R28</f>
        <v>170.13940085317859</v>
      </c>
      <c r="S29" s="156">
        <f>S30/S28</f>
        <v>322.06650879641057</v>
      </c>
    </row>
    <row r="30" spans="1:19">
      <c r="A30" s="8">
        <v>13</v>
      </c>
      <c r="B30" s="2" t="s">
        <v>27</v>
      </c>
      <c r="C30" s="8" t="str">
        <f>"("&amp;A28&amp;") x ("&amp;A29&amp;")"</f>
        <v>(11) x (12)</v>
      </c>
      <c r="D30" s="13">
        <f t="shared" ref="D30:O30" si="12">D28*D29</f>
        <v>1683940.8495979372</v>
      </c>
      <c r="E30" s="13">
        <f t="shared" si="12"/>
        <v>1442113.6382708901</v>
      </c>
      <c r="F30" s="13">
        <f t="shared" si="12"/>
        <v>1320223.7417493435</v>
      </c>
      <c r="G30" s="13">
        <f t="shared" si="12"/>
        <v>883309.61298198509</v>
      </c>
      <c r="H30" s="13">
        <f t="shared" si="12"/>
        <v>552247.76852304186</v>
      </c>
      <c r="I30" s="13">
        <f t="shared" si="12"/>
        <v>440795.97239293117</v>
      </c>
      <c r="J30" s="13">
        <f t="shared" si="12"/>
        <v>376263.11577520327</v>
      </c>
      <c r="K30" s="13">
        <f t="shared" si="12"/>
        <v>412584.29906564904</v>
      </c>
      <c r="L30" s="13">
        <f t="shared" si="12"/>
        <v>562399.70673509198</v>
      </c>
      <c r="M30" s="13">
        <f t="shared" si="12"/>
        <v>0</v>
      </c>
      <c r="N30" s="13">
        <f t="shared" si="12"/>
        <v>0</v>
      </c>
      <c r="O30" s="13">
        <f t="shared" si="12"/>
        <v>0</v>
      </c>
      <c r="P30" s="201">
        <f>SUM(D30:F30)</f>
        <v>4446278.2296181712</v>
      </c>
      <c r="Q30" s="152">
        <f>SUM(G30:I30)</f>
        <v>1876353.3538979581</v>
      </c>
      <c r="R30" s="201">
        <f>SUM(J30:L30)</f>
        <v>1351247.1215759444</v>
      </c>
      <c r="S30" s="13">
        <f>SUM(D30:O30)</f>
        <v>7673878.7050920753</v>
      </c>
    </row>
    <row r="31" spans="1:19">
      <c r="A31" s="8"/>
      <c r="B31" s="2"/>
      <c r="C31" s="8"/>
      <c r="D31" s="14"/>
      <c r="E31" s="14"/>
      <c r="F31" s="14"/>
      <c r="G31" s="14"/>
      <c r="H31" s="14"/>
      <c r="I31" s="14"/>
      <c r="J31" s="14"/>
      <c r="K31" s="14"/>
      <c r="L31" s="14"/>
      <c r="M31" s="14"/>
      <c r="N31" s="14"/>
      <c r="O31" s="14"/>
      <c r="P31" s="198"/>
      <c r="Q31" s="150"/>
      <c r="R31" s="198"/>
      <c r="S31" s="14"/>
    </row>
    <row r="32" spans="1:19">
      <c r="A32" s="8">
        <v>14</v>
      </c>
      <c r="B32" s="15" t="s">
        <v>28</v>
      </c>
      <c r="C32" s="8" t="s">
        <v>24</v>
      </c>
      <c r="D32" s="16">
        <v>1739453.4398748712</v>
      </c>
      <c r="E32" s="16">
        <v>1533381.22603</v>
      </c>
      <c r="F32" s="16">
        <v>1343015.4651600004</v>
      </c>
      <c r="G32" s="158">
        <v>1101125.7798617501</v>
      </c>
      <c r="H32" s="159">
        <v>700532.59237999981</v>
      </c>
      <c r="I32" s="159">
        <v>616648.19738000014</v>
      </c>
      <c r="J32" s="214">
        <v>549118.65526999999</v>
      </c>
      <c r="K32" s="214">
        <v>547598.22138999996</v>
      </c>
      <c r="L32" s="214">
        <v>686636.99804000009</v>
      </c>
      <c r="M32" s="16"/>
      <c r="N32" s="16"/>
      <c r="O32" s="16"/>
      <c r="P32" s="153"/>
      <c r="Q32" s="153"/>
      <c r="R32" s="153"/>
      <c r="S32" s="151"/>
    </row>
    <row r="33" spans="1:19">
      <c r="A33" s="8">
        <v>15</v>
      </c>
      <c r="B33" s="2" t="s">
        <v>29</v>
      </c>
      <c r="C33" s="8" t="s">
        <v>24</v>
      </c>
      <c r="D33" s="16">
        <v>231552.08000000002</v>
      </c>
      <c r="E33" s="16">
        <v>232468.36000000002</v>
      </c>
      <c r="F33" s="16">
        <v>237296.72</v>
      </c>
      <c r="G33" s="158">
        <v>233118.80000000002</v>
      </c>
      <c r="H33" s="159">
        <v>234209.16</v>
      </c>
      <c r="I33" s="159">
        <v>233599.88</v>
      </c>
      <c r="J33" s="214">
        <v>234359.71</v>
      </c>
      <c r="K33" s="214">
        <v>233812</v>
      </c>
      <c r="L33" s="214">
        <v>235201.2</v>
      </c>
      <c r="M33" s="16"/>
      <c r="N33" s="16"/>
      <c r="O33" s="16"/>
      <c r="P33" s="153"/>
      <c r="Q33" s="153"/>
      <c r="R33" s="153"/>
      <c r="S33" s="156"/>
    </row>
    <row r="34" spans="1:19">
      <c r="A34" s="8">
        <v>16</v>
      </c>
      <c r="B34" s="2" t="s">
        <v>30</v>
      </c>
      <c r="C34" s="8" t="str">
        <f>"("&amp;A32&amp;") - ("&amp;A33&amp;")"</f>
        <v>(14) - (15)</v>
      </c>
      <c r="D34" s="13">
        <f t="shared" ref="D34:O34" si="13">D32-D33</f>
        <v>1507901.3598748711</v>
      </c>
      <c r="E34" s="13">
        <f t="shared" si="13"/>
        <v>1300912.8660299999</v>
      </c>
      <c r="F34" s="13">
        <f t="shared" si="13"/>
        <v>1105718.7451600004</v>
      </c>
      <c r="G34" s="13">
        <f t="shared" si="13"/>
        <v>868006.97986175003</v>
      </c>
      <c r="H34" s="13">
        <f t="shared" si="13"/>
        <v>466323.43237999978</v>
      </c>
      <c r="I34" s="13">
        <f t="shared" si="13"/>
        <v>383048.31738000014</v>
      </c>
      <c r="J34" s="13">
        <f t="shared" si="13"/>
        <v>314758.94527000003</v>
      </c>
      <c r="K34" s="13">
        <f t="shared" si="13"/>
        <v>313786.22138999996</v>
      </c>
      <c r="L34" s="13">
        <f t="shared" si="13"/>
        <v>451435.79804000008</v>
      </c>
      <c r="M34" s="13">
        <f t="shared" si="13"/>
        <v>0</v>
      </c>
      <c r="N34" s="13">
        <f t="shared" si="13"/>
        <v>0</v>
      </c>
      <c r="O34" s="13">
        <f t="shared" si="13"/>
        <v>0</v>
      </c>
      <c r="P34" s="201">
        <f>SUM(D34:F34)</f>
        <v>3914532.9710648712</v>
      </c>
      <c r="Q34" s="152">
        <f>SUM(G34:I34)</f>
        <v>1717378.7296217501</v>
      </c>
      <c r="R34" s="201">
        <f>SUM(J34:L34)</f>
        <v>1079980.9647000001</v>
      </c>
      <c r="S34" s="13">
        <f>SUM(D34:O34)</f>
        <v>6711892.6653866209</v>
      </c>
    </row>
    <row r="35" spans="1:19">
      <c r="A35" s="8"/>
      <c r="B35" s="17" t="s">
        <v>40</v>
      </c>
      <c r="C35" s="8"/>
      <c r="D35" s="24">
        <f>D34/D28</f>
        <v>575.09586570361216</v>
      </c>
      <c r="E35" s="24">
        <f>E34/E28</f>
        <v>493.89250798405465</v>
      </c>
      <c r="F35" s="24">
        <f>F34/F28</f>
        <v>411.35369983630966</v>
      </c>
      <c r="G35" s="24">
        <f t="shared" ref="G35:O35" si="14">G34/G28</f>
        <v>328.79052267490533</v>
      </c>
      <c r="H35" s="24">
        <f t="shared" si="14"/>
        <v>175.70589012057263</v>
      </c>
      <c r="I35" s="24">
        <f t="shared" si="14"/>
        <v>144.71035790706466</v>
      </c>
      <c r="J35" s="24">
        <f t="shared" si="14"/>
        <v>118.91157735927466</v>
      </c>
      <c r="K35" s="24">
        <f t="shared" si="14"/>
        <v>118.76844110143828</v>
      </c>
      <c r="L35" s="24">
        <f t="shared" si="14"/>
        <v>170.1604968111572</v>
      </c>
      <c r="M35" s="24" t="e">
        <f t="shared" si="14"/>
        <v>#DIV/0!</v>
      </c>
      <c r="N35" s="24" t="e">
        <f t="shared" si="14"/>
        <v>#DIV/0!</v>
      </c>
      <c r="O35" s="24" t="e">
        <f t="shared" si="14"/>
        <v>#DIV/0!</v>
      </c>
      <c r="P35" s="205">
        <f>P34/P28</f>
        <v>492.7659832659707</v>
      </c>
      <c r="Q35" s="156">
        <f>Q34/Q28</f>
        <v>216.26731263339002</v>
      </c>
      <c r="R35" s="205">
        <f>R34/R28</f>
        <v>135.9835009695291</v>
      </c>
      <c r="S35" s="24">
        <f>S34/S28</f>
        <v>281.69272948279769</v>
      </c>
    </row>
    <row r="36" spans="1:19">
      <c r="A36" s="8">
        <v>17</v>
      </c>
      <c r="B36" s="2" t="s">
        <v>32</v>
      </c>
      <c r="C36" s="8" t="str">
        <f>"("&amp;A30&amp;") - ("&amp;A34&amp;")"</f>
        <v>(13) - (16)</v>
      </c>
      <c r="D36" s="13">
        <f t="shared" ref="D36:O36" si="15">D30-D34</f>
        <v>176039.4897230661</v>
      </c>
      <c r="E36" s="13">
        <f t="shared" si="15"/>
        <v>141200.77224089019</v>
      </c>
      <c r="F36" s="13">
        <f t="shared" si="15"/>
        <v>214504.99658934306</v>
      </c>
      <c r="G36" s="13">
        <f t="shared" si="15"/>
        <v>15302.633120235056</v>
      </c>
      <c r="H36" s="13">
        <f t="shared" si="15"/>
        <v>85924.336143042077</v>
      </c>
      <c r="I36" s="13">
        <f t="shared" si="15"/>
        <v>57747.655012931034</v>
      </c>
      <c r="J36" s="13">
        <f t="shared" si="15"/>
        <v>61504.170505203248</v>
      </c>
      <c r="K36" s="13">
        <f t="shared" si="15"/>
        <v>98798.077675649081</v>
      </c>
      <c r="L36" s="13">
        <f t="shared" si="15"/>
        <v>110963.9086950919</v>
      </c>
      <c r="M36" s="13">
        <f t="shared" si="15"/>
        <v>0</v>
      </c>
      <c r="N36" s="13">
        <f t="shared" si="15"/>
        <v>0</v>
      </c>
      <c r="O36" s="13">
        <f t="shared" si="15"/>
        <v>0</v>
      </c>
      <c r="P36" s="201">
        <f>SUM(D36:F36)</f>
        <v>531745.25855329935</v>
      </c>
      <c r="Q36" s="152">
        <f>SUM(G36:I36)</f>
        <v>158974.62427620817</v>
      </c>
      <c r="R36" s="201">
        <f>SUM(J36:L36)</f>
        <v>271266.15687594423</v>
      </c>
      <c r="S36" s="13">
        <f t="shared" ref="S36:S39" si="16">SUM(D36:O36)</f>
        <v>961986.03970545181</v>
      </c>
    </row>
    <row r="37" spans="1:19">
      <c r="A37" s="8">
        <v>18</v>
      </c>
      <c r="B37" s="2" t="s">
        <v>33</v>
      </c>
      <c r="C37" s="8" t="s">
        <v>34</v>
      </c>
      <c r="D37" s="13">
        <f>D36*-0.044797</f>
        <v>-7886.0410211241915</v>
      </c>
      <c r="E37" s="13">
        <f t="shared" ref="E37:O37" si="17">E36*-0.044797</f>
        <v>-6325.3709940751578</v>
      </c>
      <c r="F37" s="13">
        <f t="shared" si="17"/>
        <v>-9609.1803322127998</v>
      </c>
      <c r="G37" s="13">
        <f t="shared" si="17"/>
        <v>-685.51205588716971</v>
      </c>
      <c r="H37" s="13">
        <f t="shared" si="17"/>
        <v>-3849.1524861998555</v>
      </c>
      <c r="I37" s="13">
        <f t="shared" si="17"/>
        <v>-2586.9217016142716</v>
      </c>
      <c r="J37" s="13">
        <f t="shared" si="17"/>
        <v>-2755.2023261215895</v>
      </c>
      <c r="K37" s="13">
        <f t="shared" si="17"/>
        <v>-4425.8574856360519</v>
      </c>
      <c r="L37" s="13">
        <f t="shared" si="17"/>
        <v>-4970.8502178140316</v>
      </c>
      <c r="M37" s="13">
        <f t="shared" si="17"/>
        <v>0</v>
      </c>
      <c r="N37" s="13">
        <f t="shared" si="17"/>
        <v>0</v>
      </c>
      <c r="O37" s="13">
        <f t="shared" si="17"/>
        <v>0</v>
      </c>
      <c r="P37" s="201">
        <f>SUM(D37:F37)</f>
        <v>-23820.592347412148</v>
      </c>
      <c r="Q37" s="152">
        <f>SUM(G37:I37)</f>
        <v>-7121.5862437012966</v>
      </c>
      <c r="R37" s="201">
        <f>SUM(J37:L37)</f>
        <v>-12151.910029571673</v>
      </c>
      <c r="S37" s="13">
        <f t="shared" si="16"/>
        <v>-43094.088620685121</v>
      </c>
    </row>
    <row r="38" spans="1:19">
      <c r="A38" s="8"/>
      <c r="B38" s="2"/>
      <c r="C38" s="8" t="s">
        <v>35</v>
      </c>
      <c r="D38" s="19">
        <v>3.2500000000000001E-2</v>
      </c>
      <c r="E38" s="19">
        <f>D38</f>
        <v>3.2500000000000001E-2</v>
      </c>
      <c r="F38" s="19">
        <f>E38</f>
        <v>3.2500000000000001E-2</v>
      </c>
      <c r="G38" s="110">
        <f>F38</f>
        <v>3.2500000000000001E-2</v>
      </c>
      <c r="H38" s="19">
        <f>G38</f>
        <v>3.2500000000000001E-2</v>
      </c>
      <c r="I38" s="19">
        <f t="shared" ref="I38:O38" si="18">H38</f>
        <v>3.2500000000000001E-2</v>
      </c>
      <c r="J38" s="213">
        <f t="shared" si="18"/>
        <v>3.2500000000000001E-2</v>
      </c>
      <c r="K38" s="19">
        <f t="shared" si="18"/>
        <v>3.2500000000000001E-2</v>
      </c>
      <c r="L38" s="19">
        <f t="shared" si="18"/>
        <v>3.2500000000000001E-2</v>
      </c>
      <c r="M38" s="19">
        <v>0</v>
      </c>
      <c r="N38" s="19">
        <f t="shared" si="18"/>
        <v>0</v>
      </c>
      <c r="O38" s="19">
        <f t="shared" si="18"/>
        <v>0</v>
      </c>
      <c r="P38" s="203"/>
      <c r="Q38" s="155"/>
      <c r="R38" s="203"/>
      <c r="S38" s="19"/>
    </row>
    <row r="39" spans="1:19">
      <c r="A39" s="8">
        <v>19</v>
      </c>
      <c r="B39" s="2" t="s">
        <v>36</v>
      </c>
      <c r="C39" s="8" t="s">
        <v>41</v>
      </c>
      <c r="D39" s="20">
        <f>(D36+D37)/2*D38/12</f>
        <v>227.70779511721301</v>
      </c>
      <c r="E39" s="20">
        <f>(D42+(E36+E37)/2)*E38/12</f>
        <v>638.6760713679306</v>
      </c>
      <c r="F39" s="20">
        <f>(E42+(F36+F37)/2)*F38/12</f>
        <v>1100.5126760978112</v>
      </c>
      <c r="G39" s="20">
        <f t="shared" ref="G39:O39" si="19">(F42+(G36+G37)/2)*G38/12</f>
        <v>1400.7503338850777</v>
      </c>
      <c r="H39" s="20">
        <f t="shared" si="19"/>
        <v>1535.4815286826281</v>
      </c>
      <c r="I39" s="20">
        <f t="shared" si="19"/>
        <v>1725.4804287171921</v>
      </c>
      <c r="J39" s="20">
        <f t="shared" si="19"/>
        <v>1884.406325646549</v>
      </c>
      <c r="K39" s="20">
        <f t="shared" si="19"/>
        <v>2096.8615353616574</v>
      </c>
      <c r="L39" s="20">
        <f t="shared" si="19"/>
        <v>2373.8685168818852</v>
      </c>
      <c r="M39" s="20">
        <f t="shared" si="19"/>
        <v>0</v>
      </c>
      <c r="N39" s="20">
        <f t="shared" si="19"/>
        <v>0</v>
      </c>
      <c r="O39" s="20">
        <f t="shared" si="19"/>
        <v>0</v>
      </c>
      <c r="P39" s="201">
        <f>SUM(D39:F39)</f>
        <v>1966.8965425829547</v>
      </c>
      <c r="Q39" s="152">
        <f>SUM(G39:I39)</f>
        <v>4661.7122912848981</v>
      </c>
      <c r="R39" s="201">
        <f>SUM(J39:L39)</f>
        <v>6355.1363778900923</v>
      </c>
      <c r="S39" s="20">
        <f t="shared" si="16"/>
        <v>12983.745211757943</v>
      </c>
    </row>
    <row r="40" spans="1:19">
      <c r="A40" s="8"/>
      <c r="B40" s="21" t="s">
        <v>42</v>
      </c>
      <c r="C40" s="8"/>
      <c r="D40" s="25">
        <f>D36+D37+D39</f>
        <v>168381.15649705913</v>
      </c>
      <c r="E40" s="25">
        <f t="shared" ref="E40:S40" si="20">E36+E37+E39</f>
        <v>135514.07731818297</v>
      </c>
      <c r="F40" s="25">
        <f t="shared" si="20"/>
        <v>205996.32893322807</v>
      </c>
      <c r="G40" s="25">
        <f t="shared" si="20"/>
        <v>16017.871398232965</v>
      </c>
      <c r="H40" s="25">
        <f t="shared" si="20"/>
        <v>83610.665185524849</v>
      </c>
      <c r="I40" s="25">
        <f t="shared" si="20"/>
        <v>56886.213740033956</v>
      </c>
      <c r="J40" s="25">
        <f t="shared" si="20"/>
        <v>60633.374504728214</v>
      </c>
      <c r="K40" s="25">
        <f t="shared" si="20"/>
        <v>96469.081725374694</v>
      </c>
      <c r="L40" s="25">
        <f t="shared" si="20"/>
        <v>108366.92699415976</v>
      </c>
      <c r="M40" s="25">
        <f t="shared" si="20"/>
        <v>0</v>
      </c>
      <c r="N40" s="25">
        <f t="shared" si="20"/>
        <v>0</v>
      </c>
      <c r="O40" s="25">
        <f t="shared" si="20"/>
        <v>0</v>
      </c>
      <c r="P40" s="204">
        <f>P36+P37+P39</f>
        <v>509891.56274847017</v>
      </c>
      <c r="Q40" s="157">
        <f>Q36+Q37+Q39</f>
        <v>156514.75032379178</v>
      </c>
      <c r="R40" s="204">
        <f>R36+R37+R39</f>
        <v>265469.38322426262</v>
      </c>
      <c r="S40" s="25">
        <f t="shared" si="20"/>
        <v>931875.69629652461</v>
      </c>
    </row>
    <row r="41" spans="1:19">
      <c r="A41" s="8"/>
      <c r="B41" s="219" t="s">
        <v>43</v>
      </c>
      <c r="C41" s="8"/>
      <c r="D41" s="14"/>
      <c r="E41" s="14"/>
      <c r="F41" s="14"/>
      <c r="G41" s="14"/>
      <c r="H41" s="14"/>
      <c r="I41" s="14"/>
      <c r="J41" s="14"/>
      <c r="K41" s="14"/>
      <c r="L41" s="14"/>
      <c r="M41" s="14"/>
      <c r="N41" s="14"/>
      <c r="O41" s="14"/>
      <c r="P41" s="198"/>
      <c r="Q41" s="100"/>
      <c r="R41" s="198"/>
      <c r="S41" s="1"/>
    </row>
    <row r="42" spans="1:19">
      <c r="A42" s="8">
        <v>20</v>
      </c>
      <c r="B42" s="219"/>
      <c r="C42" s="8" t="str">
        <f>"Σ(("&amp;A36&amp;") + ("&amp;A39&amp;"))"</f>
        <v>Σ((17) + (19))</v>
      </c>
      <c r="D42" s="13">
        <f>D36+D37+D39</f>
        <v>168381.15649705913</v>
      </c>
      <c r="E42" s="13">
        <f>D42+E36+E37+E39</f>
        <v>303895.23381524213</v>
      </c>
      <c r="F42" s="13">
        <f t="shared" ref="F42:O42" si="21">E42+F36+F37+F39</f>
        <v>509891.56274847017</v>
      </c>
      <c r="G42" s="13">
        <f t="shared" si="21"/>
        <v>525909.4341467031</v>
      </c>
      <c r="H42" s="13">
        <f t="shared" si="21"/>
        <v>609520.09933222795</v>
      </c>
      <c r="I42" s="13">
        <f t="shared" si="21"/>
        <v>666406.31307226198</v>
      </c>
      <c r="J42" s="13">
        <f t="shared" si="21"/>
        <v>727039.68757699011</v>
      </c>
      <c r="K42" s="13">
        <f t="shared" si="21"/>
        <v>823508.76930236479</v>
      </c>
      <c r="L42" s="13">
        <f t="shared" si="21"/>
        <v>931875.69629652449</v>
      </c>
      <c r="M42" s="13">
        <f t="shared" si="21"/>
        <v>931875.69629652449</v>
      </c>
      <c r="N42" s="13">
        <f t="shared" si="21"/>
        <v>931875.69629652449</v>
      </c>
      <c r="O42" s="23">
        <f t="shared" si="21"/>
        <v>931875.69629652449</v>
      </c>
      <c r="P42" s="202"/>
      <c r="Q42" s="107"/>
      <c r="R42" s="202"/>
      <c r="S42" s="1"/>
    </row>
    <row r="43" spans="1:19">
      <c r="A43" s="8"/>
      <c r="B43" s="219"/>
      <c r="C43" s="2"/>
      <c r="D43" s="2"/>
      <c r="E43" s="2"/>
      <c r="F43" s="2"/>
      <c r="G43" s="2"/>
      <c r="H43" s="2"/>
      <c r="I43" s="2"/>
      <c r="J43" s="2"/>
      <c r="K43" s="2"/>
      <c r="L43" s="2"/>
      <c r="M43" s="2"/>
      <c r="N43" s="2"/>
      <c r="O43" s="26"/>
      <c r="P43" s="26"/>
      <c r="Q43" s="26"/>
      <c r="R43" s="26"/>
    </row>
    <row r="44" spans="1:19">
      <c r="A44" s="8">
        <v>21</v>
      </c>
      <c r="B44" s="148" t="s">
        <v>88</v>
      </c>
      <c r="C44" s="8" t="str">
        <f>"("&amp;A23&amp;") + ("&amp;A42&amp;")"</f>
        <v>(10) + (20)</v>
      </c>
      <c r="D44" s="13">
        <f>D23+D42</f>
        <v>-354630.99928767409</v>
      </c>
      <c r="E44" s="13">
        <f t="shared" ref="E44:O44" si="22">E23+E42</f>
        <v>1537728.176669959</v>
      </c>
      <c r="F44" s="13">
        <f t="shared" si="22"/>
        <v>2680358.1300553256</v>
      </c>
      <c r="G44" s="13">
        <f t="shared" si="22"/>
        <v>3420938.9666875056</v>
      </c>
      <c r="H44" s="13">
        <f t="shared" si="22"/>
        <v>4328514.2723704427</v>
      </c>
      <c r="I44" s="13">
        <f t="shared" si="22"/>
        <v>4942486.1760568926</v>
      </c>
      <c r="J44" s="13">
        <f t="shared" si="22"/>
        <v>5148233.0857294556</v>
      </c>
      <c r="K44" s="13">
        <f t="shared" si="22"/>
        <v>5385318.7220002422</v>
      </c>
      <c r="L44" s="13">
        <f t="shared" si="22"/>
        <v>5493708.3190956609</v>
      </c>
      <c r="M44" s="13">
        <f t="shared" si="22"/>
        <v>5493708.3190956609</v>
      </c>
      <c r="N44" s="13">
        <f t="shared" si="22"/>
        <v>5493708.3190956609</v>
      </c>
      <c r="O44" s="23">
        <f t="shared" si="22"/>
        <v>5493708.3190956609</v>
      </c>
      <c r="P44" s="202"/>
      <c r="Q44" s="107"/>
      <c r="R44" s="202"/>
    </row>
    <row r="45" spans="1:19">
      <c r="A45" s="27"/>
      <c r="B45" s="27"/>
      <c r="C45" s="27"/>
      <c r="D45" s="27"/>
      <c r="E45" s="27"/>
      <c r="F45" s="27"/>
      <c r="G45" s="27"/>
      <c r="H45" s="27"/>
      <c r="I45" s="27"/>
      <c r="J45" s="27"/>
      <c r="K45" s="27"/>
      <c r="L45" s="27"/>
      <c r="M45" s="27"/>
      <c r="N45" s="27"/>
      <c r="O45" s="27"/>
      <c r="P45" s="199"/>
      <c r="Q45" s="101"/>
      <c r="R45" s="199"/>
      <c r="S45" s="1"/>
    </row>
  </sheetData>
  <mergeCells count="5">
    <mergeCell ref="A1:S1"/>
    <mergeCell ref="A2:S2"/>
    <mergeCell ref="A3:S3"/>
    <mergeCell ref="B41:B43"/>
    <mergeCell ref="B22:B24"/>
  </mergeCells>
  <printOptions horizontalCentered="1"/>
  <pageMargins left="0.7" right="0.57999999999999996" top="1.08" bottom="0.75" header="0.5" footer="0.5"/>
  <pageSetup scale="72" orientation="landscape" r:id="rId1"/>
  <headerFooter>
    <oddHeader>&amp;CAvista Corporation Decoupling Mechanism
Washington Jurisdiction
Quarterly Report for 3rd Quarter 2015</oddHeader>
    <oddFooter>&amp;Cfile: &amp;F / &amp;A&amp;RPage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tabSelected="1" zoomScaleNormal="100" workbookViewId="0">
      <selection activeCell="T15" sqref="T15"/>
    </sheetView>
  </sheetViews>
  <sheetFormatPr defaultRowHeight="14.5"/>
  <cols>
    <col min="1" max="1" width="7.36328125" customWidth="1"/>
    <col min="2" max="2" width="34.90625" customWidth="1"/>
    <col min="3" max="3" width="6.1796875" customWidth="1"/>
    <col min="4" max="4" width="9.453125" customWidth="1"/>
    <col min="5" max="5" width="12.1796875" customWidth="1"/>
    <col min="6" max="6" width="13.54296875" customWidth="1"/>
    <col min="7" max="7" width="13.453125" customWidth="1"/>
    <col min="8" max="8" width="1.6328125" customWidth="1"/>
    <col min="10" max="10" width="13.1796875" bestFit="1" customWidth="1"/>
    <col min="11" max="11" width="12.1796875" customWidth="1"/>
    <col min="12" max="12" width="11.08984375" bestFit="1" customWidth="1"/>
    <col min="13" max="14" width="11.453125" customWidth="1"/>
  </cols>
  <sheetData>
    <row r="1" spans="1:8" ht="15.5">
      <c r="A1" s="223" t="s">
        <v>55</v>
      </c>
      <c r="B1" s="223"/>
      <c r="C1" s="223"/>
      <c r="D1" s="223"/>
      <c r="E1" s="223"/>
      <c r="F1" s="223"/>
      <c r="G1" s="223"/>
      <c r="H1" s="223"/>
    </row>
    <row r="3" spans="1:8">
      <c r="A3" s="82" t="s">
        <v>122</v>
      </c>
      <c r="B3" s="45"/>
      <c r="C3" s="45"/>
      <c r="D3" s="45"/>
      <c r="E3" s="45"/>
      <c r="F3" s="45"/>
      <c r="G3" s="45"/>
    </row>
    <row r="5" spans="1:8">
      <c r="A5" s="46" t="s">
        <v>56</v>
      </c>
      <c r="B5" s="47"/>
      <c r="C5" s="58" t="s">
        <v>74</v>
      </c>
      <c r="D5" s="47"/>
      <c r="E5" s="47"/>
      <c r="F5" s="47"/>
      <c r="G5" s="47"/>
    </row>
    <row r="6" spans="1:8">
      <c r="A6" s="48"/>
      <c r="B6" s="48"/>
      <c r="C6" s="48"/>
      <c r="D6" s="48"/>
      <c r="E6" s="48"/>
      <c r="F6" s="48"/>
      <c r="G6" s="48"/>
    </row>
    <row r="7" spans="1:8" ht="26.5">
      <c r="A7" s="56" t="s">
        <v>57</v>
      </c>
      <c r="B7" s="57" t="s">
        <v>58</v>
      </c>
      <c r="C7" s="64" t="s">
        <v>59</v>
      </c>
      <c r="D7" s="56" t="s">
        <v>60</v>
      </c>
      <c r="E7" s="56" t="s">
        <v>61</v>
      </c>
      <c r="F7" s="56" t="s">
        <v>62</v>
      </c>
      <c r="G7" s="56" t="s">
        <v>63</v>
      </c>
    </row>
    <row r="8" spans="1:8" ht="14.4" customHeight="1">
      <c r="A8" s="50" t="s">
        <v>64</v>
      </c>
      <c r="B8" s="49" t="s">
        <v>65</v>
      </c>
      <c r="C8" s="51" t="s">
        <v>66</v>
      </c>
      <c r="D8" s="79" t="s">
        <v>123</v>
      </c>
      <c r="E8" s="121">
        <v>4091945.45</v>
      </c>
      <c r="F8" s="75">
        <v>-2258698.92</v>
      </c>
      <c r="G8" s="121">
        <v>1833246.53</v>
      </c>
    </row>
    <row r="9" spans="1:8">
      <c r="A9" s="52"/>
      <c r="B9" s="49" t="s">
        <v>65</v>
      </c>
      <c r="C9" s="53"/>
      <c r="D9" s="79" t="s">
        <v>124</v>
      </c>
      <c r="E9" s="121">
        <v>1833246.53</v>
      </c>
      <c r="F9" s="75">
        <v>-34753.17</v>
      </c>
      <c r="G9" s="121">
        <v>1798493.3599999999</v>
      </c>
    </row>
    <row r="10" spans="1:8">
      <c r="A10" s="52"/>
      <c r="B10" s="49" t="s">
        <v>65</v>
      </c>
      <c r="C10" s="54"/>
      <c r="D10" s="79" t="s">
        <v>125</v>
      </c>
      <c r="E10" s="121">
        <v>1798493.3599999999</v>
      </c>
      <c r="F10" s="75">
        <v>857980.58000000007</v>
      </c>
      <c r="G10" s="121">
        <v>2656473.94</v>
      </c>
    </row>
    <row r="11" spans="1:8">
      <c r="A11" s="52"/>
      <c r="B11" s="59"/>
      <c r="C11" s="59" t="s">
        <v>81</v>
      </c>
      <c r="D11" s="72"/>
      <c r="E11" s="85"/>
      <c r="F11" s="131" t="s">
        <v>126</v>
      </c>
      <c r="G11" s="85"/>
    </row>
    <row r="12" spans="1:8">
      <c r="A12" s="52"/>
      <c r="B12" s="49" t="s">
        <v>65</v>
      </c>
      <c r="C12" s="51" t="s">
        <v>67</v>
      </c>
      <c r="D12" s="79" t="s">
        <v>123</v>
      </c>
      <c r="E12" s="121">
        <v>4276079.8600000003</v>
      </c>
      <c r="F12" s="75">
        <v>145113.53</v>
      </c>
      <c r="G12" s="121">
        <v>4421193.3899999997</v>
      </c>
    </row>
    <row r="13" spans="1:8">
      <c r="A13" s="52"/>
      <c r="B13" s="49" t="s">
        <v>65</v>
      </c>
      <c r="C13" s="53"/>
      <c r="D13" s="79" t="s">
        <v>124</v>
      </c>
      <c r="E13" s="121">
        <v>4421193.3899999997</v>
      </c>
      <c r="F13" s="75">
        <v>140616.55000000002</v>
      </c>
      <c r="G13" s="121">
        <v>4561809.9400000004</v>
      </c>
    </row>
    <row r="14" spans="1:8">
      <c r="A14" s="52"/>
      <c r="B14" s="49" t="s">
        <v>65</v>
      </c>
      <c r="C14" s="54"/>
      <c r="D14" s="79" t="s">
        <v>125</v>
      </c>
      <c r="E14" s="121">
        <v>4561809.9400000004</v>
      </c>
      <c r="F14" s="75">
        <v>22.67</v>
      </c>
      <c r="G14" s="121">
        <v>4561832.6100000003</v>
      </c>
    </row>
    <row r="15" spans="1:8">
      <c r="A15" s="55"/>
      <c r="B15" s="59"/>
      <c r="C15" s="59" t="s">
        <v>82</v>
      </c>
      <c r="D15" s="72"/>
      <c r="E15" s="85"/>
      <c r="F15" s="131" t="s">
        <v>127</v>
      </c>
      <c r="G15" s="85"/>
    </row>
    <row r="16" spans="1:8" ht="14.4" customHeight="1">
      <c r="A16" s="59"/>
      <c r="B16" s="60" t="s">
        <v>77</v>
      </c>
      <c r="C16" s="59"/>
      <c r="D16" s="72"/>
      <c r="E16" s="85"/>
      <c r="F16" s="131" t="s">
        <v>128</v>
      </c>
      <c r="G16" s="85"/>
    </row>
    <row r="17" spans="1:7" ht="14.4" customHeight="1">
      <c r="A17" s="50" t="s">
        <v>68</v>
      </c>
      <c r="B17" s="49" t="s">
        <v>69</v>
      </c>
      <c r="C17" s="51" t="s">
        <v>66</v>
      </c>
      <c r="D17" s="79" t="s">
        <v>123</v>
      </c>
      <c r="E17" s="121">
        <v>-2220996.4900000002</v>
      </c>
      <c r="F17" s="75">
        <v>-603351.11</v>
      </c>
      <c r="G17" s="121">
        <v>-2824347.6</v>
      </c>
    </row>
    <row r="18" spans="1:7">
      <c r="A18" s="52"/>
      <c r="B18" s="49" t="s">
        <v>69</v>
      </c>
      <c r="C18" s="53"/>
      <c r="D18" s="79" t="s">
        <v>124</v>
      </c>
      <c r="E18" s="121">
        <v>-2824347.6</v>
      </c>
      <c r="F18" s="75">
        <v>-185551.56</v>
      </c>
      <c r="G18" s="121">
        <v>-3009899.16</v>
      </c>
    </row>
    <row r="19" spans="1:7">
      <c r="A19" s="52"/>
      <c r="B19" s="49" t="s">
        <v>69</v>
      </c>
      <c r="C19" s="54"/>
      <c r="D19" s="79" t="s">
        <v>125</v>
      </c>
      <c r="E19" s="121">
        <v>-3009899.16</v>
      </c>
      <c r="F19" s="75">
        <v>6050.97</v>
      </c>
      <c r="G19" s="121">
        <v>-3003848.19</v>
      </c>
    </row>
    <row r="20" spans="1:7">
      <c r="A20" s="52"/>
      <c r="B20" s="59"/>
      <c r="C20" s="59" t="s">
        <v>81</v>
      </c>
      <c r="D20" s="72"/>
      <c r="E20" s="85"/>
      <c r="F20" s="131" t="s">
        <v>129</v>
      </c>
      <c r="G20" s="85"/>
    </row>
    <row r="21" spans="1:7">
      <c r="A21" s="52"/>
      <c r="B21" s="49" t="s">
        <v>69</v>
      </c>
      <c r="C21" s="51" t="s">
        <v>67</v>
      </c>
      <c r="D21" s="79" t="s">
        <v>123</v>
      </c>
      <c r="E21" s="121">
        <v>666406.31000000006</v>
      </c>
      <c r="F21" s="75">
        <v>60633.380000000005</v>
      </c>
      <c r="G21" s="121">
        <v>727039.69000000006</v>
      </c>
    </row>
    <row r="22" spans="1:7">
      <c r="A22" s="52"/>
      <c r="B22" s="49" t="s">
        <v>69</v>
      </c>
      <c r="C22" s="53"/>
      <c r="D22" s="79" t="s">
        <v>124</v>
      </c>
      <c r="E22" s="121">
        <v>727039.69000000006</v>
      </c>
      <c r="F22" s="75">
        <v>96469.08</v>
      </c>
      <c r="G22" s="121">
        <v>823508.77</v>
      </c>
    </row>
    <row r="23" spans="1:7">
      <c r="A23" s="52"/>
      <c r="B23" s="49" t="s">
        <v>69</v>
      </c>
      <c r="C23" s="54"/>
      <c r="D23" s="79" t="s">
        <v>125</v>
      </c>
      <c r="E23" s="121">
        <v>823508.77</v>
      </c>
      <c r="F23" s="75">
        <v>108366.93000000001</v>
      </c>
      <c r="G23" s="121">
        <v>931875.70000000007</v>
      </c>
    </row>
    <row r="24" spans="1:7">
      <c r="A24" s="55"/>
      <c r="B24" s="59"/>
      <c r="C24" s="59" t="s">
        <v>82</v>
      </c>
      <c r="D24" s="72"/>
      <c r="E24" s="85"/>
      <c r="F24" s="131" t="s">
        <v>130</v>
      </c>
      <c r="G24" s="85"/>
    </row>
    <row r="25" spans="1:7">
      <c r="A25" s="59"/>
      <c r="B25" s="60" t="s">
        <v>80</v>
      </c>
      <c r="C25" s="59"/>
      <c r="D25" s="72"/>
      <c r="E25" s="85"/>
      <c r="F25" s="131" t="s">
        <v>131</v>
      </c>
      <c r="G25" s="85"/>
    </row>
    <row r="26" spans="1:7">
      <c r="A26" s="61"/>
      <c r="B26" s="61"/>
      <c r="C26" s="61"/>
      <c r="D26" s="61"/>
      <c r="E26" s="62"/>
      <c r="F26" s="63"/>
      <c r="G26" s="62"/>
    </row>
    <row r="27" spans="1:7">
      <c r="A27" s="76" t="s">
        <v>122</v>
      </c>
      <c r="B27" s="47"/>
      <c r="C27" s="47"/>
      <c r="D27" s="47"/>
      <c r="E27" s="47"/>
      <c r="F27" s="47"/>
      <c r="G27" s="47"/>
    </row>
    <row r="28" spans="1:7">
      <c r="A28" s="48"/>
      <c r="B28" s="48"/>
      <c r="C28" s="48"/>
      <c r="D28" s="48"/>
      <c r="E28" s="48"/>
      <c r="F28" s="48"/>
      <c r="G28" s="48"/>
    </row>
    <row r="29" spans="1:7">
      <c r="A29" s="46" t="s">
        <v>56</v>
      </c>
      <c r="B29" s="47"/>
      <c r="C29" s="58" t="s">
        <v>75</v>
      </c>
      <c r="D29" s="47"/>
      <c r="E29" s="47"/>
      <c r="F29" s="47"/>
      <c r="G29" s="47"/>
    </row>
    <row r="30" spans="1:7">
      <c r="A30" s="48"/>
      <c r="B30" s="48"/>
      <c r="C30" s="48"/>
      <c r="D30" s="48"/>
      <c r="E30" s="48"/>
      <c r="F30" s="48"/>
      <c r="G30" s="48"/>
    </row>
    <row r="31" spans="1:7" ht="26.5">
      <c r="A31" s="56" t="s">
        <v>57</v>
      </c>
      <c r="B31" s="57" t="s">
        <v>58</v>
      </c>
      <c r="C31" s="64" t="s">
        <v>59</v>
      </c>
      <c r="D31" s="56" t="s">
        <v>60</v>
      </c>
      <c r="E31" s="56" t="s">
        <v>61</v>
      </c>
      <c r="F31" s="56" t="s">
        <v>62</v>
      </c>
      <c r="G31" s="56" t="s">
        <v>63</v>
      </c>
    </row>
    <row r="32" spans="1:7" ht="14.4" customHeight="1">
      <c r="A32" s="50" t="s">
        <v>70</v>
      </c>
      <c r="B32" s="49" t="s">
        <v>71</v>
      </c>
      <c r="C32" s="51" t="s">
        <v>67</v>
      </c>
      <c r="D32" s="135" t="s">
        <v>123</v>
      </c>
      <c r="E32" s="92">
        <v>5549.22</v>
      </c>
      <c r="F32" s="74">
        <v>15.030000000000001</v>
      </c>
      <c r="G32" s="92">
        <v>5564.25</v>
      </c>
    </row>
    <row r="33" spans="1:13">
      <c r="A33" s="52"/>
      <c r="B33" s="49" t="s">
        <v>71</v>
      </c>
      <c r="C33" s="53"/>
      <c r="D33" s="135" t="s">
        <v>124</v>
      </c>
      <c r="E33" s="92">
        <v>5564.25</v>
      </c>
      <c r="F33" s="74">
        <v>15.07</v>
      </c>
      <c r="G33" s="92">
        <v>5579.32</v>
      </c>
    </row>
    <row r="34" spans="1:13">
      <c r="A34" s="52"/>
      <c r="B34" s="49" t="s">
        <v>71</v>
      </c>
      <c r="C34" s="54"/>
      <c r="D34" s="135" t="s">
        <v>125</v>
      </c>
      <c r="E34" s="92">
        <v>5579.32</v>
      </c>
      <c r="F34" s="74">
        <v>15.11</v>
      </c>
      <c r="G34" s="92">
        <v>5594.43</v>
      </c>
    </row>
    <row r="35" spans="1:13">
      <c r="A35" s="55"/>
      <c r="B35" s="59"/>
      <c r="C35" s="59" t="s">
        <v>82</v>
      </c>
      <c r="D35" s="73"/>
      <c r="E35" s="90"/>
      <c r="F35" s="86" t="s">
        <v>132</v>
      </c>
      <c r="G35" s="90"/>
    </row>
    <row r="37" spans="1:13">
      <c r="A37" s="138" t="s">
        <v>122</v>
      </c>
      <c r="B37" s="47"/>
      <c r="C37" s="47"/>
      <c r="D37" s="47"/>
      <c r="E37" s="47"/>
      <c r="F37" s="47"/>
      <c r="G37" s="47"/>
    </row>
    <row r="38" spans="1:13">
      <c r="A38" s="48"/>
      <c r="B38" s="48"/>
      <c r="C38" s="48"/>
      <c r="D38" s="48"/>
      <c r="E38" s="48"/>
      <c r="F38" s="48"/>
      <c r="G38" s="48"/>
    </row>
    <row r="39" spans="1:13">
      <c r="A39" s="46" t="s">
        <v>56</v>
      </c>
      <c r="B39" s="47"/>
      <c r="C39" s="58" t="s">
        <v>76</v>
      </c>
      <c r="D39" s="47"/>
      <c r="E39" s="47"/>
      <c r="F39" s="47"/>
      <c r="G39" s="47"/>
    </row>
    <row r="40" spans="1:13">
      <c r="A40" s="48"/>
      <c r="B40" s="48"/>
      <c r="C40" s="48"/>
      <c r="D40" s="48"/>
      <c r="E40" s="48"/>
      <c r="F40" s="48"/>
      <c r="G40" s="48"/>
    </row>
    <row r="41" spans="1:13" ht="26.5">
      <c r="A41" s="56" t="s">
        <v>57</v>
      </c>
      <c r="B41" s="57" t="s">
        <v>58</v>
      </c>
      <c r="C41" s="64" t="s">
        <v>59</v>
      </c>
      <c r="D41" s="56" t="s">
        <v>60</v>
      </c>
      <c r="E41" s="56" t="s">
        <v>61</v>
      </c>
      <c r="F41" s="56" t="s">
        <v>62</v>
      </c>
      <c r="G41" s="56" t="s">
        <v>63</v>
      </c>
      <c r="J41" s="66" t="s">
        <v>84</v>
      </c>
    </row>
    <row r="42" spans="1:13">
      <c r="A42" s="50" t="s">
        <v>72</v>
      </c>
      <c r="B42" s="120" t="s">
        <v>73</v>
      </c>
      <c r="C42" s="83" t="s">
        <v>66</v>
      </c>
      <c r="D42" s="139" t="s">
        <v>123</v>
      </c>
      <c r="E42" s="125">
        <v>-654832.13</v>
      </c>
      <c r="F42" s="87">
        <v>1001717.51</v>
      </c>
      <c r="G42" s="125">
        <v>346885.38</v>
      </c>
      <c r="J42" s="65">
        <f>(G8+G17)*-0.35</f>
        <v>346885.37449999998</v>
      </c>
      <c r="K42" s="67">
        <f>G42-J42</f>
        <v>5.5000000284053385E-3</v>
      </c>
    </row>
    <row r="43" spans="1:13" s="147" customFormat="1">
      <c r="A43" s="52"/>
      <c r="B43" s="120" t="s">
        <v>73</v>
      </c>
      <c r="C43" s="130"/>
      <c r="D43" s="139" t="s">
        <v>124</v>
      </c>
      <c r="E43" s="125">
        <v>346885.38</v>
      </c>
      <c r="F43" s="87">
        <v>77106.66</v>
      </c>
      <c r="G43" s="125">
        <v>423992.04000000004</v>
      </c>
      <c r="J43" s="106">
        <f t="shared" ref="J43:J44" si="0">(G9+G18)*-0.35</f>
        <v>423992.03000000009</v>
      </c>
      <c r="K43" s="67">
        <f t="shared" ref="K43:K44" si="1">G43-J43</f>
        <v>9.9999999511055648E-3</v>
      </c>
    </row>
    <row r="44" spans="1:13" s="147" customFormat="1">
      <c r="A44" s="52"/>
      <c r="B44" s="120" t="s">
        <v>73</v>
      </c>
      <c r="C44" s="122"/>
      <c r="D44" s="139" t="s">
        <v>125</v>
      </c>
      <c r="E44" s="125">
        <v>423992.04000000004</v>
      </c>
      <c r="F44" s="87">
        <v>-302411.05</v>
      </c>
      <c r="G44" s="125">
        <v>121580.99</v>
      </c>
      <c r="J44" s="106">
        <f t="shared" si="0"/>
        <v>121580.98749999999</v>
      </c>
      <c r="K44" s="67">
        <f t="shared" si="1"/>
        <v>2.5000000168802217E-3</v>
      </c>
    </row>
    <row r="45" spans="1:13">
      <c r="A45" s="52"/>
      <c r="B45" s="59"/>
      <c r="C45" s="59" t="s">
        <v>81</v>
      </c>
      <c r="D45" s="128"/>
      <c r="E45" s="127"/>
      <c r="F45" s="88" t="s">
        <v>133</v>
      </c>
      <c r="G45" s="127"/>
    </row>
    <row r="46" spans="1:13">
      <c r="A46" s="52"/>
      <c r="B46" s="49" t="s">
        <v>73</v>
      </c>
      <c r="C46" s="51" t="s">
        <v>67</v>
      </c>
      <c r="D46" s="77" t="s">
        <v>123</v>
      </c>
      <c r="E46" s="80">
        <v>-1731812.3900000001</v>
      </c>
      <c r="F46" s="136">
        <v>-72016.680000000008</v>
      </c>
      <c r="G46" s="80">
        <v>-1803829.07</v>
      </c>
      <c r="J46" s="65">
        <f>(G12+G21+G32)*-0.35</f>
        <v>-1803829.0655</v>
      </c>
      <c r="K46" s="67">
        <f>G46-J46</f>
        <v>-4.5000000391155481E-3</v>
      </c>
      <c r="L46" s="67"/>
      <c r="M46" s="67"/>
    </row>
    <row r="47" spans="1:13">
      <c r="A47" s="52"/>
      <c r="B47" s="49" t="s">
        <v>73</v>
      </c>
      <c r="C47" s="53"/>
      <c r="D47" s="77" t="s">
        <v>124</v>
      </c>
      <c r="E47" s="80">
        <v>-1803829.07</v>
      </c>
      <c r="F47" s="136">
        <v>-82985.240000000005</v>
      </c>
      <c r="G47" s="80">
        <v>-1886814.31</v>
      </c>
      <c r="J47" s="65">
        <f t="shared" ref="J47:J48" si="2">(G13+G22+G33)*-0.35</f>
        <v>-1886814.3105000004</v>
      </c>
      <c r="K47" s="67">
        <f t="shared" ref="K47:K48" si="3">G47-J47</f>
        <v>5.0000031478703022E-4</v>
      </c>
      <c r="L47" s="67"/>
      <c r="M47" s="67"/>
    </row>
    <row r="48" spans="1:13">
      <c r="A48" s="52"/>
      <c r="B48" s="49" t="s">
        <v>73</v>
      </c>
      <c r="C48" s="54"/>
      <c r="D48" s="77" t="s">
        <v>125</v>
      </c>
      <c r="E48" s="80">
        <v>-1886814.31</v>
      </c>
      <c r="F48" s="136">
        <v>-37941.65</v>
      </c>
      <c r="G48" s="80">
        <v>-1924755.96</v>
      </c>
      <c r="J48" s="65">
        <f t="shared" si="2"/>
        <v>-1924755.959</v>
      </c>
      <c r="K48" s="67">
        <f t="shared" si="3"/>
        <v>-9.9999993108212948E-4</v>
      </c>
      <c r="L48" s="67"/>
      <c r="M48" s="67"/>
    </row>
    <row r="49" spans="1:8">
      <c r="A49" s="55"/>
      <c r="B49" s="59"/>
      <c r="C49" s="59" t="s">
        <v>82</v>
      </c>
      <c r="D49" s="128"/>
      <c r="E49" s="127"/>
      <c r="F49" s="88" t="s">
        <v>134</v>
      </c>
      <c r="G49" s="127"/>
    </row>
    <row r="50" spans="1:8">
      <c r="A50" s="59"/>
      <c r="B50" s="59" t="s">
        <v>78</v>
      </c>
      <c r="C50" s="59"/>
      <c r="D50" s="128"/>
      <c r="E50" s="127"/>
      <c r="F50" s="88" t="s">
        <v>135</v>
      </c>
      <c r="G50" s="127"/>
    </row>
    <row r="51" spans="1:8" ht="15.5">
      <c r="A51" s="223" t="s">
        <v>79</v>
      </c>
      <c r="B51" s="223"/>
      <c r="C51" s="223"/>
      <c r="D51" s="223"/>
      <c r="E51" s="223"/>
      <c r="F51" s="223"/>
      <c r="G51" s="223"/>
      <c r="H51" s="223"/>
    </row>
    <row r="52" spans="1:8" s="147" customFormat="1" ht="15.5">
      <c r="A52" s="69"/>
      <c r="B52" s="69"/>
      <c r="C52" s="69"/>
      <c r="D52" s="69"/>
      <c r="E52" s="69"/>
      <c r="F52" s="69"/>
      <c r="G52" s="69"/>
      <c r="H52" s="69"/>
    </row>
    <row r="53" spans="1:8">
      <c r="A53" s="81" t="s">
        <v>122</v>
      </c>
      <c r="B53" s="81"/>
      <c r="C53" s="81"/>
      <c r="D53" s="81"/>
      <c r="E53" s="81"/>
      <c r="F53" s="81"/>
      <c r="G53" s="81"/>
    </row>
    <row r="54" spans="1:8">
      <c r="A54" s="154"/>
      <c r="B54" s="154"/>
      <c r="C54" s="154"/>
      <c r="D54" s="154"/>
      <c r="E54" s="154"/>
      <c r="F54" s="154"/>
      <c r="G54" s="154"/>
    </row>
    <row r="55" spans="1:8">
      <c r="A55" s="71" t="s">
        <v>56</v>
      </c>
      <c r="B55" s="81"/>
      <c r="C55" s="58" t="s">
        <v>74</v>
      </c>
      <c r="D55" s="81"/>
      <c r="E55" s="81"/>
      <c r="F55" s="81"/>
      <c r="G55" s="81"/>
    </row>
    <row r="56" spans="1:8">
      <c r="A56" s="154"/>
      <c r="B56" s="154"/>
      <c r="C56" s="154"/>
      <c r="D56" s="124"/>
      <c r="E56" s="154"/>
      <c r="F56" s="154"/>
      <c r="G56" s="154"/>
    </row>
    <row r="57" spans="1:8" ht="26">
      <c r="A57" s="133" t="s">
        <v>57</v>
      </c>
      <c r="B57" s="126" t="s">
        <v>58</v>
      </c>
      <c r="C57" s="71" t="s">
        <v>59</v>
      </c>
      <c r="D57" s="129" t="s">
        <v>60</v>
      </c>
      <c r="E57" s="134" t="s">
        <v>61</v>
      </c>
      <c r="F57" s="129" t="s">
        <v>62</v>
      </c>
      <c r="G57" s="129" t="s">
        <v>63</v>
      </c>
    </row>
    <row r="58" spans="1:8">
      <c r="A58" s="91" t="s">
        <v>89</v>
      </c>
      <c r="B58" s="126" t="s">
        <v>90</v>
      </c>
      <c r="C58" s="119" t="s">
        <v>66</v>
      </c>
      <c r="D58" s="123" t="s">
        <v>123</v>
      </c>
      <c r="E58" s="142">
        <v>-4058393.23</v>
      </c>
      <c r="F58" s="84">
        <v>2266711.77</v>
      </c>
      <c r="G58" s="142">
        <v>-1791681.46</v>
      </c>
    </row>
    <row r="59" spans="1:8">
      <c r="A59" s="132"/>
      <c r="B59" s="126" t="s">
        <v>90</v>
      </c>
      <c r="C59" s="137"/>
      <c r="D59" s="123" t="s">
        <v>124</v>
      </c>
      <c r="E59" s="142">
        <v>-1791681.46</v>
      </c>
      <c r="F59" s="84">
        <v>39664.5</v>
      </c>
      <c r="G59" s="142">
        <v>-1752016.96</v>
      </c>
    </row>
    <row r="60" spans="1:8" s="212" customFormat="1">
      <c r="A60" s="132"/>
      <c r="B60" s="126" t="s">
        <v>90</v>
      </c>
      <c r="C60" s="215"/>
      <c r="D60" s="123" t="s">
        <v>125</v>
      </c>
      <c r="E60" s="142">
        <v>-1752016.96</v>
      </c>
      <c r="F60" s="84">
        <v>-851955.97</v>
      </c>
      <c r="G60" s="142">
        <v>-2603972.9300000002</v>
      </c>
    </row>
    <row r="61" spans="1:8">
      <c r="A61" s="140"/>
      <c r="B61" s="59" t="s">
        <v>95</v>
      </c>
      <c r="C61" s="141"/>
      <c r="D61" s="141"/>
      <c r="E61" s="89"/>
      <c r="F61" s="78" t="s">
        <v>136</v>
      </c>
      <c r="G61" s="89"/>
    </row>
    <row r="62" spans="1:8">
      <c r="A62" s="91" t="s">
        <v>91</v>
      </c>
      <c r="B62" s="126" t="s">
        <v>92</v>
      </c>
      <c r="C62" s="119" t="s">
        <v>66</v>
      </c>
      <c r="D62" s="123" t="s">
        <v>123</v>
      </c>
      <c r="E62" s="142">
        <v>2226190.34</v>
      </c>
      <c r="F62" s="84">
        <v>596528.11</v>
      </c>
      <c r="G62" s="142">
        <v>2822718.45</v>
      </c>
    </row>
    <row r="63" spans="1:8">
      <c r="A63" s="132"/>
      <c r="B63" s="126" t="s">
        <v>92</v>
      </c>
      <c r="C63" s="137"/>
      <c r="D63" s="123" t="s">
        <v>124</v>
      </c>
      <c r="E63" s="142">
        <v>2822718.45</v>
      </c>
      <c r="F63" s="84">
        <v>177661.7</v>
      </c>
      <c r="G63" s="142">
        <v>3000380.15</v>
      </c>
    </row>
    <row r="64" spans="1:8" s="212" customFormat="1">
      <c r="A64" s="132"/>
      <c r="B64" s="126" t="s">
        <v>92</v>
      </c>
      <c r="C64" s="215"/>
      <c r="D64" s="123" t="s">
        <v>125</v>
      </c>
      <c r="E64" s="142">
        <v>3000380.15</v>
      </c>
      <c r="F64" s="84">
        <v>-14183.57</v>
      </c>
      <c r="G64" s="142">
        <v>2986196.58</v>
      </c>
    </row>
    <row r="65" spans="1:7">
      <c r="A65" s="140"/>
      <c r="B65" s="59" t="s">
        <v>96</v>
      </c>
      <c r="C65" s="141"/>
      <c r="D65" s="141"/>
      <c r="E65" s="89"/>
      <c r="F65" s="78" t="s">
        <v>137</v>
      </c>
      <c r="G65" s="89"/>
    </row>
    <row r="66" spans="1:7">
      <c r="A66" s="91" t="s">
        <v>93</v>
      </c>
      <c r="B66" s="126" t="s">
        <v>90</v>
      </c>
      <c r="C66" s="119" t="s">
        <v>67</v>
      </c>
      <c r="D66" s="123" t="s">
        <v>123</v>
      </c>
      <c r="E66" s="142">
        <v>-4244615.4800000004</v>
      </c>
      <c r="F66" s="84">
        <v>-133351.9</v>
      </c>
      <c r="G66" s="142">
        <v>-4377967.38</v>
      </c>
    </row>
    <row r="67" spans="1:7">
      <c r="A67" s="132"/>
      <c r="B67" s="126" t="s">
        <v>90</v>
      </c>
      <c r="C67" s="137"/>
      <c r="D67" s="123" t="s">
        <v>124</v>
      </c>
      <c r="E67" s="142">
        <v>-4377967.38</v>
      </c>
      <c r="F67" s="84">
        <v>-128468.52</v>
      </c>
      <c r="G67" s="142">
        <v>-4506435.9000000004</v>
      </c>
    </row>
    <row r="68" spans="1:7" s="212" customFormat="1">
      <c r="A68" s="132"/>
      <c r="B68" s="126" t="s">
        <v>90</v>
      </c>
      <c r="C68" s="215"/>
      <c r="D68" s="123" t="s">
        <v>125</v>
      </c>
      <c r="E68" s="142">
        <v>-4506435.9000000004</v>
      </c>
      <c r="F68" s="84">
        <v>12315.550000000001</v>
      </c>
      <c r="G68" s="142">
        <v>-4494120.3499999996</v>
      </c>
    </row>
    <row r="69" spans="1:7">
      <c r="A69" s="140"/>
      <c r="B69" s="59" t="s">
        <v>97</v>
      </c>
      <c r="C69" s="141"/>
      <c r="D69" s="141"/>
      <c r="E69" s="89"/>
      <c r="F69" s="78" t="s">
        <v>138</v>
      </c>
      <c r="G69" s="89"/>
    </row>
    <row r="70" spans="1:7">
      <c r="A70" s="91" t="s">
        <v>94</v>
      </c>
      <c r="B70" s="126" t="s">
        <v>92</v>
      </c>
      <c r="C70" s="119" t="s">
        <v>67</v>
      </c>
      <c r="D70" s="123" t="s">
        <v>123</v>
      </c>
      <c r="E70" s="142">
        <v>-659777.70000000007</v>
      </c>
      <c r="F70" s="84">
        <v>-58748.97</v>
      </c>
      <c r="G70" s="142">
        <v>-718526.67</v>
      </c>
    </row>
    <row r="71" spans="1:7">
      <c r="A71" s="132"/>
      <c r="B71" s="126" t="s">
        <v>92</v>
      </c>
      <c r="C71" s="137"/>
      <c r="D71" s="123" t="s">
        <v>124</v>
      </c>
      <c r="E71" s="142">
        <v>-718526.67</v>
      </c>
      <c r="F71" s="84">
        <v>-94372.22</v>
      </c>
      <c r="G71" s="142">
        <v>-812898.89</v>
      </c>
    </row>
    <row r="72" spans="1:7" s="212" customFormat="1">
      <c r="A72" s="132"/>
      <c r="B72" s="126" t="s">
        <v>92</v>
      </c>
      <c r="C72" s="215"/>
      <c r="D72" s="123" t="s">
        <v>125</v>
      </c>
      <c r="E72" s="142">
        <v>-812898.89</v>
      </c>
      <c r="F72" s="84">
        <v>-105993.06</v>
      </c>
      <c r="G72" s="142">
        <v>-918891.95000000007</v>
      </c>
    </row>
    <row r="73" spans="1:7">
      <c r="A73" s="140"/>
      <c r="B73" s="59" t="s">
        <v>98</v>
      </c>
      <c r="C73" s="141"/>
      <c r="D73" s="141"/>
      <c r="E73" s="89"/>
      <c r="F73" s="78" t="s">
        <v>139</v>
      </c>
      <c r="G73" s="89"/>
    </row>
    <row r="75" spans="1:7">
      <c r="A75" s="147" t="s">
        <v>122</v>
      </c>
      <c r="B75" s="147"/>
      <c r="C75" s="147"/>
      <c r="D75" s="147"/>
      <c r="E75" s="147"/>
      <c r="F75" s="147"/>
      <c r="G75" s="147"/>
    </row>
    <row r="76" spans="1:7">
      <c r="A76" s="147"/>
      <c r="B76" s="147"/>
      <c r="C76" s="147"/>
      <c r="D76" s="147"/>
      <c r="E76" s="147"/>
      <c r="F76" s="147"/>
      <c r="G76" s="147"/>
    </row>
    <row r="77" spans="1:7">
      <c r="A77" s="160" t="s">
        <v>56</v>
      </c>
      <c r="B77" s="154"/>
      <c r="C77" s="177" t="s">
        <v>103</v>
      </c>
      <c r="D77" s="154"/>
      <c r="E77" s="154"/>
      <c r="F77" s="154"/>
      <c r="G77" s="154"/>
    </row>
    <row r="78" spans="1:7">
      <c r="A78" s="154"/>
      <c r="B78" s="154"/>
      <c r="C78" s="154"/>
      <c r="D78" s="154"/>
      <c r="E78" s="154"/>
      <c r="F78" s="154"/>
      <c r="G78" s="154"/>
    </row>
    <row r="79" spans="1:7" ht="26">
      <c r="A79" s="161" t="s">
        <v>57</v>
      </c>
      <c r="B79" s="162" t="s">
        <v>58</v>
      </c>
      <c r="C79" s="160" t="s">
        <v>59</v>
      </c>
      <c r="D79" s="163" t="s">
        <v>60</v>
      </c>
      <c r="E79" s="164" t="s">
        <v>61</v>
      </c>
      <c r="F79" s="163" t="s">
        <v>62</v>
      </c>
      <c r="G79" s="163" t="s">
        <v>63</v>
      </c>
    </row>
    <row r="80" spans="1:7">
      <c r="A80" s="165" t="s">
        <v>99</v>
      </c>
      <c r="B80" s="162" t="s">
        <v>100</v>
      </c>
      <c r="C80" s="166" t="s">
        <v>66</v>
      </c>
      <c r="D80" s="167" t="s">
        <v>123</v>
      </c>
      <c r="E80" s="168">
        <v>-44253.43</v>
      </c>
      <c r="F80" s="169">
        <v>-8012.85</v>
      </c>
      <c r="G80" s="168">
        <v>-52266.28</v>
      </c>
    </row>
    <row r="81" spans="1:7">
      <c r="A81" s="170"/>
      <c r="B81" s="162" t="s">
        <v>100</v>
      </c>
      <c r="C81" s="171"/>
      <c r="D81" s="167" t="s">
        <v>124</v>
      </c>
      <c r="E81" s="168">
        <v>-52266.28</v>
      </c>
      <c r="F81" s="169">
        <v>-4911.33</v>
      </c>
      <c r="G81" s="168">
        <v>-57177.61</v>
      </c>
    </row>
    <row r="82" spans="1:7">
      <c r="A82" s="170"/>
      <c r="B82" s="162" t="s">
        <v>100</v>
      </c>
      <c r="C82" s="172"/>
      <c r="D82" s="167" t="s">
        <v>125</v>
      </c>
      <c r="E82" s="168">
        <v>-57177.61</v>
      </c>
      <c r="F82" s="169">
        <v>-6024.61</v>
      </c>
      <c r="G82" s="168">
        <v>-63202.22</v>
      </c>
    </row>
    <row r="83" spans="1:7">
      <c r="A83" s="170"/>
      <c r="B83" s="173"/>
      <c r="C83" s="173"/>
      <c r="D83" s="173"/>
      <c r="E83" s="174"/>
      <c r="F83" s="175" t="s">
        <v>140</v>
      </c>
      <c r="G83" s="174"/>
    </row>
    <row r="84" spans="1:7">
      <c r="A84" s="170"/>
      <c r="B84" s="162" t="s">
        <v>100</v>
      </c>
      <c r="C84" s="166" t="s">
        <v>67</v>
      </c>
      <c r="D84" s="167" t="s">
        <v>123</v>
      </c>
      <c r="E84" s="168">
        <v>-38889.620000000003</v>
      </c>
      <c r="F84" s="169">
        <v>-13661.07</v>
      </c>
      <c r="G84" s="168">
        <v>-52550.69</v>
      </c>
    </row>
    <row r="85" spans="1:7">
      <c r="A85" s="170"/>
      <c r="B85" s="162" t="s">
        <v>100</v>
      </c>
      <c r="C85" s="171"/>
      <c r="D85" s="167" t="s">
        <v>124</v>
      </c>
      <c r="E85" s="168">
        <v>-52550.69</v>
      </c>
      <c r="F85" s="169">
        <v>-14259.960000000001</v>
      </c>
      <c r="G85" s="168">
        <v>-66810.649999999994</v>
      </c>
    </row>
    <row r="86" spans="1:7">
      <c r="A86" s="170"/>
      <c r="B86" s="162" t="s">
        <v>100</v>
      </c>
      <c r="C86" s="172"/>
      <c r="D86" s="167" t="s">
        <v>125</v>
      </c>
      <c r="E86" s="168">
        <v>-66810.649999999994</v>
      </c>
      <c r="F86" s="169">
        <v>-14727.2</v>
      </c>
      <c r="G86" s="168">
        <v>-81537.850000000006</v>
      </c>
    </row>
    <row r="87" spans="1:7">
      <c r="A87" s="176"/>
      <c r="B87" s="173"/>
      <c r="C87" s="173"/>
      <c r="D87" s="173"/>
      <c r="E87" s="174"/>
      <c r="F87" s="175" t="s">
        <v>141</v>
      </c>
      <c r="G87" s="174"/>
    </row>
    <row r="88" spans="1:7">
      <c r="A88" s="173"/>
      <c r="B88" s="173"/>
      <c r="C88" s="173"/>
      <c r="D88" s="173"/>
      <c r="E88" s="174"/>
      <c r="F88" s="175" t="s">
        <v>142</v>
      </c>
      <c r="G88" s="174"/>
    </row>
    <row r="89" spans="1:7">
      <c r="A89" s="165" t="s">
        <v>101</v>
      </c>
      <c r="B89" s="162" t="s">
        <v>102</v>
      </c>
      <c r="C89" s="166" t="s">
        <v>66</v>
      </c>
      <c r="D89" s="167" t="s">
        <v>123</v>
      </c>
      <c r="E89" s="168">
        <v>5507.36</v>
      </c>
      <c r="F89" s="169">
        <v>6823</v>
      </c>
      <c r="G89" s="168">
        <v>12330.36</v>
      </c>
    </row>
    <row r="90" spans="1:7">
      <c r="A90" s="170"/>
      <c r="B90" s="162" t="s">
        <v>102</v>
      </c>
      <c r="C90" s="171"/>
      <c r="D90" s="167" t="s">
        <v>124</v>
      </c>
      <c r="E90" s="168">
        <v>12330.36</v>
      </c>
      <c r="F90" s="169">
        <v>7889.8600000000006</v>
      </c>
      <c r="G90" s="168">
        <v>20220.22</v>
      </c>
    </row>
    <row r="91" spans="1:7">
      <c r="A91" s="170"/>
      <c r="B91" s="162" t="s">
        <v>102</v>
      </c>
      <c r="C91" s="172"/>
      <c r="D91" s="167" t="s">
        <v>125</v>
      </c>
      <c r="E91" s="168">
        <v>20220.22</v>
      </c>
      <c r="F91" s="169">
        <v>8132.6</v>
      </c>
      <c r="G91" s="168">
        <v>28352.82</v>
      </c>
    </row>
    <row r="92" spans="1:7">
      <c r="A92" s="170"/>
      <c r="B92" s="173"/>
      <c r="C92" s="173"/>
      <c r="D92" s="173"/>
      <c r="E92" s="174"/>
      <c r="F92" s="175" t="s">
        <v>143</v>
      </c>
      <c r="G92" s="174"/>
    </row>
    <row r="93" spans="1:7">
      <c r="A93" s="170"/>
      <c r="B93" s="162" t="s">
        <v>102</v>
      </c>
      <c r="C93" s="166" t="s">
        <v>67</v>
      </c>
      <c r="D93" s="167" t="s">
        <v>123</v>
      </c>
      <c r="E93" s="168">
        <v>707.29</v>
      </c>
      <c r="F93" s="169">
        <v>0</v>
      </c>
      <c r="G93" s="168">
        <v>707.29</v>
      </c>
    </row>
    <row r="94" spans="1:7">
      <c r="A94" s="170"/>
      <c r="B94" s="162" t="s">
        <v>102</v>
      </c>
      <c r="C94" s="171"/>
      <c r="D94" s="167" t="s">
        <v>124</v>
      </c>
      <c r="E94" s="168">
        <v>707.29</v>
      </c>
      <c r="F94" s="169">
        <v>0</v>
      </c>
      <c r="G94" s="168">
        <v>707.29</v>
      </c>
    </row>
    <row r="95" spans="1:7">
      <c r="A95" s="170"/>
      <c r="B95" s="162" t="s">
        <v>102</v>
      </c>
      <c r="C95" s="172"/>
      <c r="D95" s="167" t="s">
        <v>125</v>
      </c>
      <c r="E95" s="168">
        <v>707.29</v>
      </c>
      <c r="F95" s="169">
        <v>0</v>
      </c>
      <c r="G95" s="168">
        <v>707.29</v>
      </c>
    </row>
    <row r="96" spans="1:7">
      <c r="A96" s="176"/>
      <c r="B96" s="173"/>
      <c r="C96" s="173"/>
      <c r="D96" s="173"/>
      <c r="E96" s="174"/>
      <c r="F96" s="175" t="s">
        <v>83</v>
      </c>
      <c r="G96" s="174"/>
    </row>
    <row r="97" spans="1:7">
      <c r="A97" s="173"/>
      <c r="B97" s="173"/>
      <c r="C97" s="173"/>
      <c r="D97" s="173"/>
      <c r="E97" s="174"/>
      <c r="F97" s="175" t="s">
        <v>143</v>
      </c>
      <c r="G97" s="174"/>
    </row>
    <row r="98" spans="1:7">
      <c r="A98" s="173"/>
      <c r="B98" s="173"/>
      <c r="C98" s="173"/>
      <c r="D98" s="173"/>
      <c r="E98" s="174"/>
      <c r="F98" s="175" t="s">
        <v>144</v>
      </c>
      <c r="G98" s="174"/>
    </row>
  </sheetData>
  <mergeCells count="2">
    <mergeCell ref="A51:H51"/>
    <mergeCell ref="A1:H1"/>
  </mergeCells>
  <printOptions horizontalCentered="1"/>
  <pageMargins left="0.7" right="0.7" top="1.1399999999999999" bottom="0.75" header="0.5" footer="0.5"/>
  <pageSetup scale="85" orientation="portrait" r:id="rId1"/>
  <headerFooter>
    <oddHeader>&amp;CAvista Corporation Decoupling Mechanism
Washington Jurisdiction
Quarterly Report for 3rd Quarter 2015</oddHeader>
    <oddFooter>&amp;Cfile: &amp;F / &amp;A&amp;RPage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workbookViewId="0">
      <selection activeCell="T15" sqref="T15"/>
    </sheetView>
  </sheetViews>
  <sheetFormatPr defaultRowHeight="14.5"/>
  <cols>
    <col min="1" max="1" width="4" customWidth="1"/>
    <col min="2" max="2" width="20.6328125" customWidth="1"/>
    <col min="4" max="4" width="7.54296875" customWidth="1"/>
    <col min="5" max="5" width="10.36328125" customWidth="1"/>
    <col min="6" max="6" width="10.6328125" customWidth="1"/>
    <col min="7" max="7" width="10.08984375" customWidth="1"/>
    <col min="8" max="8" width="8" customWidth="1"/>
    <col min="9" max="9" width="6.54296875" customWidth="1"/>
    <col min="10" max="10" width="3.453125" customWidth="1"/>
  </cols>
  <sheetData>
    <row r="1" spans="1:11">
      <c r="A1" t="s">
        <v>85</v>
      </c>
    </row>
    <row r="3" spans="1:11" s="147" customFormat="1" ht="14.4" customHeight="1">
      <c r="A3" s="181"/>
      <c r="B3" s="181"/>
      <c r="C3" s="181"/>
      <c r="D3" s="181"/>
      <c r="E3" s="181"/>
      <c r="F3" s="181"/>
      <c r="G3" s="181"/>
      <c r="H3" s="181"/>
      <c r="I3" s="181"/>
      <c r="J3" s="181"/>
    </row>
    <row r="4" spans="1:11" s="147" customFormat="1" ht="43.75" customHeight="1">
      <c r="A4" s="225" t="s">
        <v>145</v>
      </c>
      <c r="B4" s="225"/>
      <c r="C4" s="225"/>
      <c r="D4" s="225"/>
      <c r="E4" s="225"/>
      <c r="F4" s="225"/>
      <c r="G4" s="225"/>
      <c r="H4" s="225"/>
      <c r="I4" s="225"/>
      <c r="J4" s="225"/>
    </row>
    <row r="5" spans="1:11" ht="14.4" customHeight="1"/>
    <row r="6" spans="1:11" ht="14.4" customHeight="1">
      <c r="A6" s="224" t="s">
        <v>113</v>
      </c>
      <c r="B6" s="224"/>
      <c r="C6" s="224"/>
      <c r="D6" s="224"/>
      <c r="E6" s="224"/>
      <c r="F6" s="224"/>
      <c r="G6" s="224"/>
      <c r="H6" s="224"/>
      <c r="I6" s="224"/>
      <c r="J6" s="224"/>
    </row>
    <row r="7" spans="1:11" s="147" customFormat="1" ht="13.75" customHeight="1">
      <c r="A7" s="224" t="s">
        <v>114</v>
      </c>
      <c r="B7" s="224"/>
      <c r="C7" s="224"/>
      <c r="D7" s="224"/>
      <c r="E7" s="224"/>
      <c r="F7" s="224"/>
      <c r="G7" s="224"/>
      <c r="H7" s="224"/>
      <c r="I7" s="224"/>
      <c r="J7" s="224"/>
    </row>
    <row r="8" spans="1:11" ht="14.4" customHeight="1">
      <c r="A8" s="178"/>
      <c r="B8" s="178"/>
      <c r="C8" s="178"/>
      <c r="E8" s="183" t="s">
        <v>106</v>
      </c>
      <c r="F8" s="183" t="s">
        <v>107</v>
      </c>
      <c r="G8" s="187" t="s">
        <v>121</v>
      </c>
      <c r="H8" s="183" t="s">
        <v>108</v>
      </c>
      <c r="I8" s="183" t="s">
        <v>109</v>
      </c>
      <c r="J8" s="178"/>
      <c r="K8" s="178"/>
    </row>
    <row r="9" spans="1:11" ht="14.4" customHeight="1">
      <c r="A9" s="182" t="s">
        <v>104</v>
      </c>
      <c r="B9" s="68"/>
      <c r="C9" s="68"/>
      <c r="E9" s="68"/>
      <c r="F9" s="68"/>
      <c r="G9" s="68"/>
      <c r="H9" s="68"/>
      <c r="I9" s="68"/>
      <c r="J9" s="68"/>
      <c r="K9" s="68"/>
    </row>
    <row r="10" spans="1:11" ht="14.4" customHeight="1">
      <c r="A10" s="179"/>
      <c r="B10" s="179" t="s">
        <v>105</v>
      </c>
      <c r="C10" s="179"/>
      <c r="E10" s="185">
        <v>-300</v>
      </c>
      <c r="F10" s="185">
        <v>-16</v>
      </c>
      <c r="G10" s="216">
        <v>155</v>
      </c>
      <c r="H10" s="216">
        <f>SUM(E10:G10)</f>
        <v>-161</v>
      </c>
      <c r="I10" s="186">
        <v>-1.9E-2</v>
      </c>
      <c r="J10" s="179"/>
      <c r="K10" s="179"/>
    </row>
    <row r="11" spans="1:11" ht="14.4" customHeight="1">
      <c r="A11" s="179"/>
      <c r="B11" s="179" t="s">
        <v>115</v>
      </c>
      <c r="C11" s="179"/>
      <c r="E11" s="184">
        <v>-14.15</v>
      </c>
      <c r="F11" s="184">
        <v>-6.41</v>
      </c>
      <c r="G11" s="217">
        <v>7.37</v>
      </c>
      <c r="H11" s="217">
        <f>SUM(E11:G11)</f>
        <v>-13.190000000000001</v>
      </c>
      <c r="I11" s="186">
        <v>-2.5999999999999999E-2</v>
      </c>
      <c r="J11" s="179"/>
      <c r="K11" s="179"/>
    </row>
    <row r="12" spans="1:11">
      <c r="B12" s="147" t="s">
        <v>116</v>
      </c>
      <c r="E12" s="184">
        <v>14.15</v>
      </c>
      <c r="F12" s="184">
        <v>6.41</v>
      </c>
      <c r="G12" s="217">
        <v>-7.37</v>
      </c>
      <c r="H12" s="217">
        <f>SUM(E12:G12)</f>
        <v>13.190000000000001</v>
      </c>
    </row>
    <row r="13" spans="1:11" s="147" customFormat="1" ht="6" customHeight="1">
      <c r="E13" s="184"/>
      <c r="F13" s="184"/>
      <c r="G13" s="217"/>
      <c r="H13" s="217"/>
    </row>
    <row r="14" spans="1:11">
      <c r="A14" s="182" t="s">
        <v>110</v>
      </c>
      <c r="B14" s="68"/>
      <c r="C14" s="68"/>
      <c r="E14" s="68"/>
      <c r="F14" s="68"/>
      <c r="G14" s="218"/>
      <c r="H14" s="218"/>
      <c r="I14" s="68"/>
      <c r="J14" s="180"/>
      <c r="K14" s="180"/>
    </row>
    <row r="15" spans="1:11">
      <c r="A15" s="179"/>
      <c r="B15" s="179" t="s">
        <v>105</v>
      </c>
      <c r="C15" s="179"/>
      <c r="E15" s="185">
        <v>-639</v>
      </c>
      <c r="F15" s="185">
        <v>1474</v>
      </c>
      <c r="G15" s="216">
        <v>511</v>
      </c>
      <c r="H15" s="216">
        <f>SUM(E15:G15)</f>
        <v>1346</v>
      </c>
      <c r="I15" s="186">
        <v>0.03</v>
      </c>
      <c r="J15" s="180"/>
      <c r="K15" s="180"/>
    </row>
    <row r="16" spans="1:11" ht="14.4" customHeight="1">
      <c r="A16" s="179"/>
      <c r="B16" s="179" t="s">
        <v>115</v>
      </c>
      <c r="C16" s="179"/>
      <c r="E16" s="184">
        <v>-31.87</v>
      </c>
      <c r="F16" s="184">
        <v>98.06</v>
      </c>
      <c r="G16" s="217">
        <v>22.64</v>
      </c>
      <c r="H16" s="217">
        <f>SUM(E16:G16)</f>
        <v>88.83</v>
      </c>
      <c r="I16" s="186">
        <v>2.8000000000000001E-2</v>
      </c>
      <c r="J16" s="180"/>
      <c r="K16" s="180"/>
    </row>
    <row r="17" spans="1:9">
      <c r="B17" s="147" t="s">
        <v>116</v>
      </c>
      <c r="E17" s="184">
        <v>31.87</v>
      </c>
      <c r="F17" s="184">
        <v>-98.06</v>
      </c>
      <c r="G17" s="217">
        <v>-22.64</v>
      </c>
      <c r="H17" s="217">
        <f>SUM(E17:G17)</f>
        <v>-88.83</v>
      </c>
    </row>
    <row r="18" spans="1:9" s="147" customFormat="1" ht="9" customHeight="1">
      <c r="G18" s="154"/>
      <c r="H18" s="154"/>
    </row>
    <row r="19" spans="1:9" ht="14.4" customHeight="1">
      <c r="A19" s="182" t="s">
        <v>111</v>
      </c>
      <c r="B19" s="68"/>
      <c r="C19" s="68"/>
      <c r="E19" s="68"/>
      <c r="F19" s="68"/>
      <c r="G19" s="218"/>
      <c r="H19" s="218"/>
      <c r="I19" s="68"/>
    </row>
    <row r="20" spans="1:9" ht="14.4" customHeight="1">
      <c r="A20" s="179"/>
      <c r="B20" s="179" t="s">
        <v>105</v>
      </c>
      <c r="C20" s="179"/>
      <c r="E20" s="185">
        <v>-50</v>
      </c>
      <c r="F20" s="185">
        <v>-32</v>
      </c>
      <c r="G20" s="216">
        <v>-2</v>
      </c>
      <c r="H20" s="216">
        <f>SUM(E20:G20)</f>
        <v>-84</v>
      </c>
      <c r="I20" s="186">
        <v>-0.16300000000000001</v>
      </c>
    </row>
    <row r="21" spans="1:9">
      <c r="A21" s="179"/>
      <c r="B21" s="179" t="s">
        <v>115</v>
      </c>
      <c r="C21" s="179"/>
      <c r="E21" s="184">
        <v>-15.04</v>
      </c>
      <c r="F21" s="184">
        <v>-14.46</v>
      </c>
      <c r="G21" s="217">
        <v>-1.73</v>
      </c>
      <c r="H21" s="217">
        <f>SUM(E21:G21)</f>
        <v>-31.23</v>
      </c>
      <c r="I21" s="186">
        <v>-0.17100000000000001</v>
      </c>
    </row>
    <row r="22" spans="1:9" s="147" customFormat="1">
      <c r="A22" s="179"/>
      <c r="B22" s="147" t="s">
        <v>116</v>
      </c>
      <c r="C22" s="179"/>
      <c r="E22" s="184">
        <v>15.04</v>
      </c>
      <c r="F22" s="184">
        <v>14.46</v>
      </c>
      <c r="G22" s="217">
        <v>1.73</v>
      </c>
      <c r="H22" s="217">
        <f>SUM(E22:G22)</f>
        <v>31.23</v>
      </c>
      <c r="I22" s="186"/>
    </row>
    <row r="23" spans="1:9" ht="9" customHeight="1">
      <c r="A23" s="147"/>
      <c r="B23" s="147"/>
      <c r="C23" s="147"/>
      <c r="E23" s="147"/>
      <c r="F23" s="147"/>
      <c r="G23" s="154"/>
      <c r="H23" s="154"/>
      <c r="I23" s="147"/>
    </row>
    <row r="24" spans="1:9">
      <c r="A24" s="182" t="s">
        <v>112</v>
      </c>
      <c r="B24" s="68"/>
      <c r="C24" s="68"/>
      <c r="E24" s="68"/>
      <c r="F24" s="68"/>
      <c r="G24" s="218"/>
      <c r="H24" s="218"/>
      <c r="I24" s="68"/>
    </row>
    <row r="25" spans="1:9">
      <c r="A25" s="179"/>
      <c r="B25" s="179" t="s">
        <v>105</v>
      </c>
      <c r="C25" s="179"/>
      <c r="E25" s="185">
        <v>-991</v>
      </c>
      <c r="F25" s="185">
        <v>-202</v>
      </c>
      <c r="G25" s="216">
        <v>-289</v>
      </c>
      <c r="H25" s="216">
        <f>SUM(E25:G25)</f>
        <v>-1482</v>
      </c>
      <c r="I25" s="186">
        <v>-0.113</v>
      </c>
    </row>
    <row r="26" spans="1:9">
      <c r="A26" s="179"/>
      <c r="B26" s="179" t="s">
        <v>115</v>
      </c>
      <c r="C26" s="179"/>
      <c r="E26" s="184">
        <v>-200.81</v>
      </c>
      <c r="F26" s="184">
        <v>-60.06</v>
      </c>
      <c r="G26" s="217">
        <v>-102.47</v>
      </c>
      <c r="H26" s="217">
        <f>SUM(E26:G26)</f>
        <v>-363.34000000000003</v>
      </c>
      <c r="I26" s="186">
        <v>-0.125</v>
      </c>
    </row>
    <row r="27" spans="1:9">
      <c r="B27" s="147" t="s">
        <v>116</v>
      </c>
      <c r="E27" s="184">
        <v>200.81</v>
      </c>
      <c r="F27" s="184">
        <v>60.06</v>
      </c>
      <c r="G27" s="217">
        <v>102.47</v>
      </c>
      <c r="H27" s="217">
        <f>SUM(E27:G27)</f>
        <v>363.34000000000003</v>
      </c>
    </row>
  </sheetData>
  <mergeCells count="3">
    <mergeCell ref="A6:J6"/>
    <mergeCell ref="A7:J7"/>
    <mergeCell ref="A4:J4"/>
  </mergeCells>
  <pageMargins left="0.7" right="0.7" top="1.43" bottom="0.75" header="0.75" footer="0.73"/>
  <pageSetup orientation="portrait" r:id="rId1"/>
  <headerFooter>
    <oddHeader>&amp;CAvista Corporation Decoupling Mechanism
Washington Jurisdiction
Quarterly Report for 3rd Quarter 2015</oddHeader>
    <oddFooter>&amp;Cfile: &amp;F /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2015-11-10T08:00:00+00:00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140188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1A6DCF-D5DF-4C91-97F0-5CB048CE73C0}"/>
</file>

<file path=customXml/itemProps2.xml><?xml version="1.0" encoding="utf-8"?>
<ds:datastoreItem xmlns:ds="http://schemas.openxmlformats.org/officeDocument/2006/customXml" ds:itemID="{09D52E93-2101-48C5-81BE-BFB8912D7D6E}"/>
</file>

<file path=customXml/itemProps3.xml><?xml version="1.0" encoding="utf-8"?>
<ds:datastoreItem xmlns:ds="http://schemas.openxmlformats.org/officeDocument/2006/customXml" ds:itemID="{BEE29166-74DB-49B9-9DBE-67F33BFA9D81}"/>
</file>

<file path=customXml/itemProps4.xml><?xml version="1.0" encoding="utf-8"?>
<ds:datastoreItem xmlns:ds="http://schemas.openxmlformats.org/officeDocument/2006/customXml" ds:itemID="{1D513A6D-DE79-4853-9E25-AE9B4650A9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Electric Deferral</vt:lpstr>
      <vt:lpstr>Nat Gas Deferral</vt:lpstr>
      <vt:lpstr>Accounting Balances</vt:lpstr>
      <vt:lpstr>Notes</vt:lpstr>
      <vt:lpstr>'Accounting Balances'!Print_Area</vt:lpstr>
      <vt:lpstr>Notes!Print_Area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2015-11-12T19:25:08Z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