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135" windowWidth="9180" windowHeight="8415" tabRatio="896" firstSheet="1" activeTab="1"/>
  </bookViews>
  <sheets>
    <sheet name="Comparison" sheetId="1" state="hidden" r:id="rId1"/>
    <sheet name="Pg 1 CofCap" sheetId="2" r:id="rId2"/>
    <sheet name="Pg 2 CapStructure" sheetId="3" r:id="rId3"/>
    <sheet name="Pg 3 STD Cost Rate" sheetId="4" r:id="rId4"/>
    <sheet name="Pg 4 STD OS &amp; Comm Fees" sheetId="5" r:id="rId5"/>
    <sheet name="Pg 5 STD Amort" sheetId="6" r:id="rId6"/>
    <sheet name="Pg 6 LTD Cost " sheetId="7" r:id="rId7"/>
    <sheet name="Pg 7 Reacquired Debt" sheetId="8" r:id="rId8"/>
    <sheet name="FERC Rpt" sheetId="9" state="hidden" r:id="rId9"/>
    <sheet name="Appendix --&gt;" sheetId="10" state="hidden" r:id="rId10"/>
    <sheet name="A1  CofCap-PreMerger Costs" sheetId="11" state="hidden" r:id="rId11"/>
    <sheet name="A2  STD Cost Rate-Prior Fac" sheetId="12" state="hidden" r:id="rId12"/>
    <sheet name="A3  STD Int &amp; Fees-Prior Fac" sheetId="13" state="hidden" r:id="rId13"/>
    <sheet name="A4  STD Amort-Prior Fac" sheetId="14" state="hidden" r:id="rId14"/>
  </sheets>
  <externalReferences>
    <externalReference r:id="rId17"/>
    <externalReference r:id="rId18"/>
    <externalReference r:id="rId19"/>
    <externalReference r:id="rId20"/>
    <externalReference r:id="rId21"/>
  </externalReferences>
  <definedNames>
    <definedName name="\A" localSheetId="8">'FERC Rpt'!#REF!</definedName>
    <definedName name="_C_._DOWN_TERM_">'[2]CST STD!'!#REF!</definedName>
    <definedName name="_CALC_" localSheetId="8">'FERC Rpt'!#REF!</definedName>
    <definedName name="_DOWN___COUPON_">'[2]CST STD!'!#REF!</definedName>
    <definedName name="_END__DOWN__DOW">'[2]CST STD!'!#REF!</definedName>
    <definedName name="_Fill" localSheetId="8" hidden="1">'FERC Rpt'!$B$1:$M$1</definedName>
    <definedName name="_GOTO_TABLE__PR">'[2]CST STD!'!#REF!</definedName>
    <definedName name="_HOME__GOTO_YIE">'[2]CST STD!'!#REF!</definedName>
    <definedName name="_LET_YIELD__IRR">'[2]CST STD!'!#REF!</definedName>
    <definedName name="_PPRA1.H33_AGP" localSheetId="8">'FERC Rpt'!#REF!</definedName>
    <definedName name="_RECASHFLOWS_">'[2]CST STD!'!#REF!</definedName>
    <definedName name="_RNCCASHFLOWS__">'[2]CST STD!'!#REF!</definedName>
    <definedName name="_WINDOWSOFF__PA">'[2]CST STD!'!#REF!</definedName>
    <definedName name="a">'[1]STD Cost'!#REF!</definedName>
    <definedName name="CASHFLOWS">'[2]CST STD!'!#REF!</definedName>
    <definedName name="CRRA38.H65_GQ" localSheetId="8">'FERC Rpt'!$AC$2</definedName>
    <definedName name="P">#REF!</definedName>
    <definedName name="pagea">#REF!</definedName>
    <definedName name="pageb">#REF!</definedName>
    <definedName name="_xlnm.Print_Area" localSheetId="10">'A1  CofCap-PreMerger Costs'!$A$1:$F$24</definedName>
    <definedName name="_xlnm.Print_Area" localSheetId="11">'A2  STD Cost Rate-Prior Fac'!$A$2:$G$36</definedName>
    <definedName name="_xlnm.Print_Area" localSheetId="12">'A3  STD Int &amp; Fees-Prior Fac'!$A$1:$L$40</definedName>
    <definedName name="_xlnm.Print_Area" localSheetId="13">'A4  STD Amort-Prior Fac'!$A$1:$G$30</definedName>
    <definedName name="_xlnm.Print_Area" localSheetId="0">'Comparison'!$A$33:$K$79</definedName>
    <definedName name="_xlnm.Print_Area" localSheetId="8">'FERC Rpt'!$A$1:$G$36</definedName>
    <definedName name="_xlnm.Print_Area" localSheetId="1">'Pg 1 CofCap'!$A$1:$F$23</definedName>
    <definedName name="_xlnm.Print_Area" localSheetId="2">'Pg 2 CapStructure'!$A$1:$P$44</definedName>
    <definedName name="_xlnm.Print_Area" localSheetId="3">'Pg 3 STD Cost Rate'!$A$1:$G$37</definedName>
    <definedName name="_xlnm.Print_Area" localSheetId="4">'Pg 4 STD OS &amp; Comm Fees'!$A$1:$K$40</definedName>
    <definedName name="_xlnm.Print_Area" localSheetId="5">'Pg 5 STD Amort'!$A$1:$F$28</definedName>
    <definedName name="_xlnm.Print_Area" localSheetId="6">'Pg 6 LTD Cost '!$A$1:$V$36</definedName>
    <definedName name="_xlnm.Print_Area" localSheetId="7">'Pg 7 Reacquired Debt'!$A$1:$J$33</definedName>
    <definedName name="_xlnm.Print_Titles" localSheetId="9">'Appendix --&gt;'!$B:$E,'Appendix --&gt;'!$1:$2</definedName>
    <definedName name="_xlnm.Print_Titles" localSheetId="7">'Pg 7 Reacquired Debt'!$1:$7</definedName>
    <definedName name="TABLE">'[2]CST STD!'!#REF!</definedName>
    <definedName name="Total_Annual_Charge">'[1]BONDRATE'!#REF!</definedName>
    <definedName name="Total_OS_Amount">'[1]BONDRATE'!#REF!</definedName>
  </definedNames>
  <calcPr fullCalcOnLoad="1"/>
</workbook>
</file>

<file path=xl/comments11.xml><?xml version="1.0" encoding="utf-8"?>
<comments xmlns="http://schemas.openxmlformats.org/spreadsheetml/2006/main">
  <authors>
    <author>jsant</author>
  </authors>
  <commentList>
    <comment ref="E17" authorId="0">
      <text>
        <r>
          <rPr>
            <sz val="8"/>
            <rFont val="Tahoma"/>
            <family val="2"/>
          </rPr>
          <t xml:space="preserve">Cost of long-term debt deemed same under Pre-Merger and Post-Merger; tho a strong case could be made that long-term debt costs are lower as a result of the credit rating upgrade from the merger.  </t>
        </r>
        <r>
          <rPr>
            <sz val="8"/>
            <rFont val="Tahoma"/>
            <family val="2"/>
          </rPr>
          <t xml:space="preserve">
</t>
        </r>
      </text>
    </comment>
    <comment ref="E15" authorId="0">
      <text>
        <r>
          <rPr>
            <sz val="8"/>
            <rFont val="Tahoma"/>
            <family val="2"/>
          </rPr>
          <t>Short-term cost priced as if under Pre-Merger facilities.</t>
        </r>
        <r>
          <rPr>
            <sz val="8"/>
            <rFont val="Tahoma"/>
            <family val="2"/>
          </rPr>
          <t xml:space="preserve">
</t>
        </r>
      </text>
    </comment>
  </commentList>
</comments>
</file>

<file path=xl/comments13.xml><?xml version="1.0" encoding="utf-8"?>
<comments xmlns="http://schemas.openxmlformats.org/spreadsheetml/2006/main">
  <authors>
    <author>jsant</author>
    <author>Jim Sant</author>
  </authors>
  <commentList>
    <comment ref="H10" authorId="0">
      <text>
        <r>
          <rPr>
            <sz val="8"/>
            <rFont val="Tahoma"/>
            <family val="2"/>
          </rPr>
          <t>Includes Credit Facility and Letter of Credit Fees.</t>
        </r>
        <r>
          <rPr>
            <sz val="8"/>
            <rFont val="Tahoma"/>
            <family val="2"/>
          </rPr>
          <t xml:space="preserve">
</t>
        </r>
      </text>
    </comment>
    <comment ref="C10" authorId="0">
      <text>
        <r>
          <rPr>
            <sz val="8"/>
            <rFont val="Tahoma"/>
            <family val="2"/>
          </rPr>
          <t xml:space="preserve">Based on daily balances outstanding
</t>
        </r>
      </text>
    </comment>
    <comment ref="F11" authorId="0">
      <text>
        <r>
          <rPr>
            <sz val="8"/>
            <rFont val="Tahoma"/>
            <family val="2"/>
          </rPr>
          <t>CP cost would be what the market would bear under pre or post-merger scenario. No adjustment need be made.</t>
        </r>
      </text>
    </comment>
    <comment ref="G24" authorId="0">
      <text>
        <r>
          <rPr>
            <sz val="8"/>
            <rFont val="Tahoma"/>
            <family val="2"/>
          </rPr>
          <t>AR Sec Fac Comm Fee based on entire $200 million regardless of drawn amount.</t>
        </r>
        <r>
          <rPr>
            <sz val="8"/>
            <rFont val="Tahoma"/>
            <family val="2"/>
          </rPr>
          <t xml:space="preserve">
</t>
        </r>
      </text>
    </comment>
    <comment ref="G23" authorId="0">
      <text>
        <r>
          <rPr>
            <sz val="8"/>
            <rFont val="Tahoma"/>
            <family val="2"/>
          </rPr>
          <t>Treated as if faciilty borrowings would have been half under the $500 million Facility and half under AR Securitization, similar to usage prior to merger in 2008.</t>
        </r>
        <r>
          <rPr>
            <sz val="8"/>
            <rFont val="Tahoma"/>
            <family val="2"/>
          </rPr>
          <t xml:space="preserve">
</t>
        </r>
      </text>
    </comment>
    <comment ref="J24" authorId="0">
      <text>
        <r>
          <rPr>
            <sz val="8"/>
            <rFont val="Tahoma"/>
            <family val="2"/>
          </rPr>
          <t>AR Sec Fac Comm Fee based on entire $200 million regardless of drawn amount.</t>
        </r>
        <r>
          <rPr>
            <sz val="8"/>
            <rFont val="Tahoma"/>
            <family val="2"/>
          </rPr>
          <t xml:space="preserve">
</t>
        </r>
      </text>
    </comment>
    <comment ref="G12" authorId="1">
      <text>
        <r>
          <rPr>
            <sz val="8"/>
            <rFont val="Tahoma"/>
            <family val="2"/>
          </rPr>
          <t>Different Formula: 
Assumes takes on weighted average of the other borrowings on which its rate is based.</t>
        </r>
      </text>
    </comment>
  </commentList>
</comments>
</file>

<file path=xl/comments3.xml><?xml version="1.0" encoding="utf-8"?>
<comments xmlns="http://schemas.openxmlformats.org/spreadsheetml/2006/main">
  <authors>
    <author>jsant</author>
  </authors>
  <commentList>
    <comment ref="B34" authorId="0">
      <text>
        <r>
          <rPr>
            <sz val="8"/>
            <rFont val="Tahoma"/>
            <family val="2"/>
          </rPr>
          <t>Positive numbers are credits to equity, negative numbers are debits.</t>
        </r>
        <r>
          <rPr>
            <sz val="8"/>
            <rFont val="Tahoma"/>
            <family val="2"/>
          </rPr>
          <t xml:space="preserve">
</t>
        </r>
      </text>
    </comment>
    <comment ref="B44" authorId="0">
      <text>
        <r>
          <rPr>
            <sz val="8"/>
            <rFont val="Tahoma"/>
            <family val="2"/>
          </rPr>
          <t>Back non-regulated items out of consolidated book common equity to get to regulated equity.</t>
        </r>
        <r>
          <rPr>
            <sz val="8"/>
            <rFont val="Tahoma"/>
            <family val="2"/>
          </rPr>
          <t xml:space="preserve">
</t>
        </r>
      </text>
    </comment>
  </commentList>
</comments>
</file>

<file path=xl/comments5.xml><?xml version="1.0" encoding="utf-8"?>
<comments xmlns="http://schemas.openxmlformats.org/spreadsheetml/2006/main">
  <authors>
    <author>jsant</author>
    <author>Puget Sound Energy</author>
  </authors>
  <commentList>
    <comment ref="F9" authorId="0">
      <text>
        <r>
          <rPr>
            <sz val="8"/>
            <rFont val="Tahoma"/>
            <family val="2"/>
          </rPr>
          <t>Includes Credit Facility and Letter of Credit Fees.</t>
        </r>
        <r>
          <rPr>
            <sz val="8"/>
            <rFont val="Tahoma"/>
            <family val="2"/>
          </rPr>
          <t xml:space="preserve">
</t>
        </r>
      </text>
    </comment>
    <comment ref="C9" authorId="0">
      <text>
        <r>
          <rPr>
            <sz val="8"/>
            <rFont val="Tahoma"/>
            <family val="2"/>
          </rPr>
          <t xml:space="preserve">Based on daily balances outstanding
</t>
        </r>
      </text>
    </comment>
    <comment ref="B35" authorId="1">
      <text>
        <r>
          <rPr>
            <b/>
            <sz val="9"/>
            <rFont val="Tahoma"/>
            <family val="2"/>
          </rPr>
          <t>Puget Sound Energy:</t>
        </r>
        <r>
          <rPr>
            <sz val="9"/>
            <rFont val="Tahoma"/>
            <family val="2"/>
          </rPr>
          <t xml:space="preserve">
Includes $1.0M ICOM/Vernell Substation LC outstdg 1/1/13 - 1/21/13</t>
        </r>
      </text>
    </comment>
  </commentList>
</comments>
</file>

<file path=xl/comments8.xml><?xml version="1.0" encoding="utf-8"?>
<comments xmlns="http://schemas.openxmlformats.org/spreadsheetml/2006/main">
  <authors>
    <author>jsant</author>
  </authors>
  <commentList>
    <comment ref="I27" authorId="0">
      <text>
        <r>
          <rPr>
            <sz val="8"/>
            <rFont val="Tahoma"/>
            <family val="2"/>
          </rPr>
          <t>Flows to Cost of Debt Tab</t>
        </r>
        <r>
          <rPr>
            <sz val="8"/>
            <rFont val="Tahoma"/>
            <family val="2"/>
          </rPr>
          <t xml:space="preserve">
</t>
        </r>
      </text>
    </comment>
  </commentList>
</comments>
</file>

<file path=xl/comments9.xml><?xml version="1.0" encoding="utf-8"?>
<comments xmlns="http://schemas.openxmlformats.org/spreadsheetml/2006/main">
  <authors>
    <author>jsant</author>
  </authors>
  <commentList>
    <comment ref="B17" authorId="0">
      <text>
        <r>
          <rPr>
            <sz val="8"/>
            <rFont val="Tahoma"/>
            <family val="2"/>
          </rPr>
          <t>Includes Manditorily Redeemable Preferred Stock.</t>
        </r>
        <r>
          <rPr>
            <sz val="8"/>
            <rFont val="Tahoma"/>
            <family val="2"/>
          </rPr>
          <t xml:space="preserve">
</t>
        </r>
      </text>
    </comment>
    <comment ref="B16" authorId="0">
      <text>
        <r>
          <rPr>
            <sz val="8"/>
            <rFont val="Tahoma"/>
            <family val="2"/>
          </rPr>
          <t>Previously included Trust Pref'd since it involved a separate trust with an association to PSE.</t>
        </r>
        <r>
          <rPr>
            <sz val="8"/>
            <rFont val="Tahoma"/>
            <family val="2"/>
          </rPr>
          <t xml:space="preserve">
</t>
        </r>
      </text>
    </comment>
    <comment ref="B14" authorId="0">
      <text>
        <r>
          <rPr>
            <sz val="8"/>
            <rFont val="Tahoma"/>
            <family val="2"/>
          </rPr>
          <t>This includes the hybrid security.  An argument could be made to include it in FERC 224 but it doesn't matter to the total LT Debt Cost rate which is what is sought after in this calculation.</t>
        </r>
        <r>
          <rPr>
            <sz val="8"/>
            <rFont val="Tahoma"/>
            <family val="2"/>
          </rPr>
          <t xml:space="preserve">
LTD is presented as "end of period".</t>
        </r>
      </text>
    </comment>
    <comment ref="C17" authorId="0">
      <text>
        <r>
          <rPr>
            <sz val="8"/>
            <rFont val="Tahoma"/>
            <family val="2"/>
          </rPr>
          <t>This should be the year-end balance.  The amounts are linked to an avg balance calc but that is the same as year end balance in this case; check to be sure this works going forward.</t>
        </r>
        <r>
          <rPr>
            <sz val="8"/>
            <rFont val="Tahoma"/>
            <family val="2"/>
          </rPr>
          <t xml:space="preserve">
</t>
        </r>
      </text>
    </comment>
    <comment ref="B19" authorId="0">
      <text>
        <r>
          <rPr>
            <sz val="8"/>
            <rFont val="Tahoma"/>
            <family val="2"/>
          </rPr>
          <t xml:space="preserve">Check the detail behind the total long term debt to ensure it is properly pulling from other work.
</t>
        </r>
      </text>
    </comment>
    <comment ref="F14" authorId="0">
      <text>
        <r>
          <rPr>
            <sz val="8"/>
            <rFont val="Tahoma"/>
            <family val="2"/>
          </rPr>
          <t xml:space="preserve">This represents the weighted avg cost rate (all-in including issuance costs) for the LT debt outstanding at the end of the period. 
It is </t>
        </r>
        <r>
          <rPr>
            <u val="single"/>
            <sz val="8"/>
            <rFont val="Tahoma"/>
            <family val="2"/>
          </rPr>
          <t>not</t>
        </r>
        <r>
          <rPr>
            <sz val="8"/>
            <rFont val="Tahoma"/>
            <family val="2"/>
          </rPr>
          <t xml:space="preserve"> calculated using the avg debt outstanding throughout the period, even though the rate could be the same under both methods.</t>
        </r>
        <r>
          <rPr>
            <sz val="8"/>
            <rFont val="Tahoma"/>
            <family val="2"/>
          </rPr>
          <t xml:space="preserve">
</t>
        </r>
      </text>
    </comment>
    <comment ref="B25" authorId="0">
      <text>
        <r>
          <rPr>
            <sz val="8"/>
            <rFont val="Tahoma"/>
            <family val="2"/>
          </rPr>
          <t>Plant acctg advises this is to be period ending (not average) book equity for PSE, adjusting out the PSE subsidiaries.</t>
        </r>
        <r>
          <rPr>
            <sz val="8"/>
            <rFont val="Tahoma"/>
            <family val="2"/>
          </rPr>
          <t xml:space="preserve">
</t>
        </r>
      </text>
    </comment>
  </commentList>
</comments>
</file>

<file path=xl/sharedStrings.xml><?xml version="1.0" encoding="utf-8"?>
<sst xmlns="http://schemas.openxmlformats.org/spreadsheetml/2006/main" count="666" uniqueCount="277">
  <si>
    <t>($ thousands)</t>
  </si>
  <si>
    <t xml:space="preserve"> </t>
  </si>
  <si>
    <t>PUGET SOUND ENERGY, INC.</t>
  </si>
  <si>
    <t>(A)</t>
  </si>
  <si>
    <t>Utility Capital Structure</t>
  </si>
  <si>
    <t>Weighted</t>
  </si>
  <si>
    <t>Cost of</t>
  </si>
  <si>
    <t>Description</t>
  </si>
  <si>
    <t>Ratio</t>
  </si>
  <si>
    <t>Cost</t>
  </si>
  <si>
    <t>Capital</t>
  </si>
  <si>
    <t>Short Term Debt</t>
  </si>
  <si>
    <t>Long Term Debt</t>
  </si>
  <si>
    <t>Common Stock</t>
  </si>
  <si>
    <t>Total</t>
  </si>
  <si>
    <t>Issue</t>
  </si>
  <si>
    <t>Annual</t>
  </si>
  <si>
    <t>Rate</t>
  </si>
  <si>
    <t>Charge</t>
  </si>
  <si>
    <t>MTN-A</t>
  </si>
  <si>
    <t>MTN-B</t>
  </si>
  <si>
    <t>MTN-C</t>
  </si>
  <si>
    <t>PCB</t>
  </si>
  <si>
    <t>Puget Sound Energy, Inc.</t>
  </si>
  <si>
    <t>Schedule of Annual Charges on Reacquired Debt</t>
  </si>
  <si>
    <t>(B)</t>
  </si>
  <si>
    <t xml:space="preserve">Total Amortization on Reacquired Debt </t>
  </si>
  <si>
    <t>8.40% Capital Trust II</t>
  </si>
  <si>
    <t>Short-term debt</t>
  </si>
  <si>
    <t>Long-term debt</t>
  </si>
  <si>
    <t>Subsidiary R.E.</t>
  </si>
  <si>
    <t xml:space="preserve">   Puget Western</t>
  </si>
  <si>
    <t xml:space="preserve">       Total Subsidiary R.E.</t>
  </si>
  <si>
    <t>Utility Capital Structure Calculation</t>
  </si>
  <si>
    <t>Commercial Paper</t>
  </si>
  <si>
    <t>Cost of Short-Term Debt</t>
  </si>
  <si>
    <t>Interest</t>
  </si>
  <si>
    <t>Total Short-Term Debt/Cost</t>
  </si>
  <si>
    <t>PCB Series 1991A</t>
  </si>
  <si>
    <t>PCB Series 1991B</t>
  </si>
  <si>
    <t>PCB Series 1992</t>
  </si>
  <si>
    <t>PCB Series 1993</t>
  </si>
  <si>
    <t>WNG 8.4%</t>
  </si>
  <si>
    <t>WNG 8.39%</t>
  </si>
  <si>
    <t>PUGET SOUND ENERGY</t>
  </si>
  <si>
    <t>SHORT TERM DEBT RATE</t>
  </si>
  <si>
    <t>Beginning Date</t>
  </si>
  <si>
    <t>Ending Date</t>
  </si>
  <si>
    <t>Wtd. Avg.</t>
  </si>
  <si>
    <t>Days</t>
  </si>
  <si>
    <t>(C)</t>
  </si>
  <si>
    <t>Weighted Amt</t>
  </si>
  <si>
    <t>Commitment Fees</t>
  </si>
  <si>
    <t>12 Month Short Term Debt Issue Costs Amortization</t>
  </si>
  <si>
    <t>SAP  #</t>
  </si>
  <si>
    <t>Issue Date</t>
  </si>
  <si>
    <t>Cost of Capital and Rate of Return</t>
  </si>
  <si>
    <t>Average of Month-End Balances</t>
  </si>
  <si>
    <t>Fee %</t>
  </si>
  <si>
    <t>Fee $</t>
  </si>
  <si>
    <t>Beginning Balance</t>
  </si>
  <si>
    <t>(D)</t>
  </si>
  <si>
    <t>(E)</t>
  </si>
  <si>
    <t>(F)</t>
  </si>
  <si>
    <t>(G)</t>
  </si>
  <si>
    <t>(H)</t>
  </si>
  <si>
    <t>(I)</t>
  </si>
  <si>
    <t>Maturity Date</t>
  </si>
  <si>
    <t>(J)</t>
  </si>
  <si>
    <t>(K)</t>
  </si>
  <si>
    <t>(L)</t>
  </si>
  <si>
    <t>(M)</t>
  </si>
  <si>
    <t>(N)</t>
  </si>
  <si>
    <t>(O)</t>
  </si>
  <si>
    <t>(ii)</t>
  </si>
  <si>
    <t>Outstanding (i)</t>
  </si>
  <si>
    <t>Amount (i)</t>
  </si>
  <si>
    <t>Annual Charge</t>
  </si>
  <si>
    <t>Consol. Common Equity</t>
  </si>
  <si>
    <t>Total Preferred</t>
  </si>
  <si>
    <t>Commitment fees are calculated for actual days elapsed on the basis of a 360 day year.</t>
  </si>
  <si>
    <t>Net Proceeds (i)</t>
  </si>
  <si>
    <r>
      <t>(i)</t>
    </r>
    <r>
      <rPr>
        <sz val="8"/>
        <rFont val="Arial"/>
        <family val="2"/>
      </rPr>
      <t xml:space="preserve"> Net proceeds are the net proceeds per $100 face amount and are the proceeds less underwriter's fees and issuance expenses.</t>
    </r>
  </si>
  <si>
    <t>Total Capital</t>
  </si>
  <si>
    <t>(P)</t>
  </si>
  <si>
    <t>(Q)</t>
  </si>
  <si>
    <t>(R)</t>
  </si>
  <si>
    <t>(S)</t>
  </si>
  <si>
    <t>(T)</t>
  </si>
  <si>
    <t>(U)</t>
  </si>
  <si>
    <r>
      <t>(ii)</t>
    </r>
    <r>
      <rPr>
        <sz val="8"/>
        <rFont val="Arial"/>
        <family val="2"/>
      </rPr>
      <t xml:space="preserve"> Yield to Maturity based on Net Proceeds</t>
    </r>
  </si>
  <si>
    <t>Cost Rate (ii)</t>
  </si>
  <si>
    <t>SN</t>
  </si>
  <si>
    <t>Bank Facility Fees</t>
  </si>
  <si>
    <t>(iii)</t>
  </si>
  <si>
    <t>Rate (365)</t>
  </si>
  <si>
    <t>Interest Rate</t>
  </si>
  <si>
    <t>$200mm VRN</t>
  </si>
  <si>
    <t>30 Yr 5.483%</t>
  </si>
  <si>
    <t>Regulated Common Equity</t>
  </si>
  <si>
    <t>Mat. Date</t>
  </si>
  <si>
    <t>AMORTIZATION OF  SHORT TERM DEBT ISSUE COSTS</t>
  </si>
  <si>
    <t>Commitment Fee Calculation</t>
  </si>
  <si>
    <t>Maturity</t>
  </si>
  <si>
    <t>Date</t>
  </si>
  <si>
    <t xml:space="preserve">      Total Debt</t>
  </si>
  <si>
    <t>Preferred</t>
  </si>
  <si>
    <t>Common</t>
  </si>
  <si>
    <t xml:space="preserve">     Total</t>
  </si>
  <si>
    <t>Avg of  Mo-end Balances</t>
  </si>
  <si>
    <t>Period</t>
  </si>
  <si>
    <t>Demand Promissory Note</t>
  </si>
  <si>
    <t>Annual Charge from Reacquired Debt Schedule</t>
  </si>
  <si>
    <t>W. Avg. Amt O/S</t>
  </si>
  <si>
    <t>OCI - Derivatives</t>
  </si>
  <si>
    <t xml:space="preserve">OCI - Other </t>
  </si>
  <si>
    <t>Total OCI Adj</t>
  </si>
  <si>
    <t>Weighted Avg. Outstandings and Rates and Total Commitment Fees</t>
  </si>
  <si>
    <t>Jr. Subordinated Notes</t>
  </si>
  <si>
    <t>8.231% Capital Trust I (Tender)</t>
  </si>
  <si>
    <t>8.231% Capital Trust I (Call)</t>
  </si>
  <si>
    <t>WNG 8.25%</t>
  </si>
  <si>
    <t>JrSubN</t>
  </si>
  <si>
    <t>Type</t>
  </si>
  <si>
    <t>Long-term Bonds</t>
  </si>
  <si>
    <t>TOTAL LONG TERM DEBT</t>
  </si>
  <si>
    <t>Bank Facility Commitment Fees</t>
  </si>
  <si>
    <t>Commitment</t>
  </si>
  <si>
    <t>Letters of Credit (LC) Fees</t>
  </si>
  <si>
    <t>JrSubN 6.974%</t>
  </si>
  <si>
    <t>20 Yr 6.740%</t>
  </si>
  <si>
    <t>30 Yr 7.350%</t>
  </si>
  <si>
    <t>2003 PCB's</t>
  </si>
  <si>
    <t>30 Yr 6.724%</t>
  </si>
  <si>
    <t>9.14% PP</t>
  </si>
  <si>
    <t>9.625% PP</t>
  </si>
  <si>
    <r>
      <t xml:space="preserve">  </t>
    </r>
    <r>
      <rPr>
        <sz val="9"/>
        <rFont val="Arial"/>
        <family val="2"/>
      </rPr>
      <t xml:space="preserve">  Amortization is over life of replacement issue or remaining life of called bond if no replacement issue.</t>
    </r>
  </si>
  <si>
    <t>(i) Applicable monthly amortization during the 12 month reporting period;</t>
  </si>
  <si>
    <t>Amortization (i)</t>
  </si>
  <si>
    <t>Redemption</t>
  </si>
  <si>
    <t>Refinance</t>
  </si>
  <si>
    <t>for Amort.</t>
  </si>
  <si>
    <t>WNG 7.19%</t>
  </si>
  <si>
    <r>
      <t xml:space="preserve">(ii) </t>
    </r>
    <r>
      <rPr>
        <sz val="9"/>
        <rFont val="Arial"/>
        <family val="2"/>
      </rPr>
      <t xml:space="preserve"> See Pg 4 STD OS &amp; Comm Fees </t>
    </r>
    <r>
      <rPr>
        <sz val="8"/>
        <rFont val="Arial"/>
        <family val="2"/>
      </rPr>
      <t>(includes any LC Fees)</t>
    </r>
  </si>
  <si>
    <t>SAP #</t>
  </si>
  <si>
    <t>$400mm Liquidity Facility</t>
  </si>
  <si>
    <t>$400mm Capex  Facility</t>
  </si>
  <si>
    <t>Outstandings</t>
  </si>
  <si>
    <t>Fees</t>
  </si>
  <si>
    <t>(Drawn)</t>
  </si>
  <si>
    <t>Utilized</t>
  </si>
  <si>
    <t>Unutilized</t>
  </si>
  <si>
    <t>W. Avg Annual</t>
  </si>
  <si>
    <t>Interest Charges &amp; Avg Borrowing Rate</t>
  </si>
  <si>
    <t>Bank Credit Facilities</t>
  </si>
  <si>
    <t>Letters of Credit</t>
  </si>
  <si>
    <t>W. Avg Amount</t>
  </si>
  <si>
    <t>Goldendale; Klickitat PUD Transmission</t>
  </si>
  <si>
    <t>Total Fees</t>
  </si>
  <si>
    <t>Totals</t>
  </si>
  <si>
    <t>$400 million</t>
  </si>
  <si>
    <t>Working Cap Fac</t>
  </si>
  <si>
    <t>Capex Fac</t>
  </si>
  <si>
    <t>TOTAL</t>
  </si>
  <si>
    <t>AMORTIZATION</t>
  </si>
  <si>
    <t>(V)</t>
  </si>
  <si>
    <t>Other Comprehensive Income Adjustments (OCI) and Derivative Accounting</t>
  </si>
  <si>
    <t>Derivative Impacts through Income</t>
  </si>
  <si>
    <t>Intercompany Loan with PE</t>
  </si>
  <si>
    <t>Total Amortization for 12 months ended</t>
  </si>
  <si>
    <r>
      <t xml:space="preserve">(iii) </t>
    </r>
    <r>
      <rPr>
        <sz val="9"/>
        <rFont val="Arial"/>
        <family val="2"/>
      </rPr>
      <t xml:space="preserve"> See Pg 5 STD Amort</t>
    </r>
  </si>
  <si>
    <r>
      <t xml:space="preserve">(i) </t>
    </r>
    <r>
      <rPr>
        <sz val="9"/>
        <rFont val="Arial"/>
        <family val="2"/>
      </rPr>
      <t xml:space="preserve"> Weighted Average </t>
    </r>
    <r>
      <rPr>
        <u val="single"/>
        <sz val="9"/>
        <rFont val="Arial"/>
        <family val="2"/>
      </rPr>
      <t>Daily</t>
    </r>
    <r>
      <rPr>
        <sz val="9"/>
        <rFont val="Arial"/>
        <family val="2"/>
      </rPr>
      <t xml:space="preserve"> Balance Outstanding for 12 Months Ended</t>
    </r>
  </si>
  <si>
    <t>Facility</t>
  </si>
  <si>
    <r>
      <t>(i)</t>
    </r>
    <r>
      <rPr>
        <sz val="9"/>
        <rFont val="Arial"/>
        <family val="2"/>
      </rPr>
      <t xml:space="preserve"> - Average of Month-End Balances</t>
    </r>
  </si>
  <si>
    <t>BPA Transmission</t>
  </si>
  <si>
    <t>Liquidity Facility (Barclays)</t>
  </si>
  <si>
    <t>Wells Fargo (not within facility)</t>
  </si>
  <si>
    <t xml:space="preserve"> CAPITAL STRUCTURE - FERC PRESENTATION</t>
  </si>
  <si>
    <t>{HOME}</t>
  </si>
  <si>
    <t xml:space="preserve">COST OF </t>
  </si>
  <si>
    <t>DESCRIPTION</t>
  </si>
  <si>
    <t>AMOUNT</t>
  </si>
  <si>
    <t>RATIO</t>
  </si>
  <si>
    <t>INTEREST</t>
  </si>
  <si>
    <t>COST</t>
  </si>
  <si>
    <t>CAPITAL</t>
  </si>
  <si>
    <t>AVERAGE SHORT TERM DEBT (ii)</t>
  </si>
  <si>
    <t>FERC 221 - Bonds</t>
  </si>
  <si>
    <t>FERC 222 - Reacquired Bonds</t>
  </si>
  <si>
    <t>FERC 223 - Advances from Associated Co's</t>
  </si>
  <si>
    <t>FERC 224 - Other Long-Term Debt</t>
  </si>
  <si>
    <t>LONG TERM DEBT (i) (iii)</t>
  </si>
  <si>
    <t>TOTAL DEBT</t>
  </si>
  <si>
    <t>PREFERRED STOCK (i) (iii)</t>
  </si>
  <si>
    <r>
      <t>(i)</t>
    </r>
    <r>
      <rPr>
        <sz val="8"/>
        <rFont val="Arial"/>
        <family val="2"/>
      </rPr>
      <t xml:space="preserve"> -  Represents the BALANCE at end of period; not the average of monthly averages</t>
    </r>
  </si>
  <si>
    <r>
      <t>(ii)</t>
    </r>
    <r>
      <rPr>
        <sz val="8"/>
        <color indexed="8"/>
        <rFont val="Arial"/>
        <family val="2"/>
      </rPr>
      <t xml:space="preserve"> - Short Term Debt is the AVERAGE DAILY OUTSTANDING For 12 Months Ended</t>
    </r>
  </si>
  <si>
    <t>FERC end of Period Cost</t>
  </si>
  <si>
    <t>Wgt Cost Rate</t>
  </si>
  <si>
    <r>
      <t>(iii) -</t>
    </r>
    <r>
      <rPr>
        <sz val="8"/>
        <rFont val="Arial"/>
        <family val="2"/>
      </rPr>
      <t xml:space="preserve"> Jr. Subordinated Notes are treated as LT Debt in this presentation (</t>
    </r>
    <r>
      <rPr>
        <sz val="8"/>
        <color indexed="12"/>
        <rFont val="Arial"/>
        <family val="2"/>
      </rPr>
      <t>Preferred stock would be also but there is none outstanding</t>
    </r>
    <r>
      <rPr>
        <sz val="8"/>
        <rFont val="Arial"/>
        <family val="2"/>
      </rPr>
      <t>)</t>
    </r>
  </si>
  <si>
    <r>
      <t xml:space="preserve">COMMON STOCK (i) (iv) - </t>
    </r>
    <r>
      <rPr>
        <b/>
        <i/>
        <sz val="9"/>
        <rFont val="Arial"/>
        <family val="2"/>
      </rPr>
      <t>Utility Equity</t>
    </r>
  </si>
  <si>
    <r>
      <t>(iv)</t>
    </r>
    <r>
      <rPr>
        <sz val="8"/>
        <rFont val="Arial"/>
        <family val="2"/>
      </rPr>
      <t xml:space="preserve"> -  Utility equity includes PSE book equity less PSE subsidiaries (PWI) as of period end</t>
    </r>
  </si>
  <si>
    <t>Weighted Average Cost of Capital</t>
  </si>
  <si>
    <t>Structure</t>
  </si>
  <si>
    <t>WACC</t>
  </si>
  <si>
    <t>Weighted Avg Cost of Debt - Pretax</t>
  </si>
  <si>
    <t>Weighted Avg Cost of Debt - after tax</t>
  </si>
  <si>
    <t>Total Allowed ROR</t>
  </si>
  <si>
    <t>Total Debt in Cap Structure</t>
  </si>
  <si>
    <t>After-Tax Cost of Capital</t>
  </si>
  <si>
    <t>Components of After Tax WACC</t>
  </si>
  <si>
    <t>After Tax Debt</t>
  </si>
  <si>
    <t>After Tax Preferred</t>
  </si>
  <si>
    <t>Pre tax WACC</t>
  </si>
  <si>
    <t>After Tax Equity</t>
  </si>
  <si>
    <t>Total ROR</t>
  </si>
  <si>
    <r>
      <t xml:space="preserve">Capital Structure Actuals </t>
    </r>
    <r>
      <rPr>
        <b/>
        <sz val="10"/>
        <color indexed="12"/>
        <rFont val="Arial"/>
        <family val="2"/>
      </rPr>
      <t>12/31/09</t>
    </r>
  </si>
  <si>
    <r>
      <t xml:space="preserve">Capital Structure Actuals </t>
    </r>
    <r>
      <rPr>
        <b/>
        <sz val="10"/>
        <color indexed="12"/>
        <rFont val="Arial"/>
        <family val="2"/>
      </rPr>
      <t>12/31/08</t>
    </r>
  </si>
  <si>
    <r>
      <t xml:space="preserve">Capital Structure Actuals </t>
    </r>
    <r>
      <rPr>
        <b/>
        <sz val="10"/>
        <color indexed="12"/>
        <rFont val="Arial"/>
        <family val="2"/>
      </rPr>
      <t>12/31/10</t>
    </r>
  </si>
  <si>
    <r>
      <t xml:space="preserve">Capital Structure Approved  </t>
    </r>
    <r>
      <rPr>
        <b/>
        <sz val="10"/>
        <color indexed="13"/>
        <rFont val="Arial"/>
        <family val="2"/>
      </rPr>
      <t>4.7.10</t>
    </r>
  </si>
  <si>
    <r>
      <t xml:space="preserve">Capital Structure Approved  </t>
    </r>
    <r>
      <rPr>
        <b/>
        <sz val="10"/>
        <color indexed="13"/>
        <rFont val="Arial"/>
        <family val="2"/>
      </rPr>
      <t>11.1.08</t>
    </r>
  </si>
  <si>
    <t>monthly</t>
  </si>
  <si>
    <t>Mos. X monthly</t>
  </si>
  <si>
    <t>Diff</t>
  </si>
  <si>
    <t>Months</t>
  </si>
  <si>
    <t>Remaining at:</t>
  </si>
  <si>
    <t>Bal Sheet #</t>
  </si>
  <si>
    <t>Internal Checkpoints Only</t>
  </si>
  <si>
    <t>Appendix</t>
  </si>
  <si>
    <t>APPENDIX A</t>
  </si>
  <si>
    <t>ADJUSTED FOR COSTS FROM PRE-MERGER CREDIT FACILITIES</t>
  </si>
  <si>
    <r>
      <t>(i)</t>
    </r>
    <r>
      <rPr>
        <sz val="10"/>
        <rFont val="Arial"/>
        <family val="2"/>
      </rPr>
      <t xml:space="preserve"> - Average of Month-End Balances</t>
    </r>
  </si>
  <si>
    <t>Appendix A - Cost of Pre-Merger Facilities</t>
  </si>
  <si>
    <r>
      <t xml:space="preserve">(ii) </t>
    </r>
    <r>
      <rPr>
        <sz val="9"/>
        <rFont val="Arial"/>
        <family val="2"/>
      </rPr>
      <t xml:space="preserve"> See STD Int &amp; Fees-Prior Facilities</t>
    </r>
    <r>
      <rPr>
        <sz val="8"/>
        <rFont val="Arial"/>
        <family val="2"/>
      </rPr>
      <t xml:space="preserve"> (includes any LC Fees)</t>
    </r>
  </si>
  <si>
    <r>
      <t xml:space="preserve">(iii) </t>
    </r>
    <r>
      <rPr>
        <sz val="9"/>
        <rFont val="Arial"/>
        <family val="2"/>
      </rPr>
      <t xml:space="preserve"> See STD Amort-Prior Fac</t>
    </r>
  </si>
  <si>
    <t>Adjusted</t>
  </si>
  <si>
    <t>Actual</t>
  </si>
  <si>
    <t>Pre-Merger</t>
  </si>
  <si>
    <t>Lower Spread</t>
  </si>
  <si>
    <t>Credit Facility</t>
  </si>
  <si>
    <t>Pre-Merger Facilities</t>
  </si>
  <si>
    <t>$500mm Credit Facility</t>
  </si>
  <si>
    <t>$200mm AR Sec  Facility</t>
  </si>
  <si>
    <t>Adjustment to Pre-Merger Interest Rates</t>
  </si>
  <si>
    <t>Pre-Merger Fac Spread</t>
  </si>
  <si>
    <t>New Fac Spread</t>
  </si>
  <si>
    <t>Interest Rate Adjustment</t>
  </si>
  <si>
    <r>
      <t xml:space="preserve">Adjustment </t>
    </r>
    <r>
      <rPr>
        <i/>
        <u val="single"/>
        <sz val="9"/>
        <rFont val="Arial"/>
        <family val="2"/>
      </rPr>
      <t>(a)</t>
    </r>
  </si>
  <si>
    <r>
      <t xml:space="preserve"> </t>
    </r>
    <r>
      <rPr>
        <i/>
        <sz val="9"/>
        <rFont val="Arial"/>
        <family val="2"/>
      </rPr>
      <t xml:space="preserve">(a)  </t>
    </r>
    <r>
      <rPr>
        <sz val="9"/>
        <rFont val="Arial"/>
        <family val="2"/>
      </rPr>
      <t>applied in Column E</t>
    </r>
  </si>
  <si>
    <t>Pre-Merger Facility</t>
  </si>
  <si>
    <t xml:space="preserve">AR Securitization </t>
  </si>
  <si>
    <t>$500 million</t>
  </si>
  <si>
    <t>PSE Funding</t>
  </si>
  <si>
    <t xml:space="preserve">5 Yr Cr Agrmt </t>
  </si>
  <si>
    <t>NA</t>
  </si>
  <si>
    <t>$25M 9.57% Gas FMB's</t>
  </si>
  <si>
    <t>40 Yr 4.70%</t>
  </si>
  <si>
    <t>x</t>
  </si>
  <si>
    <r>
      <t xml:space="preserve">Capital Structure Actuals </t>
    </r>
    <r>
      <rPr>
        <b/>
        <sz val="10"/>
        <color indexed="12"/>
        <rFont val="Arial"/>
        <family val="2"/>
      </rPr>
      <t>12/31/11</t>
    </r>
  </si>
  <si>
    <r>
      <t xml:space="preserve">Capital Structure Actuals </t>
    </r>
    <r>
      <rPr>
        <b/>
        <sz val="10"/>
        <color indexed="12"/>
        <rFont val="Arial"/>
        <family val="2"/>
      </rPr>
      <t>12/31/12</t>
    </r>
  </si>
  <si>
    <t>$650mm Liquidity  Facility</t>
  </si>
  <si>
    <t>Liquidity Facility (Wells Fargo)</t>
  </si>
  <si>
    <t xml:space="preserve">Wgtd Avg </t>
  </si>
  <si>
    <t>$650 million</t>
  </si>
  <si>
    <t>Liquidity Fac</t>
  </si>
  <si>
    <t>18101073/18900423</t>
  </si>
  <si>
    <t>18101083/18900403</t>
  </si>
  <si>
    <r>
      <t xml:space="preserve">Capital Structure Actuals </t>
    </r>
    <r>
      <rPr>
        <b/>
        <sz val="10"/>
        <color indexed="12"/>
        <rFont val="Arial"/>
        <family val="2"/>
      </rPr>
      <t>12/31/13</t>
    </r>
  </si>
  <si>
    <t>Mar 31, 2012 Through Mar 31, 2013</t>
  </si>
  <si>
    <t>PSPL 8.2%</t>
  </si>
  <si>
    <t>$500mm Pre-merger Liquidity Facility</t>
  </si>
  <si>
    <t>Liquidity Facility (Pre-merger)</t>
  </si>
  <si>
    <t>$500mm Pre-merger Liquidity Facility *</t>
  </si>
  <si>
    <t>* Per merger commitment 24, PSE will not advocate for higher cost of debt than would have been incurred without Puget Holdings ownership.  PSE's pre-merger credit facility would have expired on 4/4/2012.  As a result, costs for 3 days of the 12 month period have been calculated at the rates associated with the pre-merger credit facility.  Commitment fees are calculated for actual days elapsed on the basis of a 360 day year.</t>
  </si>
  <si>
    <r>
      <t>As of:  03</t>
    </r>
    <r>
      <rPr>
        <i/>
        <sz val="9"/>
        <rFont val="Arial"/>
        <family val="2"/>
      </rPr>
      <t>/31/12</t>
    </r>
  </si>
  <si>
    <t>Cost of Long Term Debt ($in 000's)</t>
  </si>
  <si>
    <t>Amortization of Short-Term Debt Issue Costs</t>
  </si>
  <si>
    <t>Short-Term Debt Rate</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</si>
</sst>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quot;$&quot;#,###,\)"/>
    <numFmt numFmtId="165" formatCode="0.0%"/>
    <numFmt numFmtId="166" formatCode="mmmm\ d\,\ yyyy"/>
    <numFmt numFmtId="167" formatCode="0.0000%"/>
    <numFmt numFmtId="168" formatCode="0.000%"/>
    <numFmt numFmtId="169" formatCode="&quot;$&quot;#,##0"/>
    <numFmt numFmtId="170" formatCode="_(* #,##0_);_(* \(#,##0\);_(* &quot;-&quot;??_);_(@_)"/>
    <numFmt numFmtId="171" formatCode="#,##0.0000_);\(#,##0.0000\)"/>
    <numFmt numFmtId="172" formatCode="&quot; As of &quot;mmmm\ d\,\ yyyy"/>
    <numFmt numFmtId="173" formatCode="mmmm\-yy"/>
    <numFmt numFmtId="174" formatCode="0_);[Red]\(0\)"/>
    <numFmt numFmtId="175" formatCode="#,###,;\(#,###,\)"/>
    <numFmt numFmtId="176" formatCode="#,###,;\(&quot;$&quot;#,###,\)"/>
    <numFmt numFmtId="177" formatCode="0.00_);\(0.00\)"/>
    <numFmt numFmtId="178" formatCode="0.00000%"/>
    <numFmt numFmtId="179" formatCode="#,###.000,;\(#,###.000,\)"/>
    <numFmt numFmtId="180" formatCode="mm/dd/yy;@"/>
    <numFmt numFmtId="181" formatCode="&quot; For The 12 Months Ending &quot;mmmm\ d\,\ yyyy"/>
    <numFmt numFmtId="182" formatCode="m/d/yy;@"/>
    <numFmt numFmtId="183" formatCode="#,##0.000_);\(#,##0.000\)"/>
    <numFmt numFmtId="184" formatCode="&quot;$&quot;#,###.000,;\(&quot;$&quot;#,###.000,\)"/>
    <numFmt numFmtId="185" formatCode="&quot;$&quot;#,##0\ ;\(&quot;$&quot;#,##0\)"/>
    <numFmt numFmtId="186" formatCode="#,###.0,;\(#,###.0,\)"/>
    <numFmt numFmtId="187" formatCode="#,###.00,;\(#,###.00,\)"/>
    <numFmt numFmtId="188" formatCode="&quot;$&quot;#,##0.0_);\(&quot;$&quot;#,##0.0\)"/>
    <numFmt numFmtId="189" formatCode="0.000000%"/>
    <numFmt numFmtId="190" formatCode="dd\-mmm\-yy"/>
    <numFmt numFmtId="191" formatCode="#.0,,;\(&quot;$&quot;#.0,,\)"/>
    <numFmt numFmtId="192" formatCode="&quot;$&quot;#,000,;\(&quot;$&quot;#,000,\)"/>
    <numFmt numFmtId="193" formatCode="mmmmm\-yy"/>
    <numFmt numFmtId="194" formatCode="_(&quot;$&quot;* #,##0_);_(&quot;$&quot;* \(#,##0\);_(&quot;$&quot;* &quot;-&quot;??_);_(@_)"/>
    <numFmt numFmtId="195" formatCode="[$-409]d\-mmm\-yy;@"/>
    <numFmt numFmtId="196" formatCode="0.000"/>
    <numFmt numFmtId="197" formatCode="&quot;$&quot;#,000.000,;\(&quot;$&quot;#,000.000,\)"/>
    <numFmt numFmtId="198" formatCode="#,##0.0_);\(#,##0.0\)"/>
    <numFmt numFmtId="199" formatCode="&quot;$&quot;#,##0.000_);\(&quot;$&quot;#,##0.000\)"/>
    <numFmt numFmtId="200" formatCode="&quot;$&quot;#,000.00,;\(&quot;$&quot;#,000.00,\)"/>
    <numFmt numFmtId="201" formatCode="&quot;$&quot;#,000.0,;\(&quot;$&quot;#,000.0,\)"/>
    <numFmt numFmtId="202" formatCode="[$-409]mmm\-yy;@"/>
    <numFmt numFmtId="203" formatCode="[$-409]dddd\,\ mmmm\ dd\,\ yyyy"/>
    <numFmt numFmtId="204" formatCode="_(* #,##0.0_);_(* \(#,##0.0\);_(* &quot;-&quot;??_);_(@_)"/>
    <numFmt numFmtId="205" formatCode="0.0_);[Red]\(0.0\)"/>
    <numFmt numFmtId="206" formatCode="0.00_);[Red]\(0.00\)"/>
  </numFmts>
  <fonts count="76">
    <font>
      <sz val="8"/>
      <name val="Arial"/>
      <family val="2"/>
    </font>
    <font>
      <sz val="10"/>
      <name val="Arial"/>
      <family val="0"/>
    </font>
    <font>
      <b/>
      <i/>
      <sz val="12"/>
      <name val="Times New Roman"/>
      <family val="1"/>
    </font>
    <font>
      <sz val="10"/>
      <name val="Geneva"/>
      <family val="0"/>
    </font>
    <font>
      <sz val="10"/>
      <name val="Times New Roman"/>
      <family val="1"/>
    </font>
    <font>
      <sz val="12"/>
      <name val="Times New Roman"/>
      <family val="1"/>
    </font>
    <font>
      <b/>
      <sz val="10"/>
      <name val="Times New Roman"/>
      <family val="1"/>
    </font>
    <font>
      <sz val="10"/>
      <color indexed="10"/>
      <name val="Times New Roman"/>
      <family val="1"/>
    </font>
    <font>
      <sz val="12"/>
      <name val="Geneva"/>
      <family val="0"/>
    </font>
    <font>
      <sz val="8"/>
      <name val="Tahoma"/>
      <family val="2"/>
    </font>
    <font>
      <sz val="10"/>
      <color indexed="24"/>
      <name val="Arial"/>
      <family val="2"/>
    </font>
    <font>
      <b/>
      <sz val="10"/>
      <name val="Arial"/>
      <family val="2"/>
    </font>
    <font>
      <sz val="9"/>
      <name val="Arial"/>
      <family val="2"/>
    </font>
    <font>
      <b/>
      <i/>
      <sz val="9"/>
      <name val="Arial"/>
      <family val="2"/>
    </font>
    <font>
      <b/>
      <sz val="9"/>
      <name val="Arial"/>
      <family val="2"/>
    </font>
    <font>
      <u val="single"/>
      <sz val="9"/>
      <name val="Arial"/>
      <family val="2"/>
    </font>
    <font>
      <sz val="9"/>
      <color indexed="8"/>
      <name val="Arial"/>
      <family val="2"/>
    </font>
    <font>
      <sz val="9"/>
      <name val="Times New Roman"/>
      <family val="1"/>
    </font>
    <font>
      <b/>
      <u val="single"/>
      <sz val="8"/>
      <name val="Arial"/>
      <family val="2"/>
    </font>
    <font>
      <b/>
      <sz val="8"/>
      <name val="Arial"/>
      <family val="2"/>
    </font>
    <font>
      <b/>
      <u val="single"/>
      <sz val="10"/>
      <name val="Arial"/>
      <family val="2"/>
    </font>
    <font>
      <sz val="10"/>
      <color indexed="12"/>
      <name val="Arial"/>
      <family val="2"/>
    </font>
    <font>
      <u val="single"/>
      <sz val="10"/>
      <name val="Arial"/>
      <family val="2"/>
    </font>
    <font>
      <sz val="10"/>
      <color indexed="8"/>
      <name val="Arial"/>
      <family val="2"/>
    </font>
    <font>
      <u val="single"/>
      <sz val="10"/>
      <color indexed="8"/>
      <name val="Arial"/>
      <family val="2"/>
    </font>
    <font>
      <b/>
      <sz val="12"/>
      <name val="Arial"/>
      <family val="2"/>
    </font>
    <font>
      <b/>
      <sz val="9"/>
      <name val="Times New Roman"/>
      <family val="1"/>
    </font>
    <font>
      <sz val="8"/>
      <color indexed="8"/>
      <name val="Arial"/>
      <family val="2"/>
    </font>
    <font>
      <b/>
      <sz val="8"/>
      <color indexed="8"/>
      <name val="Arial"/>
      <family val="2"/>
    </font>
    <font>
      <b/>
      <u val="double"/>
      <sz val="10"/>
      <name val="Arial"/>
      <family val="2"/>
    </font>
    <font>
      <sz val="8"/>
      <name val="Times New Roman"/>
      <family val="1"/>
    </font>
    <font>
      <sz val="8"/>
      <color indexed="10"/>
      <name val="Arial"/>
      <family val="2"/>
    </font>
    <font>
      <b/>
      <sz val="7"/>
      <name val="Arial"/>
      <family val="2"/>
    </font>
    <font>
      <b/>
      <u val="single"/>
      <sz val="9"/>
      <name val="Arial"/>
      <family val="2"/>
    </font>
    <font>
      <u val="single"/>
      <sz val="8"/>
      <color indexed="12"/>
      <name val="Arial"/>
      <family val="2"/>
    </font>
    <font>
      <u val="single"/>
      <sz val="8"/>
      <color indexed="36"/>
      <name val="Arial"/>
      <family val="2"/>
    </font>
    <font>
      <b/>
      <sz val="10"/>
      <color indexed="12"/>
      <name val="Arial"/>
      <family val="2"/>
    </font>
    <font>
      <sz val="8"/>
      <color indexed="12"/>
      <name val="Arial"/>
      <family val="2"/>
    </font>
    <font>
      <b/>
      <sz val="9"/>
      <color indexed="12"/>
      <name val="Arial"/>
      <family val="2"/>
    </font>
    <font>
      <sz val="9"/>
      <color indexed="12"/>
      <name val="Arial"/>
      <family val="2"/>
    </font>
    <font>
      <i/>
      <sz val="8"/>
      <color indexed="12"/>
      <name val="Arial"/>
      <family val="2"/>
    </font>
    <font>
      <sz val="12"/>
      <name val="MS Serif"/>
      <family val="1"/>
    </font>
    <font>
      <sz val="10"/>
      <name val="palatino"/>
      <family val="0"/>
    </font>
    <font>
      <b/>
      <u val="double"/>
      <sz val="10"/>
      <color indexed="8"/>
      <name val="Arial"/>
      <family val="2"/>
    </font>
    <font>
      <u val="double"/>
      <sz val="10"/>
      <color indexed="8"/>
      <name val="Arial"/>
      <family val="2"/>
    </font>
    <font>
      <u val="single"/>
      <sz val="8"/>
      <name val="Tahoma"/>
      <family val="2"/>
    </font>
    <font>
      <b/>
      <sz val="10"/>
      <color indexed="13"/>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48"/>
      <name val="Arial"/>
      <family val="2"/>
    </font>
    <font>
      <b/>
      <sz val="14"/>
      <name val="Arial"/>
      <family val="2"/>
    </font>
    <font>
      <b/>
      <sz val="16"/>
      <name val="Arial"/>
      <family val="2"/>
    </font>
    <font>
      <sz val="16"/>
      <name val="Times New Roman"/>
      <family val="1"/>
    </font>
    <font>
      <sz val="16"/>
      <name val="Arial"/>
      <family val="2"/>
    </font>
    <font>
      <i/>
      <u val="single"/>
      <sz val="9"/>
      <name val="Arial"/>
      <family val="2"/>
    </font>
    <font>
      <i/>
      <sz val="9"/>
      <name val="Arial"/>
      <family val="2"/>
    </font>
    <font>
      <sz val="9"/>
      <name val="Tahoma"/>
      <family val="2"/>
    </font>
    <font>
      <b/>
      <sz val="9"/>
      <name val="Tahoma"/>
      <family val="2"/>
    </font>
    <font>
      <i/>
      <sz val="10"/>
      <name val="Arial"/>
      <family val="2"/>
    </font>
    <font>
      <i/>
      <sz val="8"/>
      <name val="Arial"/>
      <family val="2"/>
    </font>
    <font>
      <i/>
      <sz val="12"/>
      <name val="Times New Roman"/>
      <family val="1"/>
    </font>
    <font>
      <sz val="12"/>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57"/>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color indexed="63"/>
      </right>
      <top style="thin"/>
      <bottom style="double"/>
    </border>
    <border>
      <left>
        <color indexed="63"/>
      </left>
      <right>
        <color indexed="63"/>
      </right>
      <top style="thin"/>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style="thin"/>
      <top style="double"/>
      <bottom>
        <color indexed="63"/>
      </bottom>
    </border>
    <border>
      <left>
        <color indexed="63"/>
      </left>
      <right>
        <color indexed="63"/>
      </right>
      <top>
        <color indexed="63"/>
      </top>
      <bottom style="double"/>
    </border>
    <border>
      <left style="thin"/>
      <right style="thin"/>
      <top>
        <color indexed="63"/>
      </top>
      <bottom style="double"/>
    </border>
  </borders>
  <cellStyleXfs count="77">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3" fontId="1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5" fontId="10" fillId="0" borderId="0" applyFont="0" applyFill="0" applyBorder="0" applyAlignment="0" applyProtection="0"/>
    <xf numFmtId="0" fontId="10" fillId="0" borderId="0" applyFont="0" applyFill="0" applyBorder="0" applyAlignment="0" applyProtection="0"/>
    <xf numFmtId="0" fontId="52" fillId="0" borderId="0" applyNumberFormat="0" applyFill="0" applyBorder="0" applyAlignment="0" applyProtection="0"/>
    <xf numFmtId="0" fontId="35" fillId="0" borderId="0" applyNumberFormat="0" applyFill="0" applyBorder="0" applyAlignment="0" applyProtection="0"/>
    <xf numFmtId="0" fontId="53"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4"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177" fontId="0" fillId="0" borderId="0">
      <alignment/>
      <protection/>
    </xf>
    <xf numFmtId="0" fontId="59" fillId="7" borderId="0" applyNumberFormat="0" applyBorder="0" applyAlignment="0" applyProtection="0"/>
    <xf numFmtId="0" fontId="3" fillId="0" borderId="0">
      <alignment/>
      <protection/>
    </xf>
    <xf numFmtId="0" fontId="3" fillId="0" borderId="0">
      <alignment/>
      <protection/>
    </xf>
    <xf numFmtId="0" fontId="41" fillId="0" borderId="0">
      <alignment/>
      <protection/>
    </xf>
    <xf numFmtId="37" fontId="3" fillId="0" borderId="0">
      <alignment/>
      <protection/>
    </xf>
    <xf numFmtId="37" fontId="3" fillId="0" borderId="0">
      <alignment/>
      <protection/>
    </xf>
    <xf numFmtId="37" fontId="3" fillId="0" borderId="0">
      <alignment/>
      <protection/>
    </xf>
    <xf numFmtId="37" fontId="12" fillId="0" borderId="0">
      <alignment/>
      <protection/>
    </xf>
    <xf numFmtId="10" fontId="3" fillId="0" borderId="0">
      <alignment/>
      <protection/>
    </xf>
    <xf numFmtId="0" fontId="3" fillId="0" borderId="0">
      <alignment/>
      <protection/>
    </xf>
    <xf numFmtId="0" fontId="1" fillId="0" borderId="0">
      <alignment/>
      <protection/>
    </xf>
    <xf numFmtId="0" fontId="12" fillId="4" borderId="7" applyNumberFormat="0" applyFont="0" applyAlignment="0" applyProtection="0"/>
    <xf numFmtId="0" fontId="60" fillId="16" borderId="8" applyNumberFormat="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8" fillId="0" borderId="0" applyNumberFormat="0" applyFill="0" applyBorder="0" applyAlignment="0" applyProtection="0"/>
  </cellStyleXfs>
  <cellXfs count="576">
    <xf numFmtId="37" fontId="0" fillId="0" borderId="0" xfId="0" applyAlignment="1">
      <alignment/>
    </xf>
    <xf numFmtId="0" fontId="4" fillId="0" borderId="0" xfId="61" applyFont="1">
      <alignment/>
      <protection/>
    </xf>
    <xf numFmtId="0" fontId="4" fillId="0" borderId="0" xfId="61" applyFont="1" applyFill="1">
      <alignment/>
      <protection/>
    </xf>
    <xf numFmtId="37" fontId="4" fillId="0" borderId="0" xfId="64" applyFont="1" applyAlignment="1" applyProtection="1">
      <alignment horizontal="center"/>
      <protection/>
    </xf>
    <xf numFmtId="37" fontId="4" fillId="0" borderId="0" xfId="64" applyFont="1" applyProtection="1">
      <alignment/>
      <protection/>
    </xf>
    <xf numFmtId="37" fontId="4" fillId="0" borderId="0" xfId="64" applyFont="1">
      <alignment/>
      <protection/>
    </xf>
    <xf numFmtId="37" fontId="4" fillId="0" borderId="0" xfId="64" applyFont="1" applyAlignment="1" applyProtection="1">
      <alignment horizontal="left"/>
      <protection/>
    </xf>
    <xf numFmtId="10" fontId="4" fillId="0" borderId="0" xfId="64" applyNumberFormat="1" applyFont="1" applyProtection="1">
      <alignment/>
      <protection/>
    </xf>
    <xf numFmtId="37" fontId="4" fillId="0" borderId="0" xfId="64" applyNumberFormat="1" applyFont="1" applyProtection="1">
      <alignment/>
      <protection/>
    </xf>
    <xf numFmtId="37" fontId="4" fillId="0" borderId="0" xfId="64" applyFont="1" applyAlignment="1">
      <alignment horizontal="center"/>
      <protection/>
    </xf>
    <xf numFmtId="15" fontId="4" fillId="0" borderId="0" xfId="64" applyNumberFormat="1" applyFont="1" applyProtection="1">
      <alignment/>
      <protection/>
    </xf>
    <xf numFmtId="7" fontId="4" fillId="0" borderId="0" xfId="64" applyNumberFormat="1" applyFont="1" applyProtection="1">
      <alignment/>
      <protection/>
    </xf>
    <xf numFmtId="168" fontId="4" fillId="0" borderId="0" xfId="64" applyNumberFormat="1" applyFont="1" applyProtection="1">
      <alignment/>
      <protection/>
    </xf>
    <xf numFmtId="1" fontId="4" fillId="0" borderId="0" xfId="68" applyNumberFormat="1" applyFont="1" applyProtection="1">
      <alignment/>
      <protection/>
    </xf>
    <xf numFmtId="10" fontId="4" fillId="0" borderId="0" xfId="68" applyFont="1">
      <alignment/>
      <protection/>
    </xf>
    <xf numFmtId="10" fontId="4" fillId="0" borderId="0" xfId="68" applyFont="1" applyAlignment="1">
      <alignment horizontal="centerContinuous"/>
      <protection/>
    </xf>
    <xf numFmtId="1" fontId="4" fillId="0" borderId="0" xfId="68" applyNumberFormat="1" applyFont="1" applyAlignment="1" applyProtection="1">
      <alignment horizontal="center"/>
      <protection/>
    </xf>
    <xf numFmtId="37" fontId="4" fillId="0" borderId="0" xfId="0" applyFont="1" applyAlignment="1">
      <alignment/>
    </xf>
    <xf numFmtId="5" fontId="4" fillId="0" borderId="0" xfId="68" applyNumberFormat="1" applyFont="1" applyProtection="1">
      <alignment/>
      <protection/>
    </xf>
    <xf numFmtId="165" fontId="4" fillId="0" borderId="0" xfId="68" applyNumberFormat="1" applyFont="1" applyProtection="1">
      <alignment/>
      <protection/>
    </xf>
    <xf numFmtId="10" fontId="4" fillId="0" borderId="0" xfId="68" applyNumberFormat="1" applyFont="1" applyProtection="1">
      <alignment/>
      <protection/>
    </xf>
    <xf numFmtId="37" fontId="4" fillId="0" borderId="0" xfId="65" applyFont="1">
      <alignment/>
      <protection/>
    </xf>
    <xf numFmtId="37" fontId="4" fillId="0" borderId="0" xfId="65" applyFont="1" applyAlignment="1" applyProtection="1">
      <alignment horizontal="center"/>
      <protection/>
    </xf>
    <xf numFmtId="37" fontId="6" fillId="0" borderId="0" xfId="65" applyFont="1" applyAlignment="1">
      <alignment horizontal="center"/>
      <protection/>
    </xf>
    <xf numFmtId="5" fontId="4" fillId="0" borderId="0" xfId="65" applyNumberFormat="1" applyFont="1">
      <alignment/>
      <protection/>
    </xf>
    <xf numFmtId="15" fontId="4" fillId="0" borderId="0" xfId="65" applyNumberFormat="1" applyFont="1" applyProtection="1">
      <alignment/>
      <protection/>
    </xf>
    <xf numFmtId="0" fontId="4" fillId="0" borderId="0" xfId="69" applyFont="1" applyAlignment="1" applyProtection="1">
      <alignment horizontal="left"/>
      <protection/>
    </xf>
    <xf numFmtId="0" fontId="8" fillId="0" borderId="0" xfId="69" applyFont="1">
      <alignment/>
      <protection/>
    </xf>
    <xf numFmtId="0" fontId="5" fillId="0" borderId="0" xfId="69" applyFont="1">
      <alignment/>
      <protection/>
    </xf>
    <xf numFmtId="5" fontId="5" fillId="0" borderId="0" xfId="69" applyNumberFormat="1" applyFont="1" applyProtection="1">
      <alignment/>
      <protection/>
    </xf>
    <xf numFmtId="37" fontId="2" fillId="0" borderId="0" xfId="64" applyFont="1" applyAlignment="1" applyProtection="1">
      <alignment horizontal="centerContinuous"/>
      <protection/>
    </xf>
    <xf numFmtId="37" fontId="12" fillId="0" borderId="0" xfId="0" applyFont="1" applyAlignment="1">
      <alignment/>
    </xf>
    <xf numFmtId="37" fontId="14" fillId="0" borderId="0" xfId="0" applyFont="1" applyAlignment="1">
      <alignment/>
    </xf>
    <xf numFmtId="15" fontId="12" fillId="0" borderId="0" xfId="0" applyNumberFormat="1" applyFont="1" applyAlignment="1">
      <alignment horizontal="left"/>
    </xf>
    <xf numFmtId="37" fontId="12" fillId="0" borderId="0" xfId="0" applyFont="1" applyBorder="1" applyAlignment="1">
      <alignment/>
    </xf>
    <xf numFmtId="37" fontId="15" fillId="0" borderId="0" xfId="0" applyFont="1" applyBorder="1" applyAlignment="1">
      <alignment horizontal="right"/>
    </xf>
    <xf numFmtId="37" fontId="15" fillId="0" borderId="0" xfId="0" applyFont="1" applyBorder="1" applyAlignment="1">
      <alignment horizontal="center"/>
    </xf>
    <xf numFmtId="14" fontId="12" fillId="0" borderId="0" xfId="0" applyNumberFormat="1" applyFont="1" applyFill="1" applyBorder="1" applyAlignment="1">
      <alignment/>
    </xf>
    <xf numFmtId="170" fontId="12" fillId="0" borderId="0" xfId="42" applyNumberFormat="1" applyFont="1" applyBorder="1" applyAlignment="1">
      <alignment/>
    </xf>
    <xf numFmtId="166" fontId="14" fillId="0" borderId="0" xfId="0" applyNumberFormat="1" applyFont="1" applyAlignment="1">
      <alignment horizontal="left"/>
    </xf>
    <xf numFmtId="166" fontId="4" fillId="0" borderId="0" xfId="65" applyNumberFormat="1" applyFont="1" applyFill="1">
      <alignment/>
      <protection/>
    </xf>
    <xf numFmtId="0" fontId="12" fillId="0" borderId="0" xfId="69" applyFont="1">
      <alignment/>
      <protection/>
    </xf>
    <xf numFmtId="0" fontId="13" fillId="0" borderId="0" xfId="69" applyFont="1" applyFill="1" applyAlignment="1" applyProtection="1" quotePrefix="1">
      <alignment horizontal="center"/>
      <protection/>
    </xf>
    <xf numFmtId="0" fontId="12" fillId="0" borderId="0" xfId="69" applyFont="1" applyFill="1">
      <alignment/>
      <protection/>
    </xf>
    <xf numFmtId="0" fontId="14" fillId="0" borderId="0" xfId="69" applyFont="1" applyFill="1" applyAlignment="1" applyProtection="1">
      <alignment horizontal="center"/>
      <protection/>
    </xf>
    <xf numFmtId="0" fontId="19" fillId="0" borderId="10" xfId="69" applyFont="1" applyFill="1" applyBorder="1" applyAlignment="1" applyProtection="1">
      <alignment horizontal="center" wrapText="1"/>
      <protection/>
    </xf>
    <xf numFmtId="0" fontId="18" fillId="0" borderId="10" xfId="69" applyFont="1" applyFill="1" applyBorder="1" applyAlignment="1">
      <alignment horizontal="center"/>
      <protection/>
    </xf>
    <xf numFmtId="7" fontId="12" fillId="0" borderId="0" xfId="69" applyNumberFormat="1" applyFont="1" applyFill="1">
      <alignment/>
      <protection/>
    </xf>
    <xf numFmtId="37" fontId="1" fillId="0" borderId="0" xfId="64" applyFont="1">
      <alignment/>
      <protection/>
    </xf>
    <xf numFmtId="37" fontId="11" fillId="0" borderId="0" xfId="64" applyFont="1">
      <alignment/>
      <protection/>
    </xf>
    <xf numFmtId="37" fontId="11" fillId="0" borderId="0" xfId="64" applyFont="1" applyAlignment="1" applyProtection="1">
      <alignment horizontal="center"/>
      <protection/>
    </xf>
    <xf numFmtId="37" fontId="20" fillId="0" borderId="0" xfId="64" applyFont="1" applyAlignment="1" applyProtection="1">
      <alignment horizontal="center"/>
      <protection/>
    </xf>
    <xf numFmtId="37" fontId="1" fillId="0" borderId="0" xfId="64" applyFont="1" applyAlignment="1" applyProtection="1">
      <alignment horizontal="left"/>
      <protection/>
    </xf>
    <xf numFmtId="37" fontId="1" fillId="0" borderId="0" xfId="64" applyFont="1" applyAlignment="1" applyProtection="1">
      <alignment horizontal="fill"/>
      <protection/>
    </xf>
    <xf numFmtId="37" fontId="1" fillId="0" borderId="0" xfId="64" applyFont="1" applyAlignment="1" applyProtection="1">
      <alignment horizontal="center"/>
      <protection/>
    </xf>
    <xf numFmtId="10" fontId="1" fillId="0" borderId="0" xfId="64" applyNumberFormat="1" applyFont="1" applyProtection="1">
      <alignment/>
      <protection/>
    </xf>
    <xf numFmtId="37" fontId="1" fillId="0" borderId="0" xfId="64" applyNumberFormat="1" applyFont="1" applyProtection="1">
      <alignment/>
      <protection/>
    </xf>
    <xf numFmtId="5" fontId="1" fillId="0" borderId="0" xfId="64" applyNumberFormat="1" applyFont="1" applyProtection="1">
      <alignment/>
      <protection/>
    </xf>
    <xf numFmtId="5" fontId="1" fillId="0" borderId="0" xfId="64" applyNumberFormat="1" applyFont="1">
      <alignment/>
      <protection/>
    </xf>
    <xf numFmtId="5" fontId="22" fillId="0" borderId="0" xfId="64" applyNumberFormat="1" applyFont="1">
      <alignment/>
      <protection/>
    </xf>
    <xf numFmtId="5" fontId="22" fillId="0" borderId="0" xfId="64" applyNumberFormat="1" applyFont="1" applyProtection="1">
      <alignment/>
      <protection/>
    </xf>
    <xf numFmtId="37" fontId="11" fillId="0" borderId="11" xfId="64" applyFont="1" applyBorder="1" applyAlignment="1" applyProtection="1">
      <alignment horizontal="left"/>
      <protection/>
    </xf>
    <xf numFmtId="5" fontId="11" fillId="0" borderId="12" xfId="64" applyNumberFormat="1" applyFont="1" applyBorder="1" applyProtection="1">
      <alignment/>
      <protection/>
    </xf>
    <xf numFmtId="5" fontId="11" fillId="0" borderId="12" xfId="64" applyNumberFormat="1" applyFont="1" applyBorder="1">
      <alignment/>
      <protection/>
    </xf>
    <xf numFmtId="5" fontId="23" fillId="0" borderId="0" xfId="64" applyNumberFormat="1" applyFont="1" applyFill="1" applyProtection="1">
      <alignment/>
      <protection/>
    </xf>
    <xf numFmtId="5" fontId="23" fillId="0" borderId="0" xfId="64" applyNumberFormat="1" applyFont="1" applyProtection="1">
      <alignment/>
      <protection/>
    </xf>
    <xf numFmtId="170" fontId="23" fillId="0" borderId="0" xfId="42" applyNumberFormat="1" applyFont="1" applyAlignment="1">
      <alignment/>
    </xf>
    <xf numFmtId="5" fontId="24" fillId="0" borderId="0" xfId="64" applyNumberFormat="1" applyFont="1">
      <alignment/>
      <protection/>
    </xf>
    <xf numFmtId="5" fontId="24" fillId="0" borderId="0" xfId="64" applyNumberFormat="1" applyFont="1" applyProtection="1">
      <alignment/>
      <protection/>
    </xf>
    <xf numFmtId="37" fontId="0" fillId="0" borderId="0" xfId="0" applyBorder="1" applyAlignment="1">
      <alignment/>
    </xf>
    <xf numFmtId="0" fontId="4" fillId="0" borderId="0" xfId="61" applyFont="1" applyBorder="1">
      <alignment/>
      <protection/>
    </xf>
    <xf numFmtId="0" fontId="14" fillId="0" borderId="0" xfId="61" applyFont="1" applyAlignment="1">
      <alignment horizontal="centerContinuous"/>
      <protection/>
    </xf>
    <xf numFmtId="10" fontId="11" fillId="0" borderId="0" xfId="68" applyFont="1" applyAlignment="1">
      <alignment horizontal="centerContinuous"/>
      <protection/>
    </xf>
    <xf numFmtId="10" fontId="1" fillId="0" borderId="0" xfId="68" applyFont="1">
      <alignment/>
      <protection/>
    </xf>
    <xf numFmtId="10" fontId="1" fillId="0" borderId="0" xfId="68" applyFont="1" applyAlignment="1">
      <alignment horizontal="center"/>
      <protection/>
    </xf>
    <xf numFmtId="10" fontId="11" fillId="0" borderId="0" xfId="68" applyFont="1" applyAlignment="1">
      <alignment horizontal="center"/>
      <protection/>
    </xf>
    <xf numFmtId="10" fontId="11" fillId="0" borderId="0" xfId="68" applyFont="1" applyAlignment="1" applyProtection="1">
      <alignment horizontal="center"/>
      <protection/>
    </xf>
    <xf numFmtId="10" fontId="20" fillId="0" borderId="0" xfId="68" applyFont="1" applyAlignment="1" applyProtection="1">
      <alignment horizontal="center"/>
      <protection/>
    </xf>
    <xf numFmtId="10" fontId="1" fillId="0" borderId="0" xfId="68" applyFont="1" applyAlignment="1" applyProtection="1">
      <alignment horizontal="left"/>
      <protection/>
    </xf>
    <xf numFmtId="10" fontId="11" fillId="0" borderId="0" xfId="68" applyFont="1" applyAlignment="1" applyProtection="1">
      <alignment horizontal="left"/>
      <protection/>
    </xf>
    <xf numFmtId="10" fontId="11" fillId="0" borderId="0" xfId="68" applyFont="1">
      <alignment/>
      <protection/>
    </xf>
    <xf numFmtId="10" fontId="1" fillId="0" borderId="0" xfId="68" applyFont="1" applyBorder="1">
      <alignment/>
      <protection/>
    </xf>
    <xf numFmtId="0" fontId="14" fillId="0" borderId="0" xfId="69" applyFont="1" applyFill="1" applyBorder="1" applyAlignment="1" applyProtection="1" quotePrefix="1">
      <alignment horizontal="left"/>
      <protection/>
    </xf>
    <xf numFmtId="0" fontId="19" fillId="0" borderId="10" xfId="69" applyFont="1" applyFill="1" applyBorder="1" applyAlignment="1" applyProtection="1">
      <alignment horizontal="left"/>
      <protection/>
    </xf>
    <xf numFmtId="168" fontId="12" fillId="0" borderId="0" xfId="69" applyNumberFormat="1" applyFont="1" applyFill="1" applyAlignment="1">
      <alignment horizontal="left"/>
      <protection/>
    </xf>
    <xf numFmtId="15" fontId="12" fillId="0" borderId="0" xfId="69" applyNumberFormat="1" applyFont="1" applyFill="1" applyAlignment="1">
      <alignment horizontal="center"/>
      <protection/>
    </xf>
    <xf numFmtId="174" fontId="12" fillId="0" borderId="0" xfId="69" applyNumberFormat="1" applyFont="1" applyFill="1">
      <alignment/>
      <protection/>
    </xf>
    <xf numFmtId="15" fontId="26" fillId="0" borderId="0" xfId="69" applyNumberFormat="1" applyFont="1" applyBorder="1" applyAlignment="1">
      <alignment horizontal="left"/>
      <protection/>
    </xf>
    <xf numFmtId="0" fontId="17" fillId="0" borderId="0" xfId="69" applyFont="1">
      <alignment/>
      <protection/>
    </xf>
    <xf numFmtId="0" fontId="26" fillId="0" borderId="0" xfId="69" applyFont="1" applyAlignment="1" quotePrefix="1">
      <alignment horizontal="left"/>
      <protection/>
    </xf>
    <xf numFmtId="37" fontId="26" fillId="0" borderId="0" xfId="0" applyFont="1" applyBorder="1" applyAlignment="1">
      <alignment/>
    </xf>
    <xf numFmtId="37" fontId="17" fillId="0" borderId="0" xfId="0" applyFont="1" applyBorder="1" applyAlignment="1">
      <alignment/>
    </xf>
    <xf numFmtId="172" fontId="14" fillId="0" borderId="0" xfId="69" applyNumberFormat="1" applyFont="1" applyFill="1" applyAlignment="1">
      <alignment horizontal="left"/>
      <protection/>
    </xf>
    <xf numFmtId="39" fontId="0" fillId="0" borderId="0" xfId="0" applyNumberFormat="1" applyAlignment="1">
      <alignment/>
    </xf>
    <xf numFmtId="37" fontId="0" fillId="0" borderId="13" xfId="0" applyFont="1" applyBorder="1" applyAlignment="1">
      <alignment/>
    </xf>
    <xf numFmtId="37" fontId="14" fillId="0" borderId="0" xfId="0" applyFont="1" applyBorder="1" applyAlignment="1">
      <alignment horizontal="left"/>
    </xf>
    <xf numFmtId="37" fontId="19" fillId="0" borderId="0" xfId="64" applyFont="1" applyAlignment="1" applyProtection="1">
      <alignment horizontal="center"/>
      <protection/>
    </xf>
    <xf numFmtId="37" fontId="0" fillId="0" borderId="0" xfId="66" applyFont="1" applyBorder="1" applyAlignment="1" applyProtection="1">
      <alignment horizontal="left"/>
      <protection/>
    </xf>
    <xf numFmtId="1" fontId="12" fillId="0" borderId="0" xfId="68" applyNumberFormat="1" applyFont="1" applyAlignment="1" applyProtection="1">
      <alignment horizontal="center"/>
      <protection/>
    </xf>
    <xf numFmtId="37" fontId="14" fillId="0" borderId="0" xfId="64" applyFont="1" applyAlignment="1" applyProtection="1">
      <alignment horizontal="left"/>
      <protection/>
    </xf>
    <xf numFmtId="37" fontId="0" fillId="0" borderId="0" xfId="65" applyNumberFormat="1" applyFont="1" applyAlignment="1">
      <alignment horizontal="center"/>
      <protection/>
    </xf>
    <xf numFmtId="37" fontId="30" fillId="0" borderId="0" xfId="65" applyFont="1">
      <alignment/>
      <protection/>
    </xf>
    <xf numFmtId="37" fontId="19" fillId="0" borderId="0" xfId="65" applyNumberFormat="1" applyFont="1">
      <alignment/>
      <protection/>
    </xf>
    <xf numFmtId="37" fontId="0" fillId="0" borderId="0" xfId="65" applyNumberFormat="1" applyFont="1">
      <alignment/>
      <protection/>
    </xf>
    <xf numFmtId="37" fontId="0" fillId="0" borderId="0" xfId="0" applyNumberFormat="1" applyFont="1" applyAlignment="1">
      <alignment/>
    </xf>
    <xf numFmtId="171" fontId="0" fillId="0" borderId="0" xfId="0" applyNumberFormat="1" applyFont="1" applyAlignment="1">
      <alignment/>
    </xf>
    <xf numFmtId="37" fontId="19" fillId="0" borderId="0" xfId="65" applyNumberFormat="1" applyFont="1" applyAlignment="1" applyProtection="1">
      <alignment horizontal="left"/>
      <protection/>
    </xf>
    <xf numFmtId="38" fontId="1" fillId="0" borderId="0" xfId="68" applyNumberFormat="1" applyFont="1">
      <alignment/>
      <protection/>
    </xf>
    <xf numFmtId="0" fontId="0" fillId="0" borderId="0" xfId="61" applyFont="1" applyAlignment="1" applyProtection="1">
      <alignment horizontal="left"/>
      <protection/>
    </xf>
    <xf numFmtId="0" fontId="0" fillId="0" borderId="0" xfId="61" applyFont="1">
      <alignment/>
      <protection/>
    </xf>
    <xf numFmtId="0" fontId="19" fillId="0" borderId="0" xfId="61" applyFont="1" applyAlignment="1" applyProtection="1">
      <alignment horizontal="left"/>
      <protection/>
    </xf>
    <xf numFmtId="37" fontId="12" fillId="0" borderId="14" xfId="0" applyFont="1" applyBorder="1" applyAlignment="1">
      <alignment horizontal="centerContinuous"/>
    </xf>
    <xf numFmtId="7" fontId="12" fillId="0" borderId="0" xfId="45" applyNumberFormat="1" applyFont="1" applyBorder="1" applyAlignment="1">
      <alignment/>
    </xf>
    <xf numFmtId="5" fontId="12" fillId="0" borderId="0" xfId="69" applyNumberFormat="1" applyFont="1" applyProtection="1">
      <alignment/>
      <protection/>
    </xf>
    <xf numFmtId="37" fontId="0" fillId="0" borderId="15" xfId="0" applyBorder="1" applyAlignment="1">
      <alignment/>
    </xf>
    <xf numFmtId="37" fontId="0" fillId="0" borderId="16" xfId="0" applyBorder="1" applyAlignment="1">
      <alignment/>
    </xf>
    <xf numFmtId="37" fontId="0" fillId="0" borderId="17" xfId="0" applyBorder="1" applyAlignment="1">
      <alignment/>
    </xf>
    <xf numFmtId="37" fontId="0" fillId="0" borderId="18" xfId="0" applyBorder="1" applyAlignment="1">
      <alignment/>
    </xf>
    <xf numFmtId="166" fontId="0" fillId="0" borderId="0" xfId="65" applyNumberFormat="1" applyFont="1" applyFill="1" applyAlignment="1">
      <alignment horizontal="centerContinuous"/>
      <protection/>
    </xf>
    <xf numFmtId="166" fontId="0" fillId="0" borderId="0" xfId="0" applyNumberFormat="1" applyFont="1" applyFill="1" applyAlignment="1">
      <alignment horizontal="centerContinuous"/>
    </xf>
    <xf numFmtId="166" fontId="0" fillId="0" borderId="0" xfId="65" applyNumberFormat="1" applyFont="1" applyFill="1" applyAlignment="1" applyProtection="1">
      <alignment horizontal="centerContinuous"/>
      <protection/>
    </xf>
    <xf numFmtId="37" fontId="0" fillId="0" borderId="0" xfId="0" applyFont="1" applyAlignment="1">
      <alignment/>
    </xf>
    <xf numFmtId="14" fontId="0" fillId="0" borderId="0" xfId="0" applyNumberFormat="1" applyFont="1" applyBorder="1" applyAlignment="1">
      <alignment/>
    </xf>
    <xf numFmtId="37" fontId="19" fillId="0" borderId="0" xfId="0" applyFont="1" applyBorder="1" applyAlignment="1">
      <alignment/>
    </xf>
    <xf numFmtId="5" fontId="1" fillId="0" borderId="0" xfId="42" applyNumberFormat="1" applyFont="1" applyAlignment="1" applyProtection="1">
      <alignment/>
      <protection/>
    </xf>
    <xf numFmtId="10" fontId="1" fillId="0" borderId="0" xfId="68" applyFont="1" applyAlignment="1" applyProtection="1">
      <alignment/>
      <protection/>
    </xf>
    <xf numFmtId="5" fontId="1" fillId="0" borderId="0" xfId="68" applyNumberFormat="1" applyFont="1" applyAlignment="1" applyProtection="1">
      <alignment/>
      <protection/>
    </xf>
    <xf numFmtId="10" fontId="1" fillId="0" borderId="0" xfId="68" applyFont="1" applyBorder="1" applyAlignment="1" applyProtection="1">
      <alignment/>
      <protection/>
    </xf>
    <xf numFmtId="5" fontId="1" fillId="0" borderId="0" xfId="68" applyNumberFormat="1" applyFont="1" applyAlignment="1">
      <alignment/>
      <protection/>
    </xf>
    <xf numFmtId="10" fontId="1" fillId="0" borderId="0" xfId="68" applyFont="1" applyAlignment="1">
      <alignment/>
      <protection/>
    </xf>
    <xf numFmtId="5" fontId="22" fillId="0" borderId="0" xfId="68" applyNumberFormat="1" applyFont="1" applyBorder="1" applyAlignment="1" applyProtection="1">
      <alignment/>
      <protection/>
    </xf>
    <xf numFmtId="165" fontId="1" fillId="0" borderId="0" xfId="68" applyNumberFormat="1" applyFont="1" applyBorder="1" applyAlignment="1" applyProtection="1">
      <alignment/>
      <protection/>
    </xf>
    <xf numFmtId="10" fontId="1" fillId="0" borderId="0" xfId="68" applyFont="1" applyBorder="1" applyAlignment="1">
      <alignment/>
      <protection/>
    </xf>
    <xf numFmtId="5" fontId="29" fillId="0" borderId="0" xfId="68" applyNumberFormat="1" applyFont="1" applyBorder="1" applyAlignment="1" applyProtection="1">
      <alignment/>
      <protection/>
    </xf>
    <xf numFmtId="10" fontId="29" fillId="0" borderId="0" xfId="68" applyFont="1" applyBorder="1" applyAlignment="1">
      <alignment/>
      <protection/>
    </xf>
    <xf numFmtId="37" fontId="0" fillId="0" borderId="0" xfId="65" applyNumberFormat="1" applyFont="1" applyAlignment="1">
      <alignment horizontal="right"/>
      <protection/>
    </xf>
    <xf numFmtId="37" fontId="32" fillId="0" borderId="0" xfId="64" applyFont="1" applyAlignment="1" applyProtection="1">
      <alignment horizontal="center"/>
      <protection/>
    </xf>
    <xf numFmtId="10" fontId="1" fillId="0" borderId="0" xfId="68" applyNumberFormat="1" applyFont="1" applyAlignment="1" applyProtection="1">
      <alignment/>
      <protection/>
    </xf>
    <xf numFmtId="10" fontId="0" fillId="0" borderId="0" xfId="0" applyNumberFormat="1" applyFont="1" applyAlignment="1">
      <alignment/>
    </xf>
    <xf numFmtId="37" fontId="14" fillId="0" borderId="0" xfId="0" applyFont="1" applyFill="1" applyBorder="1" applyAlignment="1">
      <alignment horizontal="left"/>
    </xf>
    <xf numFmtId="37" fontId="12" fillId="0" borderId="15" xfId="0" applyFont="1" applyBorder="1" applyAlignment="1">
      <alignment horizontal="centerContinuous"/>
    </xf>
    <xf numFmtId="37" fontId="14" fillId="0" borderId="16" xfId="0" applyFont="1" applyFill="1" applyBorder="1" applyAlignment="1">
      <alignment horizontal="left"/>
    </xf>
    <xf numFmtId="170" fontId="12" fillId="0" borderId="17" xfId="42" applyNumberFormat="1" applyFont="1" applyBorder="1" applyAlignment="1">
      <alignment/>
    </xf>
    <xf numFmtId="37" fontId="19" fillId="0" borderId="17" xfId="0" applyFont="1" applyBorder="1" applyAlignment="1">
      <alignment/>
    </xf>
    <xf numFmtId="37" fontId="0" fillId="0" borderId="19" xfId="0" applyBorder="1" applyAlignment="1">
      <alignment/>
    </xf>
    <xf numFmtId="37" fontId="14" fillId="0" borderId="18" xfId="0" applyFont="1" applyFill="1" applyBorder="1" applyAlignment="1">
      <alignment horizontal="left"/>
    </xf>
    <xf numFmtId="7" fontId="12" fillId="0" borderId="18" xfId="45" applyNumberFormat="1" applyFont="1" applyBorder="1" applyAlignment="1">
      <alignment/>
    </xf>
    <xf numFmtId="10" fontId="11" fillId="0" borderId="0" xfId="64" applyNumberFormat="1" applyFont="1" applyProtection="1">
      <alignment/>
      <protection/>
    </xf>
    <xf numFmtId="37" fontId="0" fillId="0" borderId="0" xfId="64" applyFont="1" applyAlignment="1" applyProtection="1">
      <alignment horizontal="center"/>
      <protection/>
    </xf>
    <xf numFmtId="1" fontId="0" fillId="0" borderId="0" xfId="68" applyNumberFormat="1" applyFont="1" applyAlignment="1" applyProtection="1">
      <alignment horizontal="center"/>
      <protection/>
    </xf>
    <xf numFmtId="5" fontId="1" fillId="0" borderId="0" xfId="68" applyNumberFormat="1" applyFont="1">
      <alignment/>
      <protection/>
    </xf>
    <xf numFmtId="1" fontId="12" fillId="0" borderId="0" xfId="68" applyNumberFormat="1" applyFont="1" applyFill="1" applyAlignment="1" applyProtection="1">
      <alignment horizontal="center"/>
      <protection/>
    </xf>
    <xf numFmtId="164" fontId="0" fillId="0" borderId="0" xfId="61" applyNumberFormat="1" applyFont="1" applyFill="1" applyBorder="1" applyProtection="1">
      <alignment/>
      <protection/>
    </xf>
    <xf numFmtId="0" fontId="14" fillId="0" borderId="0" xfId="69" applyFont="1" applyFill="1" applyBorder="1" applyAlignment="1" applyProtection="1" quotePrefix="1">
      <alignment horizontal="centerContinuous" vertical="center" wrapText="1"/>
      <protection/>
    </xf>
    <xf numFmtId="172" fontId="38" fillId="0" borderId="0" xfId="69" applyNumberFormat="1" applyFont="1" applyFill="1" applyBorder="1" applyAlignment="1" applyProtection="1" quotePrefix="1">
      <alignment horizontal="centerContinuous" vertical="center" wrapText="1"/>
      <protection/>
    </xf>
    <xf numFmtId="168" fontId="12" fillId="0" borderId="0" xfId="73" applyNumberFormat="1" applyFont="1" applyAlignment="1">
      <alignment/>
    </xf>
    <xf numFmtId="178" fontId="12" fillId="0" borderId="0" xfId="73" applyNumberFormat="1" applyFont="1" applyAlignment="1">
      <alignment/>
    </xf>
    <xf numFmtId="37" fontId="12" fillId="0" borderId="16" xfId="0" applyFont="1" applyFill="1" applyBorder="1" applyAlignment="1">
      <alignment/>
    </xf>
    <xf numFmtId="37" fontId="12" fillId="0" borderId="0" xfId="0" applyFont="1" applyFill="1" applyBorder="1" applyAlignment="1">
      <alignment/>
    </xf>
    <xf numFmtId="44" fontId="16" fillId="0" borderId="0" xfId="45" applyFont="1" applyFill="1" applyBorder="1" applyAlignment="1">
      <alignment/>
    </xf>
    <xf numFmtId="167" fontId="16" fillId="0" borderId="0" xfId="0" applyNumberFormat="1" applyFont="1" applyFill="1" applyBorder="1" applyAlignment="1">
      <alignment/>
    </xf>
    <xf numFmtId="37" fontId="12" fillId="0" borderId="18" xfId="0" applyFont="1" applyFill="1" applyBorder="1" applyAlignment="1">
      <alignment/>
    </xf>
    <xf numFmtId="170" fontId="12" fillId="0" borderId="0" xfId="42" applyNumberFormat="1" applyFont="1" applyFill="1" applyBorder="1" applyAlignment="1">
      <alignment/>
    </xf>
    <xf numFmtId="168" fontId="23" fillId="0" borderId="0" xfId="64" applyNumberFormat="1" applyFont="1" applyProtection="1">
      <alignment/>
      <protection/>
    </xf>
    <xf numFmtId="168" fontId="23" fillId="0" borderId="0" xfId="64" applyNumberFormat="1" applyFont="1">
      <alignment/>
      <protection/>
    </xf>
    <xf numFmtId="37" fontId="12" fillId="0" borderId="0" xfId="0" applyFont="1" applyFill="1" applyBorder="1" applyAlignment="1">
      <alignment horizontal="center"/>
    </xf>
    <xf numFmtId="37" fontId="15" fillId="0" borderId="0" xfId="0" applyFont="1" applyFill="1" applyBorder="1" applyAlignment="1">
      <alignment horizontal="center"/>
    </xf>
    <xf numFmtId="10" fontId="19" fillId="2" borderId="20" xfId="65" applyNumberFormat="1" applyFont="1" applyFill="1" applyBorder="1" applyProtection="1">
      <alignment/>
      <protection/>
    </xf>
    <xf numFmtId="10" fontId="11" fillId="2" borderId="20" xfId="64" applyNumberFormat="1" applyFont="1" applyFill="1" applyBorder="1" applyAlignment="1" applyProtection="1">
      <alignment horizontal="center"/>
      <protection/>
    </xf>
    <xf numFmtId="37" fontId="12" fillId="0" borderId="0" xfId="0" applyFont="1" applyBorder="1" applyAlignment="1">
      <alignment horizontal="center"/>
    </xf>
    <xf numFmtId="37" fontId="31" fillId="0" borderId="0" xfId="0" applyFont="1" applyAlignment="1">
      <alignment horizontal="right"/>
    </xf>
    <xf numFmtId="0" fontId="19" fillId="0" borderId="0" xfId="69" applyFont="1" applyFill="1" applyBorder="1" applyAlignment="1" applyProtection="1">
      <alignment horizontal="center" wrapText="1"/>
      <protection/>
    </xf>
    <xf numFmtId="37" fontId="19" fillId="0" borderId="0" xfId="0" applyFont="1" applyFill="1" applyBorder="1" applyAlignment="1">
      <alignment/>
    </xf>
    <xf numFmtId="10" fontId="29" fillId="0" borderId="0" xfId="68" applyNumberFormat="1" applyFont="1" applyBorder="1" applyAlignment="1" applyProtection="1">
      <alignment/>
      <protection/>
    </xf>
    <xf numFmtId="0" fontId="0" fillId="0" borderId="12" xfId="61" applyFont="1" applyBorder="1" applyAlignment="1" applyProtection="1">
      <alignment horizontal="left"/>
      <protection/>
    </xf>
    <xf numFmtId="0" fontId="0" fillId="0" borderId="0" xfId="61" applyFont="1" applyBorder="1" applyAlignment="1" applyProtection="1">
      <alignment horizontal="left"/>
      <protection/>
    </xf>
    <xf numFmtId="175" fontId="0" fillId="0" borderId="12" xfId="61" applyNumberFormat="1" applyFont="1" applyFill="1" applyBorder="1" applyProtection="1">
      <alignment/>
      <protection/>
    </xf>
    <xf numFmtId="0" fontId="0" fillId="0" borderId="0" xfId="61" applyFont="1" applyBorder="1" applyAlignment="1" applyProtection="1">
      <alignment horizontal="left" indent="1"/>
      <protection/>
    </xf>
    <xf numFmtId="0" fontId="0" fillId="0" borderId="12" xfId="61" applyFont="1" applyBorder="1" applyAlignment="1" applyProtection="1">
      <alignment horizontal="left" indent="2"/>
      <protection/>
    </xf>
    <xf numFmtId="0" fontId="14" fillId="0" borderId="0" xfId="69" applyFont="1" applyFill="1" applyAlignment="1" applyProtection="1">
      <alignment horizontal="left"/>
      <protection/>
    </xf>
    <xf numFmtId="0" fontId="5" fillId="0" borderId="0" xfId="69" applyFont="1" applyFill="1">
      <alignment/>
      <protection/>
    </xf>
    <xf numFmtId="1" fontId="12" fillId="0" borderId="0" xfId="69" applyNumberFormat="1" applyFont="1" applyFill="1" applyAlignment="1" applyProtection="1">
      <alignment horizontal="center"/>
      <protection/>
    </xf>
    <xf numFmtId="0" fontId="5" fillId="0" borderId="0" xfId="69" applyFont="1" applyAlignment="1">
      <alignment horizontal="center"/>
      <protection/>
    </xf>
    <xf numFmtId="37" fontId="4" fillId="0" borderId="0" xfId="68" applyNumberFormat="1" applyFont="1">
      <alignment/>
      <protection/>
    </xf>
    <xf numFmtId="37" fontId="15" fillId="0" borderId="0" xfId="0" applyFont="1" applyAlignment="1">
      <alignment/>
    </xf>
    <xf numFmtId="37" fontId="12" fillId="0" borderId="0" xfId="0" applyFont="1" applyAlignment="1">
      <alignment horizontal="center"/>
    </xf>
    <xf numFmtId="167" fontId="4" fillId="0" borderId="0" xfId="68" applyNumberFormat="1" applyFont="1">
      <alignment/>
      <protection/>
    </xf>
    <xf numFmtId="10" fontId="7" fillId="0" borderId="0" xfId="68" applyFont="1">
      <alignment/>
      <protection/>
    </xf>
    <xf numFmtId="14" fontId="12" fillId="0" borderId="16" xfId="0" applyNumberFormat="1" applyFont="1" applyFill="1" applyBorder="1" applyAlignment="1">
      <alignment/>
    </xf>
    <xf numFmtId="10" fontId="29" fillId="0" borderId="0" xfId="68" applyNumberFormat="1" applyFont="1" applyFill="1" applyBorder="1" applyAlignment="1" applyProtection="1">
      <alignment/>
      <protection/>
    </xf>
    <xf numFmtId="10" fontId="19" fillId="0" borderId="0" xfId="65" applyNumberFormat="1" applyFont="1" applyFill="1" applyBorder="1" applyProtection="1">
      <alignment/>
      <protection/>
    </xf>
    <xf numFmtId="0" fontId="19" fillId="0" borderId="0" xfId="69" applyFont="1" applyFill="1" applyAlignment="1" applyProtection="1">
      <alignment horizontal="center"/>
      <protection/>
    </xf>
    <xf numFmtId="0" fontId="19" fillId="0" borderId="0" xfId="69" applyFont="1" applyFill="1" applyAlignment="1">
      <alignment horizontal="center"/>
      <protection/>
    </xf>
    <xf numFmtId="182" fontId="21" fillId="0" borderId="0" xfId="68" applyNumberFormat="1" applyFont="1" applyBorder="1" applyAlignment="1">
      <alignment horizontal="center"/>
      <protection/>
    </xf>
    <xf numFmtId="37" fontId="1" fillId="0" borderId="0" xfId="68" applyNumberFormat="1" applyFont="1" applyBorder="1" applyAlignment="1">
      <alignment horizontal="center"/>
      <protection/>
    </xf>
    <xf numFmtId="10" fontId="21" fillId="0" borderId="0" xfId="68" applyFont="1" applyBorder="1" applyAlignment="1" applyProtection="1">
      <alignment/>
      <protection/>
    </xf>
    <xf numFmtId="10" fontId="1" fillId="0" borderId="0" xfId="68" applyNumberFormat="1" applyFont="1" applyBorder="1" applyAlignment="1" applyProtection="1">
      <alignment/>
      <protection/>
    </xf>
    <xf numFmtId="166" fontId="14" fillId="0" borderId="0" xfId="0" applyNumberFormat="1" applyFont="1" applyFill="1" applyBorder="1" applyAlignment="1">
      <alignment horizontal="centerContinuous" vertical="center" wrapText="1"/>
    </xf>
    <xf numFmtId="37" fontId="12" fillId="0" borderId="0" xfId="0" applyFont="1" applyFill="1" applyBorder="1" applyAlignment="1">
      <alignment horizontal="centerContinuous" vertical="center" wrapText="1"/>
    </xf>
    <xf numFmtId="37" fontId="12" fillId="0" borderId="0" xfId="0" applyFont="1" applyBorder="1" applyAlignment="1">
      <alignment horizontal="left" vertical="center" wrapText="1"/>
    </xf>
    <xf numFmtId="5" fontId="12" fillId="0" borderId="0" xfId="45" applyNumberFormat="1" applyFont="1" applyFill="1" applyBorder="1" applyAlignment="1">
      <alignment/>
    </xf>
    <xf numFmtId="37" fontId="19" fillId="0" borderId="0" xfId="64" applyFont="1" applyAlignment="1" applyProtection="1" quotePrefix="1">
      <alignment horizontal="center"/>
      <protection/>
    </xf>
    <xf numFmtId="10" fontId="0" fillId="0" borderId="0" xfId="0" applyNumberFormat="1" applyFont="1" applyFill="1" applyAlignment="1">
      <alignment/>
    </xf>
    <xf numFmtId="14" fontId="14" fillId="0" borderId="16" xfId="0" applyNumberFormat="1" applyFont="1" applyFill="1" applyBorder="1" applyAlignment="1">
      <alignment/>
    </xf>
    <xf numFmtId="14" fontId="12" fillId="0" borderId="16" xfId="0" applyNumberFormat="1" applyFont="1" applyFill="1" applyBorder="1" applyAlignment="1">
      <alignment horizontal="left" indent="1"/>
    </xf>
    <xf numFmtId="0" fontId="14" fillId="0" borderId="0" xfId="69" applyFont="1" applyAlignment="1" applyProtection="1">
      <alignment horizontal="left"/>
      <protection/>
    </xf>
    <xf numFmtId="181" fontId="11" fillId="0" borderId="0" xfId="68" applyNumberFormat="1" applyFont="1" applyBorder="1" applyAlignment="1" applyProtection="1">
      <alignment horizontal="centerContinuous" vertical="center" wrapText="1"/>
      <protection/>
    </xf>
    <xf numFmtId="181" fontId="14" fillId="0" borderId="0" xfId="65" applyNumberFormat="1" applyFont="1" applyFill="1" applyAlignment="1" applyProtection="1">
      <alignment horizontal="centerContinuous"/>
      <protection/>
    </xf>
    <xf numFmtId="168" fontId="12" fillId="0" borderId="0" xfId="0" applyNumberFormat="1" applyFont="1" applyFill="1" applyBorder="1" applyAlignment="1">
      <alignment horizontal="center"/>
    </xf>
    <xf numFmtId="5" fontId="30" fillId="0" borderId="0" xfId="65" applyNumberFormat="1" applyFont="1" applyFill="1">
      <alignment/>
      <protection/>
    </xf>
    <xf numFmtId="5" fontId="4" fillId="0" borderId="0" xfId="65" applyNumberFormat="1" applyFont="1" applyFill="1">
      <alignment/>
      <protection/>
    </xf>
    <xf numFmtId="175" fontId="0" fillId="0" borderId="0" xfId="61" applyNumberFormat="1" applyFont="1" applyFill="1" applyProtection="1">
      <alignment/>
      <protection/>
    </xf>
    <xf numFmtId="175" fontId="19" fillId="0" borderId="0" xfId="61" applyNumberFormat="1" applyFont="1" applyFill="1" applyProtection="1">
      <alignment/>
      <protection/>
    </xf>
    <xf numFmtId="37" fontId="39" fillId="0" borderId="0" xfId="0" applyFont="1" applyAlignment="1">
      <alignment/>
    </xf>
    <xf numFmtId="175" fontId="0" fillId="0" borderId="0" xfId="61" applyNumberFormat="1" applyFont="1" applyFill="1" applyBorder="1" applyProtection="1">
      <alignment/>
      <protection/>
    </xf>
    <xf numFmtId="37" fontId="0" fillId="0" borderId="0" xfId="0" applyFont="1" applyFill="1" applyBorder="1" applyAlignment="1">
      <alignment/>
    </xf>
    <xf numFmtId="170" fontId="12" fillId="0" borderId="0" xfId="45" applyNumberFormat="1" applyFont="1" applyBorder="1" applyAlignment="1">
      <alignment/>
    </xf>
    <xf numFmtId="14" fontId="12" fillId="0" borderId="0" xfId="0" applyNumberFormat="1" applyFont="1" applyFill="1" applyBorder="1" applyAlignment="1">
      <alignment/>
    </xf>
    <xf numFmtId="37" fontId="0" fillId="0" borderId="0" xfId="0" applyFont="1" applyAlignment="1">
      <alignment/>
    </xf>
    <xf numFmtId="168" fontId="0" fillId="0" borderId="0" xfId="0" applyNumberFormat="1" applyFont="1" applyAlignment="1">
      <alignment/>
    </xf>
    <xf numFmtId="17" fontId="0" fillId="0" borderId="0" xfId="0" applyNumberFormat="1" applyFont="1" applyAlignment="1">
      <alignment horizontal="center"/>
    </xf>
    <xf numFmtId="39" fontId="0" fillId="0" borderId="0" xfId="0" applyNumberFormat="1" applyFont="1" applyFill="1" applyAlignment="1">
      <alignment horizontal="center"/>
    </xf>
    <xf numFmtId="37" fontId="0" fillId="0" borderId="0" xfId="65" applyNumberFormat="1" applyFont="1" applyAlignment="1" applyProtection="1">
      <alignment/>
      <protection/>
    </xf>
    <xf numFmtId="17" fontId="0" fillId="0" borderId="0" xfId="65" applyNumberFormat="1" applyFont="1" applyProtection="1">
      <alignment/>
      <protection/>
    </xf>
    <xf numFmtId="17" fontId="0" fillId="0" borderId="0" xfId="65" applyNumberFormat="1" applyFont="1" applyAlignment="1" applyProtection="1">
      <alignment horizontal="center"/>
      <protection/>
    </xf>
    <xf numFmtId="171" fontId="0" fillId="0" borderId="0" xfId="0" applyNumberFormat="1" applyFont="1" applyFill="1" applyAlignment="1">
      <alignment horizontal="center"/>
    </xf>
    <xf numFmtId="175" fontId="19" fillId="0" borderId="12" xfId="61" applyNumberFormat="1" applyFont="1" applyFill="1" applyBorder="1" applyProtection="1">
      <alignment/>
      <protection/>
    </xf>
    <xf numFmtId="171" fontId="0" fillId="0" borderId="0" xfId="0" applyNumberFormat="1" applyFont="1" applyFill="1" applyAlignment="1">
      <alignment/>
    </xf>
    <xf numFmtId="175" fontId="19" fillId="0" borderId="0" xfId="61" applyNumberFormat="1" applyFont="1" applyFill="1" applyBorder="1" applyProtection="1">
      <alignment/>
      <protection/>
    </xf>
    <xf numFmtId="2" fontId="0" fillId="0" borderId="0" xfId="0" applyNumberFormat="1" applyFont="1" applyFill="1" applyBorder="1" applyAlignment="1">
      <alignment horizontal="center"/>
    </xf>
    <xf numFmtId="175" fontId="19" fillId="0" borderId="21" xfId="61" applyNumberFormat="1" applyFont="1" applyFill="1" applyBorder="1" applyProtection="1">
      <alignment/>
      <protection/>
    </xf>
    <xf numFmtId="37" fontId="4" fillId="0" borderId="0" xfId="65" applyFont="1" applyFill="1">
      <alignment/>
      <protection/>
    </xf>
    <xf numFmtId="37" fontId="0" fillId="0" borderId="0" xfId="0" applyNumberFormat="1" applyFont="1" applyFill="1" applyAlignment="1">
      <alignment/>
    </xf>
    <xf numFmtId="15" fontId="12" fillId="0" borderId="0" xfId="69" applyNumberFormat="1" applyFont="1" applyFill="1" applyAlignment="1">
      <alignment horizontal="right"/>
      <protection/>
    </xf>
    <xf numFmtId="5" fontId="12" fillId="0" borderId="0" xfId="69" applyNumberFormat="1" applyFont="1" applyFill="1">
      <alignment/>
      <protection/>
    </xf>
    <xf numFmtId="168" fontId="12" fillId="0" borderId="0" xfId="69" applyNumberFormat="1" applyFont="1" applyFill="1" applyAlignment="1" applyProtection="1">
      <alignment horizontal="left"/>
      <protection/>
    </xf>
    <xf numFmtId="15" fontId="12" fillId="0" borderId="0" xfId="69" applyNumberFormat="1" applyFont="1" applyFill="1" applyAlignment="1" applyProtection="1">
      <alignment horizontal="center"/>
      <protection/>
    </xf>
    <xf numFmtId="5" fontId="15" fillId="0" borderId="0" xfId="69" applyNumberFormat="1" applyFont="1" applyFill="1">
      <alignment/>
      <protection/>
    </xf>
    <xf numFmtId="5" fontId="14" fillId="0" borderId="21" xfId="69" applyNumberFormat="1" applyFont="1" applyFill="1" applyBorder="1" applyAlignment="1" applyProtection="1">
      <alignment horizontal="right"/>
      <protection/>
    </xf>
    <xf numFmtId="37" fontId="19" fillId="0" borderId="0" xfId="64" applyFont="1" applyFill="1" applyAlignment="1" applyProtection="1">
      <alignment horizontal="center"/>
      <protection/>
    </xf>
    <xf numFmtId="164" fontId="0" fillId="0" borderId="12" xfId="61" applyNumberFormat="1" applyFont="1" applyFill="1" applyBorder="1" applyProtection="1">
      <alignment/>
      <protection/>
    </xf>
    <xf numFmtId="181" fontId="12" fillId="0" borderId="0" xfId="0" applyNumberFormat="1" applyFont="1" applyBorder="1" applyAlignment="1">
      <alignment horizontal="left"/>
    </xf>
    <xf numFmtId="169" fontId="39" fillId="0" borderId="0" xfId="0" applyNumberFormat="1" applyFont="1" applyFill="1" applyBorder="1" applyAlignment="1">
      <alignment/>
    </xf>
    <xf numFmtId="10" fontId="39" fillId="0" borderId="0" xfId="0" applyNumberFormat="1" applyFont="1" applyFill="1" applyBorder="1" applyAlignment="1">
      <alignment horizontal="center"/>
    </xf>
    <xf numFmtId="37" fontId="1" fillId="0" borderId="0" xfId="64" applyFont="1" applyAlignment="1">
      <alignment horizontal="left" indent="1"/>
      <protection/>
    </xf>
    <xf numFmtId="5" fontId="1" fillId="0" borderId="22" xfId="64" applyNumberFormat="1" applyFont="1" applyBorder="1" applyProtection="1">
      <alignment/>
      <protection/>
    </xf>
    <xf numFmtId="5" fontId="23" fillId="0" borderId="22" xfId="64" applyNumberFormat="1" applyFont="1" applyBorder="1">
      <alignment/>
      <protection/>
    </xf>
    <xf numFmtId="168" fontId="23" fillId="0" borderId="22" xfId="64" applyNumberFormat="1" applyFont="1" applyBorder="1" applyProtection="1">
      <alignment/>
      <protection/>
    </xf>
    <xf numFmtId="14" fontId="14" fillId="0" borderId="16" xfId="0" applyNumberFormat="1" applyFont="1" applyFill="1" applyBorder="1" applyAlignment="1">
      <alignment horizontal="left" indent="2"/>
    </xf>
    <xf numFmtId="37" fontId="14" fillId="0" borderId="16" xfId="0" applyFont="1" applyFill="1" applyBorder="1" applyAlignment="1">
      <alignment horizontal="left" indent="1"/>
    </xf>
    <xf numFmtId="7" fontId="0" fillId="0" borderId="0" xfId="0" applyNumberFormat="1" applyAlignment="1">
      <alignment/>
    </xf>
    <xf numFmtId="0" fontId="11" fillId="0" borderId="0" xfId="69" applyFont="1" applyFill="1" applyBorder="1" applyAlignment="1" applyProtection="1" quotePrefix="1">
      <alignment horizontal="centerContinuous" vertical="center" wrapText="1"/>
      <protection/>
    </xf>
    <xf numFmtId="181" fontId="11" fillId="0" borderId="0" xfId="69" applyNumberFormat="1" applyFont="1" applyFill="1" applyBorder="1" applyAlignment="1" applyProtection="1" quotePrefix="1">
      <alignment horizontal="centerContinuous" vertical="center" wrapText="1"/>
      <protection/>
    </xf>
    <xf numFmtId="10" fontId="22" fillId="0" borderId="0" xfId="68" applyNumberFormat="1" applyFont="1" applyFill="1" applyAlignment="1" applyProtection="1">
      <alignment/>
      <protection/>
    </xf>
    <xf numFmtId="0" fontId="25" fillId="0" borderId="0" xfId="61" applyFont="1" applyBorder="1" applyAlignment="1" applyProtection="1">
      <alignment horizontal="centerContinuous" vertical="center" wrapText="1"/>
      <protection/>
    </xf>
    <xf numFmtId="10" fontId="25" fillId="0" borderId="0" xfId="68" applyFont="1" applyBorder="1" applyAlignment="1" applyProtection="1">
      <alignment horizontal="centerContinuous" vertical="center" wrapText="1"/>
      <protection/>
    </xf>
    <xf numFmtId="172" fontId="25" fillId="0" borderId="0" xfId="68" applyNumberFormat="1" applyFont="1" applyBorder="1" applyAlignment="1" applyProtection="1">
      <alignment horizontal="centerContinuous" vertical="center" wrapText="1"/>
      <protection/>
    </xf>
    <xf numFmtId="180" fontId="40" fillId="0" borderId="0" xfId="0" applyNumberFormat="1" applyFont="1" applyFill="1" applyBorder="1" applyAlignment="1">
      <alignment horizontal="left" indent="1"/>
    </xf>
    <xf numFmtId="1" fontId="12" fillId="0" borderId="0" xfId="0" applyNumberFormat="1" applyFont="1" applyFill="1" applyBorder="1" applyAlignment="1">
      <alignment horizontal="center"/>
    </xf>
    <xf numFmtId="37" fontId="19" fillId="0" borderId="13" xfId="0" applyFont="1" applyFill="1" applyBorder="1" applyAlignment="1">
      <alignment/>
    </xf>
    <xf numFmtId="5" fontId="1" fillId="0" borderId="0" xfId="64" applyNumberFormat="1" applyFont="1" applyFill="1" applyProtection="1">
      <alignment/>
      <protection/>
    </xf>
    <xf numFmtId="10" fontId="1" fillId="0" borderId="0" xfId="68" applyFont="1" applyFill="1" applyAlignment="1" applyProtection="1">
      <alignment/>
      <protection/>
    </xf>
    <xf numFmtId="37" fontId="11" fillId="0" borderId="0" xfId="64" applyFont="1" applyBorder="1" applyAlignment="1" applyProtection="1">
      <alignment horizontal="center"/>
      <protection/>
    </xf>
    <xf numFmtId="37" fontId="33" fillId="0" borderId="23" xfId="0" applyFont="1" applyFill="1" applyBorder="1" applyAlignment="1">
      <alignment/>
    </xf>
    <xf numFmtId="37" fontId="12" fillId="0" borderId="15" xfId="0" applyFont="1" applyFill="1" applyBorder="1" applyAlignment="1">
      <alignment/>
    </xf>
    <xf numFmtId="37" fontId="0" fillId="0" borderId="14" xfId="0" applyBorder="1" applyAlignment="1">
      <alignment/>
    </xf>
    <xf numFmtId="37" fontId="12" fillId="0" borderId="17" xfId="0" applyFont="1" applyBorder="1" applyAlignment="1">
      <alignment/>
    </xf>
    <xf numFmtId="37" fontId="12" fillId="0" borderId="18" xfId="0" applyFont="1" applyBorder="1" applyAlignment="1">
      <alignment/>
    </xf>
    <xf numFmtId="37" fontId="12" fillId="0" borderId="19" xfId="0" applyFont="1" applyBorder="1" applyAlignment="1">
      <alignment/>
    </xf>
    <xf numFmtId="10" fontId="1" fillId="0" borderId="0" xfId="68" applyNumberFormat="1" applyFont="1" applyAlignment="1">
      <alignment/>
      <protection/>
    </xf>
    <xf numFmtId="10" fontId="22" fillId="0" borderId="0" xfId="68" applyNumberFormat="1" applyFont="1" applyAlignment="1" applyProtection="1">
      <alignment/>
      <protection/>
    </xf>
    <xf numFmtId="37" fontId="0" fillId="0" borderId="0" xfId="65" applyNumberFormat="1" applyFont="1" applyBorder="1" applyAlignment="1">
      <alignment horizontal="center"/>
      <protection/>
    </xf>
    <xf numFmtId="37" fontId="19" fillId="0" borderId="0" xfId="65" applyNumberFormat="1" applyFont="1" applyBorder="1" applyAlignment="1" applyProtection="1">
      <alignment horizontal="center" wrapText="1"/>
      <protection/>
    </xf>
    <xf numFmtId="17" fontId="14" fillId="0" borderId="0" xfId="61" applyNumberFormat="1" applyFont="1" applyFill="1" applyAlignment="1" applyProtection="1">
      <alignment horizontal="right"/>
      <protection/>
    </xf>
    <xf numFmtId="164" fontId="0" fillId="0" borderId="0" xfId="61" applyNumberFormat="1" applyFont="1" applyFill="1" applyProtection="1">
      <alignment/>
      <protection/>
    </xf>
    <xf numFmtId="164" fontId="0" fillId="0" borderId="22" xfId="61" applyNumberFormat="1" applyFont="1" applyFill="1" applyBorder="1" applyProtection="1">
      <alignment/>
      <protection/>
    </xf>
    <xf numFmtId="168" fontId="12" fillId="0" borderId="0" xfId="73" applyNumberFormat="1" applyFont="1" applyFill="1" applyBorder="1" applyAlignment="1">
      <alignment horizontal="left"/>
    </xf>
    <xf numFmtId="5" fontId="12" fillId="0" borderId="0" xfId="45" applyNumberFormat="1" applyFont="1" applyBorder="1" applyAlignment="1">
      <alignment/>
    </xf>
    <xf numFmtId="37" fontId="0" fillId="0" borderId="0" xfId="0" applyFont="1" applyFill="1" applyAlignment="1">
      <alignment horizontal="center"/>
    </xf>
    <xf numFmtId="169" fontId="39" fillId="0" borderId="0" xfId="0" applyNumberFormat="1" applyFont="1" applyFill="1" applyBorder="1" applyAlignment="1">
      <alignment horizontal="center"/>
    </xf>
    <xf numFmtId="5" fontId="12" fillId="0" borderId="21" xfId="45" applyNumberFormat="1" applyFont="1" applyBorder="1" applyAlignment="1">
      <alignment/>
    </xf>
    <xf numFmtId="5" fontId="12" fillId="0" borderId="21" xfId="42" applyNumberFormat="1" applyFont="1" applyFill="1" applyBorder="1" applyAlignment="1">
      <alignment/>
    </xf>
    <xf numFmtId="168" fontId="12" fillId="0" borderId="21" xfId="73" applyNumberFormat="1" applyFont="1" applyFill="1" applyBorder="1" applyAlignment="1">
      <alignment horizontal="center"/>
    </xf>
    <xf numFmtId="5" fontId="14" fillId="0" borderId="21" xfId="42" applyNumberFormat="1" applyFont="1" applyFill="1" applyBorder="1" applyAlignment="1">
      <alignment/>
    </xf>
    <xf numFmtId="10" fontId="14" fillId="0" borderId="0" xfId="68" applyFont="1" applyAlignment="1" applyProtection="1">
      <alignment horizontal="left"/>
      <protection/>
    </xf>
    <xf numFmtId="37" fontId="14" fillId="0" borderId="0" xfId="64" applyFont="1" applyAlignment="1" applyProtection="1">
      <alignment horizontal="center"/>
      <protection/>
    </xf>
    <xf numFmtId="37" fontId="14" fillId="0" borderId="10" xfId="0" applyFont="1" applyBorder="1" applyAlignment="1">
      <alignment/>
    </xf>
    <xf numFmtId="37" fontId="14" fillId="0" borderId="0" xfId="0" applyFont="1" applyBorder="1" applyAlignment="1">
      <alignment/>
    </xf>
    <xf numFmtId="37" fontId="14" fillId="0" borderId="0" xfId="0" applyFont="1" applyFill="1" applyBorder="1" applyAlignment="1">
      <alignment horizontal="center"/>
    </xf>
    <xf numFmtId="37" fontId="14" fillId="0" borderId="0" xfId="0" applyFont="1" applyBorder="1" applyAlignment="1">
      <alignment horizontal="center"/>
    </xf>
    <xf numFmtId="37" fontId="14" fillId="0" borderId="0" xfId="0" applyFont="1" applyAlignment="1">
      <alignment horizontal="center"/>
    </xf>
    <xf numFmtId="174" fontId="14" fillId="0" borderId="10" xfId="69" applyNumberFormat="1" applyFont="1" applyFill="1" applyBorder="1" applyAlignment="1">
      <alignment horizontal="center"/>
      <protection/>
    </xf>
    <xf numFmtId="174" fontId="14" fillId="0" borderId="0" xfId="69" applyNumberFormat="1" applyFont="1" applyFill="1" applyBorder="1" applyAlignment="1">
      <alignment horizontal="center"/>
      <protection/>
    </xf>
    <xf numFmtId="37" fontId="12" fillId="0" borderId="0" xfId="0" applyNumberFormat="1" applyFont="1" applyAlignment="1">
      <alignment/>
    </xf>
    <xf numFmtId="173" fontId="12" fillId="0" borderId="0" xfId="0" applyNumberFormat="1" applyFont="1" applyBorder="1" applyAlignment="1">
      <alignment horizontal="left" indent="1"/>
    </xf>
    <xf numFmtId="37" fontId="14" fillId="0" borderId="12" xfId="0" applyFont="1" applyFill="1" applyBorder="1" applyAlignment="1">
      <alignment/>
    </xf>
    <xf numFmtId="39" fontId="12" fillId="0" borderId="0" xfId="0" applyNumberFormat="1" applyFont="1" applyAlignment="1">
      <alignment/>
    </xf>
    <xf numFmtId="5" fontId="14" fillId="0" borderId="12" xfId="45" applyNumberFormat="1" applyFont="1" applyFill="1" applyBorder="1" applyAlignment="1">
      <alignment/>
    </xf>
    <xf numFmtId="5" fontId="14" fillId="0" borderId="20" xfId="45" applyNumberFormat="1" applyFont="1" applyFill="1" applyBorder="1" applyAlignment="1">
      <alignment/>
    </xf>
    <xf numFmtId="37" fontId="12" fillId="0" borderId="0" xfId="0" applyFont="1" applyAlignment="1">
      <alignment horizontal="right"/>
    </xf>
    <xf numFmtId="0" fontId="25" fillId="0" borderId="0" xfId="61" applyFont="1" applyAlignment="1" applyProtection="1">
      <alignment horizontal="centerContinuous"/>
      <protection/>
    </xf>
    <xf numFmtId="1" fontId="42" fillId="0" borderId="0" xfId="68" applyNumberFormat="1" applyFont="1" applyAlignment="1" applyProtection="1">
      <alignment horizontal="centerContinuous"/>
      <protection/>
    </xf>
    <xf numFmtId="1" fontId="3" fillId="0" borderId="0" xfId="68" applyNumberFormat="1" applyProtection="1">
      <alignment/>
      <protection/>
    </xf>
    <xf numFmtId="10" fontId="3" fillId="0" borderId="0" xfId="68">
      <alignment/>
      <protection/>
    </xf>
    <xf numFmtId="10" fontId="11" fillId="0" borderId="0" xfId="68" applyFont="1" applyAlignment="1" applyProtection="1">
      <alignment horizontal="centerContinuous"/>
      <protection/>
    </xf>
    <xf numFmtId="10" fontId="42" fillId="0" borderId="0" xfId="68" applyFont="1" applyAlignment="1">
      <alignment horizontal="centerContinuous"/>
      <protection/>
    </xf>
    <xf numFmtId="0" fontId="41" fillId="0" borderId="0" xfId="63" applyAlignment="1">
      <alignment horizontal="centerContinuous"/>
      <protection/>
    </xf>
    <xf numFmtId="10" fontId="3" fillId="0" borderId="0" xfId="68" applyAlignment="1" applyProtection="1">
      <alignment horizontal="left"/>
      <protection/>
    </xf>
    <xf numFmtId="172" fontId="36" fillId="0" borderId="0" xfId="68" applyNumberFormat="1" applyFont="1" applyBorder="1" applyAlignment="1" applyProtection="1">
      <alignment horizontal="centerContinuous" vertical="center" wrapText="1"/>
      <protection/>
    </xf>
    <xf numFmtId="10" fontId="42" fillId="0" borderId="0" xfId="68" applyFont="1" applyBorder="1" applyAlignment="1">
      <alignment horizontal="centerContinuous" vertical="center" wrapText="1"/>
      <protection/>
    </xf>
    <xf numFmtId="1" fontId="42" fillId="0" borderId="0" xfId="68" applyNumberFormat="1" applyFont="1" applyProtection="1">
      <alignment/>
      <protection/>
    </xf>
    <xf numFmtId="10" fontId="42" fillId="0" borderId="0" xfId="68" applyFont="1">
      <alignment/>
      <protection/>
    </xf>
    <xf numFmtId="0" fontId="41" fillId="0" borderId="0" xfId="63">
      <alignment/>
      <protection/>
    </xf>
    <xf numFmtId="10" fontId="42" fillId="0" borderId="0" xfId="68" applyFont="1" applyAlignment="1">
      <alignment horizontal="right"/>
      <protection/>
    </xf>
    <xf numFmtId="10" fontId="11" fillId="0" borderId="0" xfId="68" applyFont="1" applyAlignment="1">
      <alignment horizontal="right"/>
      <protection/>
    </xf>
    <xf numFmtId="10" fontId="11" fillId="0" borderId="0" xfId="68" applyFont="1" applyAlignment="1" applyProtection="1">
      <alignment horizontal="right"/>
      <protection/>
    </xf>
    <xf numFmtId="10" fontId="1" fillId="0" borderId="0" xfId="68" applyFont="1" applyAlignment="1" applyProtection="1">
      <alignment horizontal="right"/>
      <protection/>
    </xf>
    <xf numFmtId="10" fontId="11" fillId="0" borderId="0" xfId="68" applyFont="1" applyFill="1" applyAlignment="1" applyProtection="1">
      <alignment horizontal="left" indent="1"/>
      <protection/>
    </xf>
    <xf numFmtId="5" fontId="23" fillId="0" borderId="0" xfId="68" applyNumberFormat="1" applyFont="1" applyProtection="1">
      <alignment/>
      <protection/>
    </xf>
    <xf numFmtId="165" fontId="23" fillId="0" borderId="0" xfId="68" applyNumberFormat="1" applyFont="1" applyProtection="1">
      <alignment/>
      <protection/>
    </xf>
    <xf numFmtId="5" fontId="23" fillId="0" borderId="0" xfId="68" applyNumberFormat="1" applyFont="1" applyAlignment="1" applyProtection="1">
      <alignment horizontal="right"/>
      <protection/>
    </xf>
    <xf numFmtId="10" fontId="23" fillId="0" borderId="0" xfId="68" applyFont="1" applyBorder="1" applyProtection="1">
      <alignment/>
      <protection/>
    </xf>
    <xf numFmtId="10" fontId="23" fillId="0" borderId="0" xfId="68" applyFont="1" applyProtection="1">
      <alignment/>
      <protection/>
    </xf>
    <xf numFmtId="10" fontId="0" fillId="0" borderId="0" xfId="68" applyFont="1" applyFill="1" applyAlignment="1" applyProtection="1">
      <alignment horizontal="left" indent="2"/>
      <protection/>
    </xf>
    <xf numFmtId="5" fontId="27" fillId="0" borderId="0" xfId="68" applyNumberFormat="1" applyFont="1" applyProtection="1">
      <alignment/>
      <protection/>
    </xf>
    <xf numFmtId="165" fontId="27" fillId="0" borderId="0" xfId="68" applyNumberFormat="1" applyFont="1" applyProtection="1">
      <alignment/>
      <protection/>
    </xf>
    <xf numFmtId="5" fontId="27" fillId="0" borderId="0" xfId="68" applyNumberFormat="1" applyFont="1" applyAlignment="1" applyProtection="1">
      <alignment horizontal="right"/>
      <protection/>
    </xf>
    <xf numFmtId="10" fontId="27" fillId="0" borderId="0" xfId="68" applyFont="1" applyBorder="1" applyProtection="1">
      <alignment/>
      <protection/>
    </xf>
    <xf numFmtId="10" fontId="27" fillId="0" borderId="0" xfId="68" applyFont="1" applyProtection="1">
      <alignment/>
      <protection/>
    </xf>
    <xf numFmtId="43" fontId="37" fillId="0" borderId="0" xfId="68" applyNumberFormat="1" applyFont="1" applyProtection="1">
      <alignment/>
      <protection/>
    </xf>
    <xf numFmtId="5" fontId="37" fillId="0" borderId="0" xfId="68" applyNumberFormat="1" applyFont="1" applyAlignment="1" applyProtection="1">
      <alignment horizontal="right"/>
      <protection/>
    </xf>
    <xf numFmtId="10" fontId="1" fillId="0" borderId="0" xfId="68" applyFont="1" applyAlignment="1" applyProtection="1">
      <alignment horizontal="left" indent="1"/>
      <protection/>
    </xf>
    <xf numFmtId="10" fontId="11" fillId="0" borderId="0" xfId="68" applyFont="1" applyAlignment="1" applyProtection="1">
      <alignment horizontal="left" indent="1"/>
      <protection/>
    </xf>
    <xf numFmtId="10" fontId="23" fillId="0" borderId="0" xfId="68" applyNumberFormat="1" applyFont="1" applyFill="1" applyBorder="1" applyProtection="1">
      <alignment/>
      <protection/>
    </xf>
    <xf numFmtId="10" fontId="23" fillId="0" borderId="0" xfId="68" applyFont="1" applyAlignment="1" applyProtection="1">
      <alignment horizontal="left"/>
      <protection/>
    </xf>
    <xf numFmtId="5" fontId="23" fillId="18" borderId="12" xfId="68" applyNumberFormat="1" applyFont="1" applyFill="1" applyBorder="1" applyProtection="1">
      <alignment/>
      <protection/>
    </xf>
    <xf numFmtId="165" fontId="23" fillId="0" borderId="12" xfId="68" applyNumberFormat="1" applyFont="1" applyBorder="1" applyProtection="1">
      <alignment/>
      <protection/>
    </xf>
    <xf numFmtId="5" fontId="23" fillId="0" borderId="12" xfId="68" applyNumberFormat="1" applyFont="1" applyBorder="1" applyProtection="1">
      <alignment/>
      <protection/>
    </xf>
    <xf numFmtId="10" fontId="23" fillId="18" borderId="12" xfId="68" applyFont="1" applyFill="1" applyBorder="1" applyProtection="1">
      <alignment/>
      <protection/>
    </xf>
    <xf numFmtId="10" fontId="23" fillId="0" borderId="12" xfId="68" applyFont="1" applyBorder="1" applyProtection="1">
      <alignment/>
      <protection/>
    </xf>
    <xf numFmtId="10" fontId="23" fillId="0" borderId="0" xfId="68" applyFont="1">
      <alignment/>
      <protection/>
    </xf>
    <xf numFmtId="5" fontId="21" fillId="18" borderId="0" xfId="68" applyNumberFormat="1" applyFont="1" applyFill="1" applyProtection="1">
      <alignment/>
      <protection/>
    </xf>
    <xf numFmtId="5" fontId="21" fillId="0" borderId="0" xfId="68" applyNumberFormat="1" applyFont="1" applyAlignment="1" applyProtection="1">
      <alignment horizontal="right"/>
      <protection/>
    </xf>
    <xf numFmtId="5" fontId="23" fillId="0" borderId="12" xfId="68" applyNumberFormat="1" applyFont="1" applyBorder="1" applyAlignment="1" applyProtection="1">
      <alignment horizontal="right"/>
      <protection/>
    </xf>
    <xf numFmtId="10" fontId="1" fillId="18" borderId="12" xfId="68" applyFont="1" applyFill="1" applyBorder="1" applyProtection="1">
      <alignment/>
      <protection/>
    </xf>
    <xf numFmtId="10" fontId="23" fillId="0" borderId="0" xfId="68" applyFont="1" applyAlignment="1" applyProtection="1">
      <alignment horizontal="fill"/>
      <protection/>
    </xf>
    <xf numFmtId="165" fontId="23" fillId="0" borderId="0" xfId="68" applyNumberFormat="1" applyFont="1" applyAlignment="1" applyProtection="1">
      <alignment horizontal="fill"/>
      <protection/>
    </xf>
    <xf numFmtId="5" fontId="43" fillId="0" borderId="0" xfId="68" applyNumberFormat="1" applyFont="1" applyBorder="1" applyProtection="1">
      <alignment/>
      <protection/>
    </xf>
    <xf numFmtId="165" fontId="43" fillId="0" borderId="0" xfId="68" applyNumberFormat="1" applyFont="1" applyBorder="1" applyProtection="1">
      <alignment/>
      <protection/>
    </xf>
    <xf numFmtId="5" fontId="44" fillId="0" borderId="0" xfId="68" applyNumberFormat="1" applyFont="1" applyBorder="1" applyProtection="1">
      <alignment/>
      <protection/>
    </xf>
    <xf numFmtId="10" fontId="43" fillId="0" borderId="0" xfId="68" applyFont="1" applyBorder="1">
      <alignment/>
      <protection/>
    </xf>
    <xf numFmtId="10" fontId="43" fillId="0" borderId="0" xfId="68" applyFont="1" applyBorder="1" applyProtection="1">
      <alignment/>
      <protection/>
    </xf>
    <xf numFmtId="10" fontId="23" fillId="0" borderId="0" xfId="68" applyFont="1" applyAlignment="1">
      <alignment horizontal="right"/>
      <protection/>
    </xf>
    <xf numFmtId="37" fontId="1" fillId="0" borderId="0" xfId="68" applyNumberFormat="1" applyFont="1">
      <alignment/>
      <protection/>
    </xf>
    <xf numFmtId="10" fontId="1" fillId="0" borderId="0" xfId="68" applyFont="1" applyAlignment="1">
      <alignment horizontal="right"/>
      <protection/>
    </xf>
    <xf numFmtId="10" fontId="19" fillId="0" borderId="0" xfId="68" applyFont="1" applyAlignment="1" applyProtection="1" quotePrefix="1">
      <alignment horizontal="left"/>
      <protection/>
    </xf>
    <xf numFmtId="10" fontId="28" fillId="0" borderId="0" xfId="68" applyFont="1" applyAlignment="1" quotePrefix="1">
      <alignment horizontal="left"/>
      <protection/>
    </xf>
    <xf numFmtId="10" fontId="19" fillId="0" borderId="0" xfId="68" applyFont="1">
      <alignment/>
      <protection/>
    </xf>
    <xf numFmtId="1" fontId="42" fillId="0" borderId="0" xfId="68" applyNumberFormat="1" applyFont="1" applyAlignment="1" applyProtection="1">
      <alignment horizontal="center"/>
      <protection/>
    </xf>
    <xf numFmtId="5" fontId="3" fillId="0" borderId="0" xfId="68" applyNumberFormat="1" applyProtection="1">
      <alignment/>
      <protection/>
    </xf>
    <xf numFmtId="165" fontId="3" fillId="0" borderId="0" xfId="68" applyNumberFormat="1" applyProtection="1">
      <alignment/>
      <protection/>
    </xf>
    <xf numFmtId="165" fontId="3" fillId="0" borderId="0" xfId="68" applyNumberFormat="1" applyAlignment="1" applyProtection="1">
      <alignment horizontal="right"/>
      <protection/>
    </xf>
    <xf numFmtId="10" fontId="3" fillId="0" borderId="0" xfId="68" applyNumberFormat="1" applyProtection="1">
      <alignment/>
      <protection/>
    </xf>
    <xf numFmtId="10" fontId="3" fillId="0" borderId="0" xfId="68" applyNumberFormat="1" applyAlignment="1" applyProtection="1">
      <alignment horizontal="right"/>
      <protection/>
    </xf>
    <xf numFmtId="10" fontId="3" fillId="0" borderId="0" xfId="68" applyAlignment="1">
      <alignment horizontal="right"/>
      <protection/>
    </xf>
    <xf numFmtId="37" fontId="19" fillId="0" borderId="0" xfId="64" applyFont="1" applyAlignment="1" applyProtection="1">
      <alignment horizontal="left"/>
      <protection/>
    </xf>
    <xf numFmtId="37" fontId="19" fillId="0" borderId="10" xfId="65" applyNumberFormat="1" applyFont="1" applyBorder="1" applyAlignment="1" applyProtection="1">
      <alignment horizontal="center" wrapText="1"/>
      <protection/>
    </xf>
    <xf numFmtId="10" fontId="19" fillId="19" borderId="20" xfId="65" applyNumberFormat="1" applyFont="1" applyFill="1" applyBorder="1" applyProtection="1">
      <alignment/>
      <protection/>
    </xf>
    <xf numFmtId="10" fontId="21" fillId="18" borderId="0" xfId="68" applyFont="1" applyFill="1" applyBorder="1" applyProtection="1">
      <alignment/>
      <protection/>
    </xf>
    <xf numFmtId="0" fontId="11" fillId="2" borderId="0" xfId="70" applyFont="1" applyFill="1">
      <alignment/>
      <protection/>
    </xf>
    <xf numFmtId="0" fontId="1" fillId="2" borderId="0" xfId="70" applyFont="1" applyFill="1">
      <alignment/>
      <protection/>
    </xf>
    <xf numFmtId="0" fontId="1" fillId="0" borderId="0" xfId="70">
      <alignment/>
      <protection/>
    </xf>
    <xf numFmtId="0" fontId="1" fillId="0" borderId="0" xfId="70" applyFont="1">
      <alignment/>
      <protection/>
    </xf>
    <xf numFmtId="10" fontId="1" fillId="0" borderId="0" xfId="73" applyNumberFormat="1" applyFont="1" applyAlignment="1">
      <alignment/>
    </xf>
    <xf numFmtId="0" fontId="22" fillId="0" borderId="0" xfId="70" applyFont="1" applyAlignment="1">
      <alignment horizontal="center"/>
      <protection/>
    </xf>
    <xf numFmtId="10" fontId="1" fillId="0" borderId="0" xfId="73" applyNumberFormat="1" applyFont="1" applyFill="1" applyAlignment="1">
      <alignment/>
    </xf>
    <xf numFmtId="10" fontId="11" fillId="15" borderId="0" xfId="70" applyNumberFormat="1" applyFont="1" applyFill="1">
      <alignment/>
      <protection/>
    </xf>
    <xf numFmtId="10" fontId="11" fillId="15" borderId="0" xfId="73" applyNumberFormat="1" applyFont="1" applyFill="1" applyAlignment="1">
      <alignment/>
    </xf>
    <xf numFmtId="0" fontId="11" fillId="0" borderId="0" xfId="70" applyFont="1">
      <alignment/>
      <protection/>
    </xf>
    <xf numFmtId="10" fontId="1" fillId="0" borderId="22" xfId="73" applyNumberFormat="1" applyFont="1" applyBorder="1" applyAlignment="1">
      <alignment/>
    </xf>
    <xf numFmtId="9" fontId="1" fillId="0" borderId="22" xfId="73" applyFont="1" applyBorder="1" applyAlignment="1">
      <alignment/>
    </xf>
    <xf numFmtId="10" fontId="11" fillId="15" borderId="20" xfId="73" applyNumberFormat="1" applyFont="1" applyFill="1" applyBorder="1" applyAlignment="1">
      <alignment/>
    </xf>
    <xf numFmtId="10" fontId="1" fillId="0" borderId="0" xfId="70" applyNumberFormat="1" applyFont="1">
      <alignment/>
      <protection/>
    </xf>
    <xf numFmtId="10" fontId="1" fillId="0" borderId="0" xfId="73" applyNumberFormat="1" applyAlignment="1">
      <alignment/>
    </xf>
    <xf numFmtId="10" fontId="1" fillId="0" borderId="0" xfId="70" applyNumberFormat="1" applyFont="1" applyFill="1">
      <alignment/>
      <protection/>
    </xf>
    <xf numFmtId="10" fontId="1" fillId="0" borderId="22" xfId="70" applyNumberFormat="1" applyFont="1" applyBorder="1">
      <alignment/>
      <protection/>
    </xf>
    <xf numFmtId="0" fontId="1" fillId="2" borderId="0" xfId="70" applyFill="1">
      <alignment/>
      <protection/>
    </xf>
    <xf numFmtId="0" fontId="11" fillId="20" borderId="0" xfId="70" applyFont="1" applyFill="1">
      <alignment/>
      <protection/>
    </xf>
    <xf numFmtId="0" fontId="1" fillId="20" borderId="0" xfId="70" applyFont="1" applyFill="1">
      <alignment/>
      <protection/>
    </xf>
    <xf numFmtId="5" fontId="12" fillId="0" borderId="0" xfId="62" applyNumberFormat="1" applyFont="1" applyBorder="1" applyProtection="1">
      <alignment/>
      <protection/>
    </xf>
    <xf numFmtId="37" fontId="63" fillId="0" borderId="0" xfId="67" applyFont="1" applyBorder="1" applyAlignment="1">
      <alignment horizontal="centerContinuous" vertical="center" wrapText="1"/>
      <protection/>
    </xf>
    <xf numFmtId="37" fontId="63" fillId="0" borderId="0" xfId="67" applyFont="1">
      <alignment/>
      <protection/>
    </xf>
    <xf numFmtId="37" fontId="12" fillId="0" borderId="0" xfId="67">
      <alignment/>
      <protection/>
    </xf>
    <xf numFmtId="37" fontId="12" fillId="0" borderId="0" xfId="67" applyFill="1">
      <alignment/>
      <protection/>
    </xf>
    <xf numFmtId="10" fontId="64" fillId="0" borderId="24" xfId="68" applyFont="1" applyBorder="1" applyAlignment="1">
      <alignment horizontal="centerContinuous" vertical="center" wrapText="1"/>
      <protection/>
    </xf>
    <xf numFmtId="10" fontId="25" fillId="0" borderId="22" xfId="68" applyFont="1" applyBorder="1" applyAlignment="1" applyProtection="1">
      <alignment horizontal="centerContinuous" vertical="center" wrapText="1"/>
      <protection/>
    </xf>
    <xf numFmtId="10" fontId="25" fillId="0" borderId="25" xfId="68" applyFont="1" applyBorder="1" applyAlignment="1" applyProtection="1">
      <alignment horizontal="centerContinuous" vertical="center" wrapText="1"/>
      <protection/>
    </xf>
    <xf numFmtId="10" fontId="25" fillId="0" borderId="26" xfId="68" applyFont="1" applyBorder="1" applyAlignment="1" applyProtection="1">
      <alignment horizontal="centerContinuous" vertical="center" wrapText="1"/>
      <protection/>
    </xf>
    <xf numFmtId="10" fontId="1" fillId="0" borderId="10" xfId="68" applyFont="1" applyBorder="1" applyAlignment="1">
      <alignment horizontal="centerContinuous" vertical="center" wrapText="1"/>
      <protection/>
    </xf>
    <xf numFmtId="10" fontId="1" fillId="0" borderId="27" xfId="68" applyFont="1" applyBorder="1" applyAlignment="1">
      <alignment horizontal="centerContinuous" vertical="center" wrapText="1"/>
      <protection/>
    </xf>
    <xf numFmtId="10" fontId="1" fillId="0" borderId="0" xfId="68" applyNumberFormat="1" applyFont="1" applyFill="1" applyAlignment="1" applyProtection="1">
      <alignment/>
      <protection/>
    </xf>
    <xf numFmtId="10" fontId="1" fillId="0" borderId="0" xfId="68" applyFont="1" applyBorder="1" applyAlignment="1" applyProtection="1">
      <alignment horizontal="center"/>
      <protection/>
    </xf>
    <xf numFmtId="10" fontId="1" fillId="0" borderId="0" xfId="68" applyNumberFormat="1" applyFont="1" applyFill="1" applyBorder="1" applyAlignment="1" applyProtection="1">
      <alignment/>
      <protection/>
    </xf>
    <xf numFmtId="0" fontId="65" fillId="0" borderId="0" xfId="69" applyFont="1" applyFill="1" applyBorder="1" applyAlignment="1" applyProtection="1" quotePrefix="1">
      <alignment horizontal="centerContinuous" vertical="center" wrapText="1"/>
      <protection/>
    </xf>
    <xf numFmtId="37" fontId="66" fillId="0" borderId="0" xfId="64" applyFont="1" applyBorder="1" applyAlignment="1">
      <alignment horizontal="centerContinuous" vertical="center" wrapText="1"/>
      <protection/>
    </xf>
    <xf numFmtId="37" fontId="12" fillId="0" borderId="0" xfId="64" applyFont="1" applyAlignment="1" applyProtection="1">
      <alignment horizontal="left"/>
      <protection/>
    </xf>
    <xf numFmtId="37" fontId="67" fillId="0" borderId="0" xfId="0" applyFont="1" applyFill="1" applyAlignment="1">
      <alignment/>
    </xf>
    <xf numFmtId="37" fontId="33" fillId="0" borderId="16" xfId="0" applyFont="1" applyFill="1" applyBorder="1" applyAlignment="1">
      <alignment/>
    </xf>
    <xf numFmtId="5" fontId="12" fillId="0" borderId="0" xfId="42" applyNumberFormat="1" applyFont="1" applyFill="1" applyBorder="1" applyAlignment="1">
      <alignment/>
    </xf>
    <xf numFmtId="5" fontId="12" fillId="0" borderId="22" xfId="42" applyNumberFormat="1" applyFont="1" applyFill="1" applyBorder="1" applyAlignment="1">
      <alignment/>
    </xf>
    <xf numFmtId="168" fontId="12" fillId="0" borderId="22" xfId="73" applyNumberFormat="1" applyFont="1" applyFill="1" applyBorder="1" applyAlignment="1">
      <alignment horizontal="center"/>
    </xf>
    <xf numFmtId="5" fontId="14" fillId="0" borderId="22" xfId="42" applyNumberFormat="1" applyFont="1" applyFill="1" applyBorder="1" applyAlignment="1">
      <alignment/>
    </xf>
    <xf numFmtId="37" fontId="15" fillId="0" borderId="16" xfId="0" applyFont="1" applyBorder="1" applyAlignment="1">
      <alignment/>
    </xf>
    <xf numFmtId="180" fontId="12" fillId="0" borderId="0" xfId="0" applyNumberFormat="1" applyFont="1" applyFill="1" applyBorder="1" applyAlignment="1">
      <alignment/>
    </xf>
    <xf numFmtId="169" fontId="12" fillId="0" borderId="0" xfId="0" applyNumberFormat="1" applyFont="1" applyFill="1" applyBorder="1" applyAlignment="1">
      <alignment horizontal="center"/>
    </xf>
    <xf numFmtId="37" fontId="12" fillId="0" borderId="0" xfId="0" applyNumberFormat="1" applyFont="1" applyFill="1" applyBorder="1" applyAlignment="1">
      <alignment horizontal="center"/>
    </xf>
    <xf numFmtId="5" fontId="12" fillId="0" borderId="22" xfId="45" applyNumberFormat="1" applyFont="1" applyBorder="1" applyAlignment="1">
      <alignment/>
    </xf>
    <xf numFmtId="1" fontId="12" fillId="0" borderId="0" xfId="0" applyNumberFormat="1" applyFont="1" applyFill="1" applyBorder="1" applyAlignment="1">
      <alignment/>
    </xf>
    <xf numFmtId="170" fontId="12" fillId="0" borderId="0" xfId="45" applyNumberFormat="1" applyFont="1" applyBorder="1" applyAlignment="1">
      <alignment/>
    </xf>
    <xf numFmtId="10" fontId="12" fillId="0" borderId="0" xfId="0" applyNumberFormat="1" applyFont="1" applyFill="1" applyBorder="1" applyAlignment="1">
      <alignment horizontal="center"/>
    </xf>
    <xf numFmtId="37" fontId="33" fillId="0" borderId="23" xfId="0" applyFont="1" applyBorder="1" applyAlignment="1">
      <alignment/>
    </xf>
    <xf numFmtId="37" fontId="12" fillId="0" borderId="16" xfId="0" applyFont="1" applyBorder="1" applyAlignment="1">
      <alignment/>
    </xf>
    <xf numFmtId="168" fontId="12" fillId="0" borderId="0" xfId="73" applyNumberFormat="1" applyFont="1" applyBorder="1" applyAlignment="1">
      <alignment/>
    </xf>
    <xf numFmtId="37" fontId="14" fillId="0" borderId="16" xfId="0" applyFont="1" applyBorder="1" applyAlignment="1">
      <alignment/>
    </xf>
    <xf numFmtId="168" fontId="12" fillId="0" borderId="22" xfId="73" applyNumberFormat="1" applyFont="1" applyBorder="1" applyAlignment="1">
      <alignment/>
    </xf>
    <xf numFmtId="37" fontId="0" fillId="0" borderId="13" xfId="0" applyBorder="1" applyAlignment="1">
      <alignment/>
    </xf>
    <xf numFmtId="37" fontId="0" fillId="0" borderId="0" xfId="0" applyFont="1" applyBorder="1" applyAlignment="1">
      <alignment/>
    </xf>
    <xf numFmtId="37" fontId="19" fillId="0" borderId="0" xfId="0" applyFont="1" applyAlignment="1">
      <alignment/>
    </xf>
    <xf numFmtId="37" fontId="19" fillId="0" borderId="10" xfId="0" applyFont="1" applyBorder="1" applyAlignment="1">
      <alignment/>
    </xf>
    <xf numFmtId="37" fontId="0" fillId="0" borderId="0" xfId="0" applyFont="1" applyBorder="1" applyAlignment="1">
      <alignment horizontal="center"/>
    </xf>
    <xf numFmtId="39" fontId="0" fillId="0" borderId="0" xfId="0" applyNumberFormat="1" applyFont="1" applyAlignment="1">
      <alignment horizontal="center"/>
    </xf>
    <xf numFmtId="37" fontId="0" fillId="0" borderId="0" xfId="0" applyFont="1" applyAlignment="1">
      <alignment horizontal="center"/>
    </xf>
    <xf numFmtId="37" fontId="19" fillId="0" borderId="0" xfId="0" applyFont="1" applyAlignment="1">
      <alignment horizontal="center"/>
    </xf>
    <xf numFmtId="37" fontId="19" fillId="0" borderId="0" xfId="0" applyFont="1" applyBorder="1" applyAlignment="1">
      <alignment horizontal="left"/>
    </xf>
    <xf numFmtId="174" fontId="19" fillId="0" borderId="10" xfId="69" applyNumberFormat="1" applyFont="1" applyFill="1" applyBorder="1" applyAlignment="1">
      <alignment horizontal="center"/>
      <protection/>
    </xf>
    <xf numFmtId="174" fontId="19" fillId="0" borderId="0" xfId="69" applyNumberFormat="1" applyFont="1" applyFill="1" applyBorder="1" applyAlignment="1">
      <alignment horizontal="center"/>
      <protection/>
    </xf>
    <xf numFmtId="173" fontId="0" fillId="0" borderId="0" xfId="0" applyNumberFormat="1" applyFont="1" applyBorder="1" applyAlignment="1">
      <alignment horizontal="left" indent="1"/>
    </xf>
    <xf numFmtId="37" fontId="0" fillId="0" borderId="0" xfId="0" applyNumberFormat="1" applyFill="1" applyAlignment="1">
      <alignment/>
    </xf>
    <xf numFmtId="37" fontId="37" fillId="0" borderId="0" xfId="0" applyNumberFormat="1" applyFont="1" applyFill="1" applyAlignment="1">
      <alignment/>
    </xf>
    <xf numFmtId="37" fontId="0" fillId="0" borderId="0" xfId="0" applyNumberFormat="1" applyAlignment="1">
      <alignment/>
    </xf>
    <xf numFmtId="37" fontId="19" fillId="0" borderId="12" xfId="0" applyFont="1" applyFill="1" applyBorder="1" applyAlignment="1">
      <alignment/>
    </xf>
    <xf numFmtId="37" fontId="19" fillId="0" borderId="12" xfId="0" applyNumberFormat="1" applyFont="1" applyFill="1" applyBorder="1" applyAlignment="1">
      <alignment/>
    </xf>
    <xf numFmtId="37" fontId="19" fillId="19" borderId="20" xfId="45" applyNumberFormat="1" applyFont="1" applyFill="1" applyBorder="1" applyAlignment="1">
      <alignment/>
    </xf>
    <xf numFmtId="37" fontId="0" fillId="0" borderId="0" xfId="0" applyNumberFormat="1" applyFont="1" applyBorder="1" applyAlignment="1">
      <alignment/>
    </xf>
    <xf numFmtId="10" fontId="1" fillId="0" borderId="0" xfId="73" applyNumberFormat="1" applyFont="1" applyAlignment="1" applyProtection="1">
      <alignment/>
      <protection/>
    </xf>
    <xf numFmtId="5" fontId="12" fillId="0" borderId="0" xfId="45" applyNumberFormat="1" applyFont="1" applyFill="1" applyBorder="1" applyAlignment="1">
      <alignment horizontal="center"/>
    </xf>
    <xf numFmtId="10" fontId="72" fillId="0" borderId="0" xfId="68" applyFont="1" applyBorder="1">
      <alignment/>
      <protection/>
    </xf>
    <xf numFmtId="182" fontId="1" fillId="0" borderId="0" xfId="68" applyNumberFormat="1" applyFont="1" applyBorder="1" applyAlignment="1">
      <alignment horizontal="center"/>
      <protection/>
    </xf>
    <xf numFmtId="17" fontId="14" fillId="0" borderId="0" xfId="61" applyNumberFormat="1" applyFont="1" applyFill="1" applyAlignment="1" applyProtection="1">
      <alignment horizontal="center"/>
      <protection/>
    </xf>
    <xf numFmtId="0" fontId="19" fillId="0" borderId="0" xfId="61" applyFont="1" applyAlignment="1" applyProtection="1">
      <alignment horizontal="center" wrapText="1"/>
      <protection/>
    </xf>
    <xf numFmtId="0" fontId="14" fillId="0" borderId="0" xfId="61" applyFont="1" applyAlignment="1" applyProtection="1">
      <alignment horizontal="center" wrapText="1"/>
      <protection/>
    </xf>
    <xf numFmtId="43" fontId="0" fillId="0" borderId="0" xfId="61" applyNumberFormat="1" applyFont="1" applyFill="1" applyProtection="1">
      <alignment/>
      <protection/>
    </xf>
    <xf numFmtId="176" fontId="0" fillId="0" borderId="0" xfId="61" applyNumberFormat="1" applyFont="1" applyFill="1" applyProtection="1">
      <alignment/>
      <protection/>
    </xf>
    <xf numFmtId="175" fontId="0" fillId="0" borderId="28" xfId="61" applyNumberFormat="1" applyFont="1" applyFill="1" applyBorder="1" applyProtection="1">
      <alignment/>
      <protection/>
    </xf>
    <xf numFmtId="176" fontId="14" fillId="0" borderId="0" xfId="61" applyNumberFormat="1" applyFont="1" applyAlignment="1" applyProtection="1">
      <alignment horizontal="center" wrapText="1"/>
      <protection/>
    </xf>
    <xf numFmtId="164" fontId="19" fillId="2" borderId="20" xfId="61" applyNumberFormat="1" applyFont="1" applyFill="1" applyBorder="1" applyProtection="1">
      <alignment/>
      <protection/>
    </xf>
    <xf numFmtId="164" fontId="4" fillId="0" borderId="0" xfId="61" applyNumberFormat="1" applyFont="1">
      <alignment/>
      <protection/>
    </xf>
    <xf numFmtId="164" fontId="0" fillId="0" borderId="28" xfId="61" applyNumberFormat="1" applyFont="1" applyFill="1" applyBorder="1" applyProtection="1">
      <alignment/>
      <protection/>
    </xf>
    <xf numFmtId="175" fontId="19" fillId="0" borderId="28" xfId="61" applyNumberFormat="1" applyFont="1" applyFill="1" applyBorder="1" applyProtection="1">
      <alignment/>
      <protection/>
    </xf>
    <xf numFmtId="183" fontId="0" fillId="0" borderId="0" xfId="61" applyNumberFormat="1" applyFont="1" applyFill="1" applyProtection="1">
      <alignment/>
      <protection/>
    </xf>
    <xf numFmtId="175" fontId="19" fillId="2" borderId="20" xfId="61" applyNumberFormat="1" applyFont="1" applyFill="1" applyBorder="1" applyProtection="1">
      <alignment/>
      <protection/>
    </xf>
    <xf numFmtId="37" fontId="0" fillId="0" borderId="0" xfId="61" applyNumberFormat="1" applyFont="1" applyFill="1" applyProtection="1">
      <alignment/>
      <protection/>
    </xf>
    <xf numFmtId="175" fontId="0" fillId="0" borderId="10" xfId="61" applyNumberFormat="1" applyFont="1" applyFill="1" applyBorder="1" applyProtection="1">
      <alignment/>
      <protection/>
    </xf>
    <xf numFmtId="175" fontId="0" fillId="0" borderId="29" xfId="61" applyNumberFormat="1" applyFont="1" applyFill="1" applyBorder="1" applyProtection="1">
      <alignment/>
      <protection/>
    </xf>
    <xf numFmtId="164" fontId="0" fillId="0" borderId="21" xfId="61" applyNumberFormat="1" applyFont="1" applyFill="1" applyBorder="1" applyProtection="1">
      <alignment/>
      <protection/>
    </xf>
    <xf numFmtId="164" fontId="19" fillId="0" borderId="30" xfId="61" applyNumberFormat="1" applyFont="1" applyFill="1" applyBorder="1" applyProtection="1">
      <alignment/>
      <protection/>
    </xf>
    <xf numFmtId="164" fontId="0" fillId="0" borderId="31" xfId="61" applyNumberFormat="1" applyFont="1" applyFill="1" applyBorder="1" applyProtection="1">
      <alignment/>
      <protection/>
    </xf>
    <xf numFmtId="165" fontId="0" fillId="0" borderId="0" xfId="61" applyNumberFormat="1" applyFont="1" applyFill="1" applyProtection="1">
      <alignment/>
      <protection/>
    </xf>
    <xf numFmtId="165" fontId="0" fillId="0" borderId="28" xfId="61" applyNumberFormat="1" applyFont="1" applyFill="1" applyBorder="1" applyProtection="1">
      <alignment/>
      <protection/>
    </xf>
    <xf numFmtId="165" fontId="0" fillId="0" borderId="10" xfId="61" applyNumberFormat="1" applyFont="1" applyFill="1" applyBorder="1" applyProtection="1">
      <alignment/>
      <protection/>
    </xf>
    <xf numFmtId="165" fontId="0" fillId="0" borderId="29" xfId="61" applyNumberFormat="1" applyFont="1" applyFill="1" applyBorder="1" applyProtection="1">
      <alignment/>
      <protection/>
    </xf>
    <xf numFmtId="10" fontId="0" fillId="0" borderId="10" xfId="61" applyNumberFormat="1" applyFont="1" applyFill="1" applyBorder="1" applyProtection="1">
      <alignment/>
      <protection/>
    </xf>
    <xf numFmtId="10" fontId="0" fillId="0" borderId="29" xfId="61" applyNumberFormat="1" applyFont="1" applyFill="1" applyBorder="1" applyProtection="1">
      <alignment/>
      <protection/>
    </xf>
    <xf numFmtId="10" fontId="0" fillId="0" borderId="0" xfId="61" applyNumberFormat="1" applyFont="1" applyFill="1">
      <alignment/>
      <protection/>
    </xf>
    <xf numFmtId="0" fontId="0" fillId="0" borderId="0" xfId="61" applyFont="1" applyFill="1">
      <alignment/>
      <protection/>
    </xf>
    <xf numFmtId="165" fontId="0" fillId="0" borderId="0" xfId="61" applyNumberFormat="1" applyFont="1" applyFill="1">
      <alignment/>
      <protection/>
    </xf>
    <xf numFmtId="0" fontId="0" fillId="0" borderId="28" xfId="61" applyFont="1" applyFill="1" applyBorder="1">
      <alignment/>
      <protection/>
    </xf>
    <xf numFmtId="10" fontId="0" fillId="0" borderId="32" xfId="61" applyNumberFormat="1" applyFont="1" applyFill="1" applyBorder="1" applyProtection="1">
      <alignment/>
      <protection/>
    </xf>
    <xf numFmtId="165" fontId="0" fillId="0" borderId="32" xfId="61" applyNumberFormat="1" applyFont="1" applyFill="1" applyBorder="1" applyProtection="1">
      <alignment/>
      <protection/>
    </xf>
    <xf numFmtId="165" fontId="0" fillId="0" borderId="33" xfId="61" applyNumberFormat="1" applyFont="1" applyFill="1" applyBorder="1" applyProtection="1">
      <alignment/>
      <protection/>
    </xf>
    <xf numFmtId="10" fontId="0" fillId="0" borderId="0" xfId="73" applyNumberFormat="1" applyFont="1" applyFill="1" applyBorder="1" applyAlignment="1" applyProtection="1">
      <alignment/>
      <protection/>
    </xf>
    <xf numFmtId="184" fontId="0" fillId="0" borderId="0" xfId="61" applyNumberFormat="1" applyFont="1" applyFill="1" applyBorder="1" applyProtection="1">
      <alignment/>
      <protection/>
    </xf>
    <xf numFmtId="5" fontId="0" fillId="0" borderId="0" xfId="61" applyNumberFormat="1" applyFont="1" applyFill="1" applyProtection="1">
      <alignment/>
      <protection/>
    </xf>
    <xf numFmtId="175" fontId="4" fillId="0" borderId="0" xfId="61" applyNumberFormat="1" applyFont="1" applyFill="1" applyBorder="1" applyProtection="1">
      <alignment/>
      <protection/>
    </xf>
    <xf numFmtId="179" fontId="0" fillId="0" borderId="0" xfId="61" applyNumberFormat="1" applyFont="1" applyFill="1" applyProtection="1">
      <alignment/>
      <protection/>
    </xf>
    <xf numFmtId="5" fontId="0" fillId="0" borderId="0" xfId="61" applyNumberFormat="1" applyFont="1" applyProtection="1">
      <alignment/>
      <protection/>
    </xf>
    <xf numFmtId="179" fontId="0" fillId="0" borderId="0" xfId="61" applyNumberFormat="1" applyFont="1" applyFill="1" applyBorder="1" applyProtection="1">
      <alignment/>
      <protection/>
    </xf>
    <xf numFmtId="0" fontId="0" fillId="0" borderId="0" xfId="61" applyFont="1" applyFill="1" applyBorder="1">
      <alignment/>
      <protection/>
    </xf>
    <xf numFmtId="37" fontId="0" fillId="0" borderId="0" xfId="61" applyNumberFormat="1" applyFont="1" applyFill="1" applyBorder="1" applyProtection="1">
      <alignment/>
      <protection/>
    </xf>
    <xf numFmtId="0" fontId="4" fillId="0" borderId="0" xfId="61" applyFont="1" applyFill="1" applyBorder="1">
      <alignment/>
      <protection/>
    </xf>
    <xf numFmtId="37" fontId="4" fillId="0" borderId="0" xfId="61" applyNumberFormat="1" applyFont="1" applyFill="1" applyBorder="1">
      <alignment/>
      <protection/>
    </xf>
    <xf numFmtId="168" fontId="1" fillId="0" borderId="0" xfId="64" applyNumberFormat="1" applyFont="1" applyProtection="1">
      <alignment/>
      <protection/>
    </xf>
    <xf numFmtId="5" fontId="1" fillId="0" borderId="22" xfId="64" applyNumberFormat="1" applyFont="1" applyBorder="1">
      <alignment/>
      <protection/>
    </xf>
    <xf numFmtId="168" fontId="1" fillId="0" borderId="22" xfId="64" applyNumberFormat="1" applyFont="1" applyBorder="1" applyProtection="1">
      <alignment/>
      <protection/>
    </xf>
    <xf numFmtId="170" fontId="1" fillId="0" borderId="0" xfId="42" applyNumberFormat="1" applyFont="1" applyAlignment="1">
      <alignment/>
    </xf>
    <xf numFmtId="168" fontId="1" fillId="0" borderId="0" xfId="64" applyNumberFormat="1" applyFont="1">
      <alignment/>
      <protection/>
    </xf>
    <xf numFmtId="168" fontId="1" fillId="0" borderId="0" xfId="64" applyNumberFormat="1" applyFont="1" applyAlignment="1" applyProtection="1">
      <alignment horizontal="right"/>
      <protection/>
    </xf>
    <xf numFmtId="37" fontId="0" fillId="0" borderId="0" xfId="0" applyFont="1" applyAlignment="1">
      <alignment/>
    </xf>
    <xf numFmtId="37" fontId="0" fillId="0" borderId="0" xfId="64" applyFont="1" applyAlignment="1" applyProtection="1">
      <alignment horizontal="center"/>
      <protection/>
    </xf>
    <xf numFmtId="37" fontId="0" fillId="0" borderId="15" xfId="0" applyFont="1" applyBorder="1" applyAlignment="1">
      <alignment/>
    </xf>
    <xf numFmtId="37" fontId="0" fillId="0" borderId="14" xfId="0" applyFont="1" applyBorder="1" applyAlignment="1">
      <alignment/>
    </xf>
    <xf numFmtId="37" fontId="0" fillId="0" borderId="0" xfId="0" applyFont="1" applyBorder="1" applyAlignment="1">
      <alignment/>
    </xf>
    <xf numFmtId="37" fontId="0" fillId="0" borderId="0" xfId="0" applyFont="1" applyFill="1" applyBorder="1" applyAlignment="1">
      <alignment/>
    </xf>
    <xf numFmtId="180" fontId="73" fillId="0" borderId="0" xfId="0" applyNumberFormat="1" applyFont="1" applyFill="1" applyBorder="1" applyAlignment="1">
      <alignment horizontal="left" indent="1"/>
    </xf>
    <xf numFmtId="168" fontId="12" fillId="0" borderId="0" xfId="73" applyNumberFormat="1" applyFont="1" applyFill="1" applyBorder="1" applyAlignment="1">
      <alignment/>
    </xf>
    <xf numFmtId="44" fontId="12" fillId="0" borderId="0" xfId="45" applyFont="1" applyFill="1" applyBorder="1" applyAlignment="1">
      <alignment/>
    </xf>
    <xf numFmtId="167" fontId="12" fillId="0" borderId="0" xfId="0" applyNumberFormat="1" applyFont="1" applyFill="1" applyBorder="1" applyAlignment="1">
      <alignment/>
    </xf>
    <xf numFmtId="37" fontId="0" fillId="0" borderId="17" xfId="0" applyFont="1" applyBorder="1" applyAlignment="1">
      <alignment/>
    </xf>
    <xf numFmtId="37" fontId="0" fillId="0" borderId="16" xfId="0" applyFont="1" applyBorder="1" applyAlignment="1">
      <alignment/>
    </xf>
    <xf numFmtId="37" fontId="0" fillId="0" borderId="0" xfId="0" applyFont="1" applyFill="1" applyAlignment="1">
      <alignment horizontal="center"/>
    </xf>
    <xf numFmtId="169" fontId="12" fillId="0" borderId="0" xfId="0" applyNumberFormat="1" applyFont="1" applyFill="1" applyBorder="1" applyAlignment="1">
      <alignment/>
    </xf>
    <xf numFmtId="39" fontId="0" fillId="0" borderId="0" xfId="0" applyNumberFormat="1" applyFont="1" applyAlignment="1">
      <alignment/>
    </xf>
    <xf numFmtId="37" fontId="73" fillId="0" borderId="0" xfId="0" applyFont="1" applyBorder="1" applyAlignment="1">
      <alignment horizontal="center"/>
    </xf>
    <xf numFmtId="37" fontId="12" fillId="0" borderId="0" xfId="0" applyNumberFormat="1" applyFont="1" applyFill="1" applyAlignment="1">
      <alignment/>
    </xf>
    <xf numFmtId="7" fontId="0" fillId="0" borderId="0" xfId="0" applyNumberFormat="1" applyFont="1" applyAlignment="1">
      <alignment/>
    </xf>
    <xf numFmtId="37" fontId="0" fillId="0" borderId="0" xfId="0" applyFont="1" applyAlignment="1">
      <alignment horizontal="right"/>
    </xf>
    <xf numFmtId="14" fontId="0" fillId="0" borderId="0" xfId="0" applyNumberFormat="1" applyFont="1" applyBorder="1" applyAlignment="1">
      <alignment/>
    </xf>
    <xf numFmtId="187" fontId="0" fillId="0" borderId="0" xfId="61" applyNumberFormat="1" applyFont="1" applyFill="1" applyBorder="1" applyProtection="1">
      <alignment/>
      <protection/>
    </xf>
    <xf numFmtId="37" fontId="6" fillId="0" borderId="0" xfId="65" applyFont="1" applyAlignment="1">
      <alignment horizontal="right"/>
      <protection/>
    </xf>
    <xf numFmtId="37" fontId="6" fillId="0" borderId="0" xfId="65" applyFont="1" applyFill="1" applyAlignment="1">
      <alignment horizontal="center"/>
      <protection/>
    </xf>
    <xf numFmtId="37" fontId="4" fillId="0" borderId="0" xfId="65" applyFont="1" applyFill="1" applyAlignment="1">
      <alignment horizontal="center"/>
      <protection/>
    </xf>
    <xf numFmtId="37" fontId="4" fillId="0" borderId="0" xfId="0" applyFont="1" applyFill="1" applyAlignment="1">
      <alignment/>
    </xf>
    <xf numFmtId="10" fontId="4" fillId="0" borderId="0" xfId="0" applyNumberFormat="1" applyFont="1" applyFill="1" applyAlignment="1">
      <alignment horizontal="left"/>
    </xf>
    <xf numFmtId="15" fontId="4" fillId="0" borderId="0" xfId="0" applyNumberFormat="1" applyFont="1" applyFill="1" applyAlignment="1">
      <alignment horizontal="center"/>
    </xf>
    <xf numFmtId="2" fontId="4" fillId="0" borderId="0" xfId="0" applyNumberFormat="1" applyFont="1" applyFill="1" applyAlignment="1">
      <alignment/>
    </xf>
    <xf numFmtId="169" fontId="4" fillId="0" borderId="0" xfId="0" applyNumberFormat="1" applyFont="1" applyFill="1" applyAlignment="1">
      <alignment/>
    </xf>
    <xf numFmtId="10" fontId="4" fillId="0" borderId="0" xfId="0" applyNumberFormat="1" applyFont="1" applyFill="1" applyAlignment="1">
      <alignment/>
    </xf>
    <xf numFmtId="5" fontId="4" fillId="0" borderId="0" xfId="65" applyNumberFormat="1" applyFont="1" applyFill="1" applyProtection="1">
      <alignment/>
      <protection/>
    </xf>
    <xf numFmtId="37" fontId="6" fillId="0" borderId="0" xfId="65" applyFont="1" applyFill="1" applyAlignment="1" applyProtection="1">
      <alignment horizontal="center"/>
      <protection/>
    </xf>
    <xf numFmtId="10" fontId="4" fillId="0" borderId="0" xfId="65" applyNumberFormat="1" applyFont="1" applyFill="1" applyProtection="1">
      <alignment/>
      <protection/>
    </xf>
    <xf numFmtId="168" fontId="4" fillId="0" borderId="0" xfId="65" applyNumberFormat="1" applyFont="1" applyFill="1" applyAlignment="1" applyProtection="1">
      <alignment horizontal="fill"/>
      <protection/>
    </xf>
    <xf numFmtId="0" fontId="11" fillId="0" borderId="0" xfId="69" applyFont="1">
      <alignment/>
      <protection/>
    </xf>
    <xf numFmtId="0" fontId="12" fillId="0" borderId="0" xfId="69" applyFont="1" applyAlignment="1">
      <alignment horizontal="left"/>
      <protection/>
    </xf>
    <xf numFmtId="15" fontId="15" fillId="7" borderId="0" xfId="69" applyNumberFormat="1" applyFont="1" applyFill="1" applyAlignment="1">
      <alignment horizontal="right"/>
      <protection/>
    </xf>
    <xf numFmtId="0" fontId="15" fillId="0" borderId="0" xfId="69" applyFont="1" applyAlignment="1">
      <alignment horizontal="center"/>
      <protection/>
    </xf>
    <xf numFmtId="205" fontId="12" fillId="0" borderId="0" xfId="69" applyNumberFormat="1" applyFont="1" applyFill="1">
      <alignment/>
      <protection/>
    </xf>
    <xf numFmtId="5" fontId="12" fillId="7" borderId="0" xfId="62" applyNumberFormat="1" applyFont="1" applyFill="1" applyBorder="1" applyProtection="1">
      <alignment/>
      <protection/>
    </xf>
    <xf numFmtId="205" fontId="12" fillId="7" borderId="0" xfId="69" applyNumberFormat="1" applyFont="1" applyFill="1">
      <alignment/>
      <protection/>
    </xf>
    <xf numFmtId="0" fontId="74" fillId="0" borderId="0" xfId="69" applyFont="1">
      <alignment/>
      <protection/>
    </xf>
    <xf numFmtId="37" fontId="75" fillId="0" borderId="0" xfId="0" applyFont="1" applyAlignment="1">
      <alignment horizontal="centerContinuous"/>
    </xf>
    <xf numFmtId="37" fontId="1" fillId="0" borderId="0" xfId="64" applyFont="1" applyAlignment="1">
      <alignment horizontal="centerContinuous"/>
      <protection/>
    </xf>
    <xf numFmtId="37" fontId="1" fillId="0" borderId="0" xfId="64" applyFont="1" applyAlignment="1">
      <alignment horizontal="center"/>
      <protection/>
    </xf>
    <xf numFmtId="15" fontId="1" fillId="0" borderId="0" xfId="64" applyNumberFormat="1" applyFont="1" applyProtection="1">
      <alignment/>
      <protection/>
    </xf>
    <xf numFmtId="7" fontId="1" fillId="0" borderId="0" xfId="64" applyNumberFormat="1" applyFont="1" applyProtection="1">
      <alignment/>
      <protection/>
    </xf>
    <xf numFmtId="167" fontId="1" fillId="0" borderId="0" xfId="68" applyNumberFormat="1" applyFont="1">
      <alignment/>
      <protection/>
    </xf>
    <xf numFmtId="1" fontId="1" fillId="0" borderId="0" xfId="68" applyNumberFormat="1" applyFont="1" applyAlignment="1" applyProtection="1">
      <alignment horizontal="center"/>
      <protection/>
    </xf>
    <xf numFmtId="37" fontId="1" fillId="0" borderId="0" xfId="0" applyFont="1" applyAlignment="1">
      <alignment/>
    </xf>
    <xf numFmtId="37" fontId="1" fillId="0" borderId="0" xfId="68" applyNumberFormat="1" applyFont="1" applyBorder="1">
      <alignment/>
      <protection/>
    </xf>
    <xf numFmtId="1" fontId="1" fillId="0" borderId="0" xfId="68" applyNumberFormat="1" applyFont="1" applyProtection="1">
      <alignment/>
      <protection/>
    </xf>
    <xf numFmtId="5" fontId="1" fillId="0" borderId="0" xfId="68" applyNumberFormat="1" applyFont="1" applyProtection="1">
      <alignment/>
      <protection/>
    </xf>
    <xf numFmtId="165" fontId="1" fillId="0" borderId="0" xfId="68" applyNumberFormat="1" applyFont="1" applyProtection="1">
      <alignment/>
      <protection/>
    </xf>
    <xf numFmtId="10" fontId="1" fillId="0" borderId="0" xfId="68" applyNumberFormat="1" applyFont="1" applyProtection="1">
      <alignment/>
      <protection/>
    </xf>
    <xf numFmtId="0" fontId="25" fillId="0" borderId="0" xfId="61" applyFont="1" applyBorder="1" applyAlignment="1" applyProtection="1">
      <alignment horizontal="center" vertical="center" wrapText="1"/>
      <protection/>
    </xf>
    <xf numFmtId="10" fontId="11" fillId="0" borderId="0" xfId="68" applyFont="1" applyAlignment="1">
      <alignment horizontal="center"/>
      <protection/>
    </xf>
    <xf numFmtId="10" fontId="25" fillId="0" borderId="0" xfId="68" applyFont="1" applyBorder="1" applyAlignment="1" applyProtection="1">
      <alignment horizontal="center" vertical="center" wrapText="1"/>
      <protection/>
    </xf>
    <xf numFmtId="172" fontId="25" fillId="0" borderId="0" xfId="68" applyNumberFormat="1" applyFont="1" applyBorder="1" applyAlignment="1" applyProtection="1">
      <alignment horizontal="center" vertical="center" wrapText="1"/>
      <protection/>
    </xf>
    <xf numFmtId="181" fontId="11" fillId="0" borderId="0" xfId="68" applyNumberFormat="1" applyFont="1" applyBorder="1" applyAlignment="1" applyProtection="1">
      <alignment horizontal="center" vertical="center" wrapText="1"/>
      <protection/>
    </xf>
    <xf numFmtId="0" fontId="19" fillId="0" borderId="0" xfId="61" applyFont="1" applyAlignment="1" applyProtection="1">
      <alignment horizontal="center"/>
      <protection/>
    </xf>
    <xf numFmtId="0" fontId="19" fillId="0" borderId="0" xfId="61" applyFont="1" applyFill="1" applyBorder="1" applyAlignment="1" applyProtection="1">
      <alignment horizontal="center" vertical="center" wrapText="1"/>
      <protection/>
    </xf>
    <xf numFmtId="0" fontId="11" fillId="0" borderId="0" xfId="69" applyFont="1" applyFill="1" applyBorder="1" applyAlignment="1" applyProtection="1" quotePrefix="1">
      <alignment horizontal="center" vertical="center" wrapText="1"/>
      <protection/>
    </xf>
    <xf numFmtId="181" fontId="11" fillId="0" borderId="0" xfId="69" applyNumberFormat="1" applyFont="1" applyFill="1" applyBorder="1" applyAlignment="1" applyProtection="1" quotePrefix="1">
      <alignment horizontal="center" vertical="center" wrapText="1"/>
      <protection/>
    </xf>
    <xf numFmtId="37" fontId="14" fillId="0" borderId="16" xfId="0" applyFont="1" applyFill="1" applyBorder="1" applyAlignment="1">
      <alignment horizontal="left"/>
    </xf>
    <xf numFmtId="37" fontId="14" fillId="0" borderId="0" xfId="0" applyFont="1" applyFill="1" applyBorder="1" applyAlignment="1">
      <alignment horizontal="left"/>
    </xf>
    <xf numFmtId="37" fontId="33" fillId="0" borderId="23" xfId="0" applyFont="1" applyFill="1" applyBorder="1" applyAlignment="1">
      <alignment horizontal="left"/>
    </xf>
    <xf numFmtId="37" fontId="33" fillId="0" borderId="15" xfId="0" applyFont="1" applyFill="1" applyBorder="1" applyAlignment="1">
      <alignment horizontal="left"/>
    </xf>
    <xf numFmtId="37" fontId="0" fillId="0" borderId="13" xfId="0" applyFont="1" applyBorder="1" applyAlignment="1">
      <alignment horizontal="left" wrapText="1"/>
    </xf>
    <xf numFmtId="37" fontId="0" fillId="0" borderId="18" xfId="0" applyFont="1" applyBorder="1" applyAlignment="1">
      <alignment horizontal="left" wrapText="1"/>
    </xf>
    <xf numFmtId="37" fontId="0" fillId="0" borderId="19" xfId="0" applyFont="1" applyBorder="1" applyAlignment="1">
      <alignment horizontal="left" wrapText="1"/>
    </xf>
    <xf numFmtId="37" fontId="14" fillId="0" borderId="0" xfId="0" applyFont="1" applyAlignment="1">
      <alignment horizontal="center"/>
    </xf>
    <xf numFmtId="181" fontId="14" fillId="0" borderId="0" xfId="68" applyNumberFormat="1" applyFont="1" applyBorder="1" applyAlignment="1" applyProtection="1">
      <alignment horizontal="center" vertical="center" wrapText="1"/>
      <protection/>
    </xf>
    <xf numFmtId="37" fontId="14" fillId="0" borderId="0" xfId="0" applyFont="1" applyBorder="1" applyAlignment="1">
      <alignment horizontal="center"/>
    </xf>
    <xf numFmtId="181" fontId="14" fillId="0" borderId="0" xfId="0" applyNumberFormat="1" applyFont="1" applyBorder="1" applyAlignment="1">
      <alignment horizontal="center"/>
    </xf>
    <xf numFmtId="37" fontId="14" fillId="0" borderId="0" xfId="65" applyNumberFormat="1" applyFont="1" applyAlignment="1" applyProtection="1">
      <alignment horizontal="center"/>
      <protection/>
    </xf>
    <xf numFmtId="181" fontId="14" fillId="0" borderId="0" xfId="65" applyNumberFormat="1" applyFont="1" applyFill="1" applyAlignment="1" applyProtection="1">
      <alignment horizontal="center"/>
      <protection/>
    </xf>
    <xf numFmtId="0" fontId="14" fillId="0" borderId="0" xfId="69" applyFont="1" applyFill="1" applyAlignment="1" applyProtection="1" quotePrefix="1">
      <alignment horizontal="center"/>
      <protection/>
    </xf>
    <xf numFmtId="181" fontId="14" fillId="0" borderId="0" xfId="69" applyNumberFormat="1" applyFont="1" applyFill="1" applyAlignment="1">
      <alignment horizontal="center"/>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Lisa" xfId="59"/>
    <cellStyle name="Neutral" xfId="60"/>
    <cellStyle name="Normal_AMACAPST" xfId="61"/>
    <cellStyle name="Normal_AMORTONR" xfId="62"/>
    <cellStyle name="Normal_COC DEC 00 Company" xfId="63"/>
    <cellStyle name="Normal_COSTOF" xfId="64"/>
    <cellStyle name="Normal_COSTOFD" xfId="65"/>
    <cellStyle name="Normal_COSTOFPR" xfId="66"/>
    <cellStyle name="Normal_DEG-5C WACC Rate Yr beginning Jun-11 DRAFT2" xfId="67"/>
    <cellStyle name="Normal_RATEOFRE" xfId="68"/>
    <cellStyle name="Normal_SCHEDULE" xfId="69"/>
    <cellStyle name="Normal_WACC" xfId="70"/>
    <cellStyle name="Note" xfId="71"/>
    <cellStyle name="Output" xfId="72"/>
    <cellStyle name="Percent" xfId="73"/>
    <cellStyle name="Title" xfId="74"/>
    <cellStyle name="Total"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466725</xdr:colOff>
      <xdr:row>1</xdr:row>
      <xdr:rowOff>95250</xdr:rowOff>
    </xdr:from>
    <xdr:to>
      <xdr:col>10</xdr:col>
      <xdr:colOff>133350</xdr:colOff>
      <xdr:row>6</xdr:row>
      <xdr:rowOff>95250</xdr:rowOff>
    </xdr:to>
    <xdr:sp>
      <xdr:nvSpPr>
        <xdr:cNvPr id="1" name="Text Box 1"/>
        <xdr:cNvSpPr txBox="1">
          <a:spLocks noChangeArrowheads="1"/>
        </xdr:cNvSpPr>
      </xdr:nvSpPr>
      <xdr:spPr>
        <a:xfrm>
          <a:off x="6886575" y="295275"/>
          <a:ext cx="1952625" cy="866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FERC capital structure is used internally by plant accounting for FERC reporting and capitalization rates.  It is needed once per year in Q1.  The green highlighted items are what they use for AFUDC calcs.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st%20of%20Capital\Cost%20of%20Capital\COC%20Mar%2099\CocJun98\COC%20DEC%2097\AFUDC%20Dec%209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eith\COC%20DEC%2000%20Compan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NT\Temporary%20Internet%20Files\OLK412\Subsidiary%20Roll-up%20for%20Rate%20Perio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stdpt2\fintr\Cost%20of%20Capital\Cost%20of%20Capital\Cost%20of%20Capital%202010\2010%20WACC%20for%20rate%20case%20prep\WACC%20Test%20Yr%20Ending%203-31-10%20Actual%20&amp;%20Pre-Merge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rogram%20Files%20(x86)\Interwoven\WorkSite\Macros\iManO2K.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NDRATE"/>
      <sheetName val="CST Reaquired LTD!"/>
      <sheetName val="Cost of Notes"/>
      <sheetName val="Cst Prfd"/>
      <sheetName val="STD Co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bsidiary RE Rollfwrd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g 1  CofCap"/>
      <sheetName val="Pg 2  Capital Structure"/>
      <sheetName val="Pg 3 STD Cost Rate"/>
      <sheetName val="Pg 4 STD OS &amp; Comm Fees"/>
      <sheetName val="Pg 5 STD Amort"/>
      <sheetName val="Pg 6 Cost of LT Debt "/>
      <sheetName val="Pg 7 Reacquired Debt"/>
      <sheetName val="Appendix --&gt;"/>
      <sheetName val="A1  CofCap-PreMerger Costs"/>
      <sheetName val="A2  STD Cost Rate-Prior Fac"/>
      <sheetName val="A3  STD Int &amp; Fees-Prior Fac"/>
      <sheetName val="A4  STD Amort-Prior Fac"/>
    </sheetNames>
    <sheetDataSet>
      <sheetData sheetId="3">
        <row r="16">
          <cell r="E16">
            <v>0.011564749125603244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33"/>
  <sheetViews>
    <sheetView zoomScalePageLayoutView="0" workbookViewId="0" topLeftCell="A1">
      <selection activeCell="B14" sqref="B14"/>
    </sheetView>
  </sheetViews>
  <sheetFormatPr defaultColWidth="10.66015625" defaultRowHeight="11.25"/>
  <cols>
    <col min="1" max="1" width="27.5" style="371" customWidth="1"/>
    <col min="2" max="2" width="12.83203125" style="371" customWidth="1"/>
    <col min="3" max="3" width="12.16015625" style="371" customWidth="1"/>
    <col min="4" max="4" width="14.33203125" style="371" bestFit="1" customWidth="1"/>
    <col min="5" max="16384" width="10.66015625" style="371" customWidth="1"/>
  </cols>
  <sheetData>
    <row r="1" spans="1:10" ht="12.75">
      <c r="A1" s="369" t="s">
        <v>266</v>
      </c>
      <c r="B1" s="370"/>
      <c r="C1" s="370"/>
      <c r="D1" s="370"/>
      <c r="E1" s="370"/>
      <c r="F1" s="370"/>
      <c r="G1" s="370"/>
      <c r="H1" s="370"/>
      <c r="I1" s="370"/>
      <c r="J1" s="370"/>
    </row>
    <row r="2" spans="1:10" ht="12.75">
      <c r="A2" s="372" t="s">
        <v>201</v>
      </c>
      <c r="B2" s="372"/>
      <c r="C2" s="372"/>
      <c r="D2" s="372"/>
      <c r="E2" s="372"/>
      <c r="F2" s="372"/>
      <c r="G2" s="372"/>
      <c r="H2" s="372"/>
      <c r="I2" s="372"/>
      <c r="J2" s="372"/>
    </row>
    <row r="3" spans="1:10" ht="12.75">
      <c r="A3" s="372"/>
      <c r="B3" s="373"/>
      <c r="C3" s="373"/>
      <c r="D3" s="372"/>
      <c r="E3" s="372"/>
      <c r="F3" s="372"/>
      <c r="G3" s="372"/>
      <c r="H3" s="372"/>
      <c r="I3" s="372"/>
      <c r="J3" s="372"/>
    </row>
    <row r="4" spans="1:10" ht="12.75">
      <c r="A4" s="372"/>
      <c r="B4" s="374" t="s">
        <v>202</v>
      </c>
      <c r="C4" s="374" t="s">
        <v>9</v>
      </c>
      <c r="D4" s="374" t="s">
        <v>203</v>
      </c>
      <c r="E4" s="372"/>
      <c r="F4" s="372"/>
      <c r="G4" s="372"/>
      <c r="H4" s="372"/>
      <c r="I4" s="372"/>
      <c r="J4" s="372"/>
    </row>
    <row r="5" spans="1:10" ht="12.75">
      <c r="A5" s="372" t="s">
        <v>11</v>
      </c>
      <c r="B5" s="373">
        <f>'Pg 1 CofCap'!D14</f>
        <v>0.0137</v>
      </c>
      <c r="C5" s="373">
        <f>'Pg 1 CofCap'!E14</f>
        <v>0.0574221662638043</v>
      </c>
      <c r="D5" s="373">
        <f>ROUND(B5*C5,5)</f>
        <v>0.00079</v>
      </c>
      <c r="E5" s="372"/>
      <c r="F5" s="373">
        <f>B5/G9*C5</f>
        <v>0.0015257635333865767</v>
      </c>
      <c r="G5" s="372"/>
      <c r="H5" s="372"/>
      <c r="I5" s="372"/>
      <c r="J5" s="372"/>
    </row>
    <row r="6" spans="1:10" ht="12.75">
      <c r="A6" s="372" t="s">
        <v>12</v>
      </c>
      <c r="B6" s="375">
        <f>'Pg 1 CofCap'!D16</f>
        <v>0.5019</v>
      </c>
      <c r="C6" s="375">
        <f>'Pg 1 CofCap'!E16</f>
        <v>0.0622</v>
      </c>
      <c r="D6" s="373">
        <f>ROUND(B6*C6,5)</f>
        <v>0.03122</v>
      </c>
      <c r="E6" s="372"/>
      <c r="F6" s="373">
        <f>B6/G9*C6</f>
        <v>0.06054728471683475</v>
      </c>
      <c r="G6" s="372"/>
      <c r="H6" s="372"/>
      <c r="I6" s="372"/>
      <c r="J6" s="372"/>
    </row>
    <row r="7" spans="1:10" ht="12.75">
      <c r="A7" s="372" t="s">
        <v>106</v>
      </c>
      <c r="B7" s="373">
        <v>0</v>
      </c>
      <c r="C7" s="373">
        <v>0</v>
      </c>
      <c r="D7" s="373">
        <f>ROUND(B7*C7,5)</f>
        <v>0</v>
      </c>
      <c r="E7" s="372"/>
      <c r="F7" s="372"/>
      <c r="G7" s="376">
        <f>SUM(F5:F6)</f>
        <v>0.06207304825022133</v>
      </c>
      <c r="H7" s="372" t="s">
        <v>204</v>
      </c>
      <c r="I7" s="372"/>
      <c r="J7" s="372"/>
    </row>
    <row r="8" spans="1:10" ht="13.5" thickBot="1">
      <c r="A8" s="372" t="s">
        <v>107</v>
      </c>
      <c r="B8" s="373">
        <f>'Pg 1 CofCap'!D18</f>
        <v>0.4844</v>
      </c>
      <c r="C8" s="373">
        <f>'Pg 1 CofCap'!E18</f>
        <v>0.098</v>
      </c>
      <c r="D8" s="373">
        <f>ROUND(B8*C8,5)</f>
        <v>0.04747</v>
      </c>
      <c r="E8" s="372"/>
      <c r="F8" s="372"/>
      <c r="G8" s="377">
        <f>G7*0.65</f>
        <v>0.040347481362643864</v>
      </c>
      <c r="H8" s="372" t="s">
        <v>205</v>
      </c>
      <c r="I8" s="372"/>
      <c r="J8" s="372"/>
    </row>
    <row r="9" spans="1:10" ht="13.5" thickBot="1">
      <c r="A9" s="378" t="s">
        <v>214</v>
      </c>
      <c r="B9" s="379">
        <f>SUM(B5:B8)</f>
        <v>1</v>
      </c>
      <c r="C9" s="380"/>
      <c r="D9" s="381">
        <f>SUM(D5:D8)</f>
        <v>0.07948</v>
      </c>
      <c r="E9" s="372"/>
      <c r="F9" s="372"/>
      <c r="G9" s="382">
        <f>SUM(B5:B6)</f>
        <v>0.5156000000000001</v>
      </c>
      <c r="H9" s="372" t="s">
        <v>207</v>
      </c>
      <c r="I9" s="372"/>
      <c r="J9" s="372"/>
    </row>
    <row r="10" spans="1:10" ht="13.5" thickBot="1">
      <c r="A10" s="372"/>
      <c r="B10" s="372"/>
      <c r="C10" s="372"/>
      <c r="D10" s="372"/>
      <c r="E10" s="372"/>
      <c r="F10" s="372"/>
      <c r="I10" s="372"/>
      <c r="J10" s="372"/>
    </row>
    <row r="11" spans="1:10" ht="13.5" thickBot="1">
      <c r="A11" s="378" t="s">
        <v>208</v>
      </c>
      <c r="B11" s="372"/>
      <c r="C11" s="372"/>
      <c r="D11" s="381">
        <f>(D6+D5)*0.65+D7+D8</f>
        <v>0.0682765</v>
      </c>
      <c r="E11" s="372"/>
      <c r="F11" s="372"/>
      <c r="G11" s="372"/>
      <c r="H11" s="378" t="s">
        <v>209</v>
      </c>
      <c r="I11" s="372"/>
      <c r="J11" s="372"/>
    </row>
    <row r="12" spans="1:10" ht="12.75">
      <c r="A12" s="372"/>
      <c r="B12" s="372"/>
      <c r="C12" s="372"/>
      <c r="D12" s="372"/>
      <c r="E12" s="372"/>
      <c r="G12" s="383">
        <f>G9*G8</f>
        <v>0.020803161390579177</v>
      </c>
      <c r="H12" s="371" t="s">
        <v>210</v>
      </c>
      <c r="I12" s="372"/>
      <c r="J12" s="372"/>
    </row>
    <row r="13" spans="1:10" ht="12.75">
      <c r="A13" s="372"/>
      <c r="B13" s="372"/>
      <c r="C13" s="372"/>
      <c r="D13" s="372"/>
      <c r="E13" s="372"/>
      <c r="F13" s="372"/>
      <c r="G13" s="382">
        <f>D7</f>
        <v>0</v>
      </c>
      <c r="H13" s="371" t="s">
        <v>211</v>
      </c>
      <c r="I13" s="372"/>
      <c r="J13" s="372"/>
    </row>
    <row r="14" spans="1:10" ht="12.75">
      <c r="A14" s="372" t="s">
        <v>212</v>
      </c>
      <c r="B14" s="372"/>
      <c r="C14" s="372"/>
      <c r="D14" s="384">
        <f>D11/0.65</f>
        <v>0.10504076923076923</v>
      </c>
      <c r="E14" s="372"/>
      <c r="F14" s="372"/>
      <c r="G14" s="382">
        <f>D8</f>
        <v>0.04747</v>
      </c>
      <c r="H14" s="371" t="s">
        <v>213</v>
      </c>
      <c r="I14" s="372"/>
      <c r="J14" s="372"/>
    </row>
    <row r="15" spans="1:10" ht="12.75">
      <c r="A15" s="372"/>
      <c r="B15" s="372"/>
      <c r="C15" s="372"/>
      <c r="D15" s="372"/>
      <c r="E15" s="372"/>
      <c r="F15" s="373"/>
      <c r="G15" s="385">
        <f>SUM(G12:G14)</f>
        <v>0.06827316139057918</v>
      </c>
      <c r="H15" s="372"/>
      <c r="I15" s="372"/>
      <c r="J15" s="372"/>
    </row>
    <row r="17" spans="1:10" ht="12.75">
      <c r="A17" s="369" t="s">
        <v>258</v>
      </c>
      <c r="B17" s="370"/>
      <c r="C17" s="370"/>
      <c r="D17" s="370"/>
      <c r="E17" s="370"/>
      <c r="F17" s="370"/>
      <c r="G17" s="370"/>
      <c r="H17" s="370"/>
      <c r="I17" s="370"/>
      <c r="J17" s="370"/>
    </row>
    <row r="18" spans="1:10" ht="12.75">
      <c r="A18" s="372" t="s">
        <v>201</v>
      </c>
      <c r="B18" s="372"/>
      <c r="C18" s="372"/>
      <c r="D18" s="372"/>
      <c r="E18" s="372"/>
      <c r="F18" s="372"/>
      <c r="G18" s="372"/>
      <c r="H18" s="372"/>
      <c r="I18" s="372"/>
      <c r="J18" s="372"/>
    </row>
    <row r="19" spans="1:10" ht="12.75">
      <c r="A19" s="372"/>
      <c r="B19" s="373"/>
      <c r="C19" s="373"/>
      <c r="D19" s="372"/>
      <c r="E19" s="372"/>
      <c r="F19" s="372"/>
      <c r="G19" s="372"/>
      <c r="H19" s="372"/>
      <c r="I19" s="372"/>
      <c r="J19" s="372"/>
    </row>
    <row r="20" spans="1:10" ht="12.75">
      <c r="A20" s="372"/>
      <c r="B20" s="374" t="s">
        <v>202</v>
      </c>
      <c r="C20" s="374" t="s">
        <v>9</v>
      </c>
      <c r="D20" s="374" t="s">
        <v>203</v>
      </c>
      <c r="E20" s="372"/>
      <c r="F20" s="372"/>
      <c r="G20" s="372"/>
      <c r="H20" s="372"/>
      <c r="I20" s="372"/>
      <c r="J20" s="372"/>
    </row>
    <row r="21" spans="1:10" ht="12.75">
      <c r="A21" s="372" t="s">
        <v>11</v>
      </c>
      <c r="B21" s="373">
        <v>0.0126</v>
      </c>
      <c r="C21" s="373">
        <v>0.0649</v>
      </c>
      <c r="D21" s="373">
        <f>ROUND(B21*C21,5)</f>
        <v>0.00082</v>
      </c>
      <c r="E21" s="372"/>
      <c r="F21" s="373">
        <f>B21/G25*C21</f>
        <v>0.0015817021276595747</v>
      </c>
      <c r="G21" s="372"/>
      <c r="H21" s="372"/>
      <c r="I21" s="372"/>
      <c r="J21" s="372"/>
    </row>
    <row r="22" spans="1:10" ht="12.75">
      <c r="A22" s="372" t="s">
        <v>12</v>
      </c>
      <c r="B22" s="375">
        <v>0.5044</v>
      </c>
      <c r="C22" s="375">
        <v>0.0622</v>
      </c>
      <c r="D22" s="373">
        <f>ROUND(B22*C22,5)</f>
        <v>0.03137</v>
      </c>
      <c r="E22" s="372"/>
      <c r="F22" s="373">
        <f>B22/G25*C22</f>
        <v>0.060684100580270794</v>
      </c>
      <c r="G22" s="372"/>
      <c r="H22" s="372"/>
      <c r="I22" s="372"/>
      <c r="J22" s="372"/>
    </row>
    <row r="23" spans="1:10" ht="12.75">
      <c r="A23" s="372" t="s">
        <v>106</v>
      </c>
      <c r="B23" s="373">
        <v>0</v>
      </c>
      <c r="C23" s="373">
        <v>0</v>
      </c>
      <c r="D23" s="373">
        <f>ROUND(B23*C23,5)</f>
        <v>0</v>
      </c>
      <c r="E23" s="372"/>
      <c r="F23" s="372"/>
      <c r="G23" s="376">
        <f>SUM(F21:F22)</f>
        <v>0.06226580270793037</v>
      </c>
      <c r="H23" s="372" t="s">
        <v>204</v>
      </c>
      <c r="I23" s="372"/>
      <c r="J23" s="372"/>
    </row>
    <row r="24" spans="1:10" ht="13.5" thickBot="1">
      <c r="A24" s="372" t="s">
        <v>107</v>
      </c>
      <c r="B24" s="373">
        <v>0.483</v>
      </c>
      <c r="C24" s="373">
        <f>'Pg 1 CofCap'!E18</f>
        <v>0.098</v>
      </c>
      <c r="D24" s="373">
        <f>ROUND(B24*C24,5)</f>
        <v>0.04733</v>
      </c>
      <c r="E24" s="372"/>
      <c r="F24" s="372"/>
      <c r="G24" s="377">
        <f>G23*0.65</f>
        <v>0.04047277176015474</v>
      </c>
      <c r="H24" s="372" t="s">
        <v>205</v>
      </c>
      <c r="I24" s="372"/>
      <c r="J24" s="372"/>
    </row>
    <row r="25" spans="1:10" ht="13.5" thickBot="1">
      <c r="A25" s="378" t="s">
        <v>214</v>
      </c>
      <c r="B25" s="379">
        <f>SUM(B21:B24)</f>
        <v>0.9999999999999999</v>
      </c>
      <c r="C25" s="380"/>
      <c r="D25" s="381">
        <f>SUM(D21:D24)</f>
        <v>0.07952000000000001</v>
      </c>
      <c r="E25" s="372"/>
      <c r="F25" s="372"/>
      <c r="G25" s="382">
        <f>SUM(B21:B22)</f>
        <v>0.5169999999999999</v>
      </c>
      <c r="H25" s="372" t="s">
        <v>207</v>
      </c>
      <c r="I25" s="372"/>
      <c r="J25" s="372"/>
    </row>
    <row r="26" spans="1:10" ht="13.5" thickBot="1">
      <c r="A26" s="372"/>
      <c r="B26" s="372"/>
      <c r="C26" s="372"/>
      <c r="D26" s="372"/>
      <c r="E26" s="372"/>
      <c r="F26" s="372"/>
      <c r="I26" s="372"/>
      <c r="J26" s="372"/>
    </row>
    <row r="27" spans="1:10" ht="13.5" thickBot="1">
      <c r="A27" s="378" t="s">
        <v>208</v>
      </c>
      <c r="B27" s="372"/>
      <c r="C27" s="372"/>
      <c r="D27" s="381">
        <f>(D22+D21)*0.65+D23+D24</f>
        <v>0.0682535</v>
      </c>
      <c r="E27" s="372"/>
      <c r="F27" s="372"/>
      <c r="G27" s="372"/>
      <c r="H27" s="378" t="s">
        <v>209</v>
      </c>
      <c r="I27" s="372"/>
      <c r="J27" s="372"/>
    </row>
    <row r="28" spans="1:10" ht="12.75">
      <c r="A28" s="372"/>
      <c r="B28" s="372"/>
      <c r="C28" s="372"/>
      <c r="D28" s="372"/>
      <c r="E28" s="372"/>
      <c r="G28" s="383">
        <f>G25*G24</f>
        <v>0.020924422999999998</v>
      </c>
      <c r="H28" s="371" t="s">
        <v>210</v>
      </c>
      <c r="I28" s="372"/>
      <c r="J28" s="372"/>
    </row>
    <row r="29" spans="1:10" ht="12.75">
      <c r="A29" s="372"/>
      <c r="B29" s="372"/>
      <c r="C29" s="372"/>
      <c r="D29" s="372"/>
      <c r="E29" s="372"/>
      <c r="F29" s="372"/>
      <c r="G29" s="382">
        <f>D23</f>
        <v>0</v>
      </c>
      <c r="H29" s="371" t="s">
        <v>211</v>
      </c>
      <c r="I29" s="372"/>
      <c r="J29" s="372"/>
    </row>
    <row r="30" spans="1:10" ht="12.75">
      <c r="A30" s="372" t="s">
        <v>212</v>
      </c>
      <c r="B30" s="372"/>
      <c r="C30" s="372"/>
      <c r="D30" s="384">
        <f>D27/0.65</f>
        <v>0.1050053846153846</v>
      </c>
      <c r="E30" s="372"/>
      <c r="F30" s="372"/>
      <c r="G30" s="382">
        <f>D24</f>
        <v>0.04733</v>
      </c>
      <c r="H30" s="371" t="s">
        <v>213</v>
      </c>
      <c r="I30" s="372"/>
      <c r="J30" s="372"/>
    </row>
    <row r="31" spans="1:10" ht="12.75">
      <c r="A31" s="372"/>
      <c r="B31" s="372"/>
      <c r="C31" s="372"/>
      <c r="D31" s="372"/>
      <c r="E31" s="372"/>
      <c r="F31" s="373"/>
      <c r="G31" s="385">
        <f>SUM(G28:G30)</f>
        <v>0.068254423</v>
      </c>
      <c r="H31" s="372"/>
      <c r="I31" s="372"/>
      <c r="J31" s="372"/>
    </row>
    <row r="32" spans="1:10" ht="12.75">
      <c r="A32" s="372"/>
      <c r="B32" s="372"/>
      <c r="C32" s="372"/>
      <c r="D32" s="372"/>
      <c r="E32" s="372"/>
      <c r="F32" s="372"/>
      <c r="G32" s="372"/>
      <c r="H32" s="372"/>
      <c r="I32" s="372"/>
      <c r="J32" s="372"/>
    </row>
    <row r="33" spans="1:10" ht="12.75">
      <c r="A33" s="369" t="s">
        <v>257</v>
      </c>
      <c r="B33" s="370"/>
      <c r="C33" s="370"/>
      <c r="D33" s="370"/>
      <c r="E33" s="370"/>
      <c r="F33" s="370"/>
      <c r="G33" s="370"/>
      <c r="H33" s="370"/>
      <c r="I33" s="370"/>
      <c r="J33" s="370"/>
    </row>
    <row r="34" spans="1:10" ht="12.75">
      <c r="A34" s="372" t="s">
        <v>201</v>
      </c>
      <c r="B34" s="372"/>
      <c r="C34" s="372"/>
      <c r="D34" s="372"/>
      <c r="E34" s="372"/>
      <c r="F34" s="372"/>
      <c r="G34" s="372"/>
      <c r="H34" s="372"/>
      <c r="I34" s="372"/>
      <c r="J34" s="372"/>
    </row>
    <row r="35" spans="1:10" ht="12.75">
      <c r="A35" s="372"/>
      <c r="B35" s="373"/>
      <c r="C35" s="373"/>
      <c r="D35" s="372"/>
      <c r="E35" s="372"/>
      <c r="F35" s="372"/>
      <c r="G35" s="372"/>
      <c r="H35" s="372"/>
      <c r="I35" s="372"/>
      <c r="J35" s="372"/>
    </row>
    <row r="36" spans="1:10" ht="12.75">
      <c r="A36" s="372"/>
      <c r="B36" s="374" t="s">
        <v>202</v>
      </c>
      <c r="C36" s="374" t="s">
        <v>9</v>
      </c>
      <c r="D36" s="374" t="s">
        <v>203</v>
      </c>
      <c r="E36" s="372"/>
      <c r="F36" s="372"/>
      <c r="G36" s="372"/>
      <c r="H36" s="372"/>
      <c r="I36" s="372"/>
      <c r="J36" s="372"/>
    </row>
    <row r="37" spans="1:10" ht="12.75">
      <c r="A37" s="372" t="s">
        <v>11</v>
      </c>
      <c r="B37" s="373">
        <v>0.0223</v>
      </c>
      <c r="C37" s="373">
        <v>0.0439</v>
      </c>
      <c r="D37" s="373">
        <f>ROUND(B37*C37,5)</f>
        <v>0.00098</v>
      </c>
      <c r="E37" s="372"/>
      <c r="F37" s="373">
        <f>B37/G41*C37</f>
        <v>0.001906465433300876</v>
      </c>
      <c r="G37" s="372"/>
      <c r="H37" s="372"/>
      <c r="I37" s="372"/>
      <c r="J37" s="372"/>
    </row>
    <row r="38" spans="1:10" ht="12.75">
      <c r="A38" s="372" t="s">
        <v>12</v>
      </c>
      <c r="B38" s="375">
        <v>0.4912</v>
      </c>
      <c r="C38" s="375">
        <v>0.0638</v>
      </c>
      <c r="D38" s="373">
        <f>ROUND(B38*C38,5)</f>
        <v>0.03134</v>
      </c>
      <c r="E38" s="372"/>
      <c r="F38" s="373">
        <f>B38/G41*C38</f>
        <v>0.06102932814021421</v>
      </c>
      <c r="G38" s="372"/>
      <c r="H38" s="372"/>
      <c r="I38" s="372"/>
      <c r="J38" s="372"/>
    </row>
    <row r="39" spans="1:10" ht="12.75">
      <c r="A39" s="372" t="s">
        <v>106</v>
      </c>
      <c r="B39" s="373">
        <v>0</v>
      </c>
      <c r="C39" s="373">
        <v>0</v>
      </c>
      <c r="D39" s="373">
        <f>ROUND(B39*C39,5)</f>
        <v>0</v>
      </c>
      <c r="E39" s="372"/>
      <c r="F39" s="372"/>
      <c r="G39" s="376">
        <f>SUM(F37:F38)</f>
        <v>0.06293579357351509</v>
      </c>
      <c r="H39" s="372" t="s">
        <v>204</v>
      </c>
      <c r="I39" s="372"/>
      <c r="J39" s="372"/>
    </row>
    <row r="40" spans="1:10" ht="13.5" thickBot="1">
      <c r="A40" s="372" t="s">
        <v>107</v>
      </c>
      <c r="B40" s="373">
        <v>0.4865</v>
      </c>
      <c r="C40" s="373">
        <v>0.101</v>
      </c>
      <c r="D40" s="373">
        <f>ROUND(B40*C40,5)</f>
        <v>0.04914</v>
      </c>
      <c r="E40" s="372"/>
      <c r="F40" s="372"/>
      <c r="G40" s="377">
        <f>G39*0.65</f>
        <v>0.040908265822784805</v>
      </c>
      <c r="H40" s="372" t="s">
        <v>205</v>
      </c>
      <c r="I40" s="372"/>
      <c r="J40" s="372"/>
    </row>
    <row r="41" spans="1:10" ht="13.5" thickBot="1">
      <c r="A41" s="378" t="s">
        <v>214</v>
      </c>
      <c r="B41" s="379">
        <f>SUM(B37:B40)</f>
        <v>1</v>
      </c>
      <c r="C41" s="380"/>
      <c r="D41" s="381">
        <f>SUM(D37:D40)</f>
        <v>0.08146</v>
      </c>
      <c r="E41" s="372"/>
      <c r="F41" s="372"/>
      <c r="G41" s="382">
        <f>SUM(B37:B38)</f>
        <v>0.5135000000000001</v>
      </c>
      <c r="H41" s="372" t="s">
        <v>207</v>
      </c>
      <c r="I41" s="372"/>
      <c r="J41" s="372"/>
    </row>
    <row r="42" spans="1:10" ht="13.5" thickBot="1">
      <c r="A42" s="372"/>
      <c r="B42" s="372"/>
      <c r="C42" s="372"/>
      <c r="D42" s="372"/>
      <c r="E42" s="372"/>
      <c r="F42" s="372"/>
      <c r="I42" s="372"/>
      <c r="J42" s="372"/>
    </row>
    <row r="43" spans="1:10" ht="13.5" thickBot="1">
      <c r="A43" s="378" t="s">
        <v>208</v>
      </c>
      <c r="B43" s="372"/>
      <c r="C43" s="372"/>
      <c r="D43" s="381">
        <f>(D38+D37)*0.65+D39+D40</f>
        <v>0.070148</v>
      </c>
      <c r="E43" s="372"/>
      <c r="F43" s="372"/>
      <c r="G43" s="372"/>
      <c r="H43" s="378" t="s">
        <v>209</v>
      </c>
      <c r="I43" s="372"/>
      <c r="J43" s="372"/>
    </row>
    <row r="44" spans="1:10" ht="12.75">
      <c r="A44" s="372"/>
      <c r="B44" s="372"/>
      <c r="C44" s="372"/>
      <c r="D44" s="372"/>
      <c r="E44" s="372"/>
      <c r="G44" s="383">
        <f>G41*G40</f>
        <v>0.0210063945</v>
      </c>
      <c r="H44" s="371" t="s">
        <v>210</v>
      </c>
      <c r="I44" s="372"/>
      <c r="J44" s="372"/>
    </row>
    <row r="45" spans="1:10" ht="12.75">
      <c r="A45" s="372"/>
      <c r="B45" s="372"/>
      <c r="C45" s="372"/>
      <c r="D45" s="372"/>
      <c r="E45" s="372"/>
      <c r="F45" s="372"/>
      <c r="G45" s="382">
        <f>D39</f>
        <v>0</v>
      </c>
      <c r="H45" s="371" t="s">
        <v>211</v>
      </c>
      <c r="I45" s="372"/>
      <c r="J45" s="372"/>
    </row>
    <row r="46" spans="1:10" ht="12.75">
      <c r="A46" s="372" t="s">
        <v>212</v>
      </c>
      <c r="B46" s="372"/>
      <c r="C46" s="372"/>
      <c r="D46" s="384">
        <f>D43/0.65</f>
        <v>0.10792</v>
      </c>
      <c r="E46" s="372"/>
      <c r="F46" s="372"/>
      <c r="G46" s="382">
        <f>D40</f>
        <v>0.04914</v>
      </c>
      <c r="H46" s="371" t="s">
        <v>213</v>
      </c>
      <c r="I46" s="372"/>
      <c r="J46" s="372"/>
    </row>
    <row r="47" spans="1:10" ht="12.75">
      <c r="A47" s="372"/>
      <c r="B47" s="372"/>
      <c r="C47" s="372"/>
      <c r="D47" s="372"/>
      <c r="E47" s="372"/>
      <c r="F47" s="373"/>
      <c r="G47" s="385">
        <f>SUM(G44:G46)</f>
        <v>0.0701463945</v>
      </c>
      <c r="H47" s="372"/>
      <c r="I47" s="372"/>
      <c r="J47" s="372"/>
    </row>
    <row r="48" spans="1:10" ht="12.75">
      <c r="A48" s="372"/>
      <c r="B48" s="372"/>
      <c r="C48" s="372"/>
      <c r="D48" s="372"/>
      <c r="E48" s="372"/>
      <c r="F48" s="372"/>
      <c r="G48" s="372"/>
      <c r="H48" s="372"/>
      <c r="I48" s="372"/>
      <c r="J48" s="372"/>
    </row>
    <row r="49" spans="1:10" ht="12.75">
      <c r="A49" s="369" t="s">
        <v>217</v>
      </c>
      <c r="B49" s="370"/>
      <c r="C49" s="370"/>
      <c r="D49" s="370"/>
      <c r="E49" s="370"/>
      <c r="F49" s="370"/>
      <c r="G49" s="370"/>
      <c r="H49" s="386"/>
      <c r="I49" s="386"/>
      <c r="J49" s="386"/>
    </row>
    <row r="50" spans="1:7" ht="12.75">
      <c r="A50" s="372" t="s">
        <v>201</v>
      </c>
      <c r="B50" s="372"/>
      <c r="C50" s="372"/>
      <c r="D50" s="372"/>
      <c r="E50" s="372"/>
      <c r="F50" s="372"/>
      <c r="G50" s="372"/>
    </row>
    <row r="51" spans="1:7" ht="12.75">
      <c r="A51" s="372"/>
      <c r="B51" s="372"/>
      <c r="C51" s="372"/>
      <c r="D51" s="372"/>
      <c r="E51" s="372"/>
      <c r="F51" s="372"/>
      <c r="G51" s="372"/>
    </row>
    <row r="52" spans="1:7" ht="12.75">
      <c r="A52" s="372"/>
      <c r="B52" s="374" t="s">
        <v>202</v>
      </c>
      <c r="C52" s="374" t="s">
        <v>9</v>
      </c>
      <c r="D52" s="374" t="s">
        <v>203</v>
      </c>
      <c r="E52" s="372"/>
      <c r="F52" s="372"/>
      <c r="G52" s="372"/>
    </row>
    <row r="53" spans="1:7" ht="12.75">
      <c r="A53" s="372" t="s">
        <v>11</v>
      </c>
      <c r="B53" s="373">
        <v>0.0205</v>
      </c>
      <c r="C53" s="373">
        <v>0.0511</v>
      </c>
      <c r="D53" s="373">
        <f>B53*C53</f>
        <v>0.00104755</v>
      </c>
      <c r="E53" s="372"/>
      <c r="F53" s="373">
        <f>B53/G57*C53</f>
        <v>0.002032499029879705</v>
      </c>
      <c r="G53" s="372"/>
    </row>
    <row r="54" spans="1:7" ht="12.75">
      <c r="A54" s="372" t="s">
        <v>12</v>
      </c>
      <c r="B54" s="373">
        <v>0.4949</v>
      </c>
      <c r="C54" s="373">
        <v>0.0659</v>
      </c>
      <c r="D54" s="373">
        <f>B54*C54</f>
        <v>0.03261391</v>
      </c>
      <c r="E54" s="372"/>
      <c r="F54" s="373">
        <f>B54/G57*C54</f>
        <v>0.06327883197516493</v>
      </c>
      <c r="G54" s="372"/>
    </row>
    <row r="55" spans="1:8" ht="12.75">
      <c r="A55" s="372" t="s">
        <v>106</v>
      </c>
      <c r="B55" s="373">
        <v>0</v>
      </c>
      <c r="C55" s="373">
        <v>0</v>
      </c>
      <c r="D55" s="375">
        <f>B55*C55</f>
        <v>0</v>
      </c>
      <c r="E55" s="372"/>
      <c r="F55" s="372"/>
      <c r="G55" s="376">
        <f>SUM(F53:F54)</f>
        <v>0.06531133100504463</v>
      </c>
      <c r="H55" s="372" t="s">
        <v>204</v>
      </c>
    </row>
    <row r="56" spans="1:8" ht="13.5" thickBot="1">
      <c r="A56" s="372" t="s">
        <v>107</v>
      </c>
      <c r="B56" s="373">
        <v>0.4846</v>
      </c>
      <c r="C56" s="373">
        <v>0.101</v>
      </c>
      <c r="D56" s="375">
        <f>B56*C56</f>
        <v>0.0489446</v>
      </c>
      <c r="E56" s="372"/>
      <c r="F56" s="372"/>
      <c r="G56" s="377">
        <f>G55*0.65</f>
        <v>0.04245236515327901</v>
      </c>
      <c r="H56" s="372" t="s">
        <v>205</v>
      </c>
    </row>
    <row r="57" spans="1:8" ht="13.5" thickBot="1">
      <c r="A57" s="378" t="s">
        <v>214</v>
      </c>
      <c r="B57" s="379">
        <f>SUM(B53:B56)</f>
        <v>1</v>
      </c>
      <c r="C57" s="380"/>
      <c r="D57" s="381">
        <f>SUM(D53:D56)</f>
        <v>0.08260606000000001</v>
      </c>
      <c r="E57" s="372"/>
      <c r="F57" s="372"/>
      <c r="G57" s="382">
        <f>SUM(B53:B54)</f>
        <v>0.5154</v>
      </c>
      <c r="H57" s="372" t="s">
        <v>207</v>
      </c>
    </row>
    <row r="58" spans="1:6" ht="13.5" thickBot="1">
      <c r="A58" s="372"/>
      <c r="B58" s="372"/>
      <c r="C58" s="372"/>
      <c r="D58" s="372"/>
      <c r="E58" s="372"/>
      <c r="F58" s="372"/>
    </row>
    <row r="59" spans="1:8" ht="13.5" thickBot="1">
      <c r="A59" s="378" t="s">
        <v>208</v>
      </c>
      <c r="B59" s="372"/>
      <c r="C59" s="372"/>
      <c r="D59" s="381">
        <f>(D54+D53)*0.65+D55+D56</f>
        <v>0.070824549</v>
      </c>
      <c r="E59" s="372"/>
      <c r="F59" s="372"/>
      <c r="G59" s="372"/>
      <c r="H59" s="378" t="s">
        <v>209</v>
      </c>
    </row>
    <row r="60" spans="1:8" ht="12.75">
      <c r="A60" s="372"/>
      <c r="B60" s="372"/>
      <c r="C60" s="372"/>
      <c r="D60" s="372"/>
      <c r="E60" s="372"/>
      <c r="G60" s="383">
        <f>G57*G56</f>
        <v>0.021879949000000003</v>
      </c>
      <c r="H60" s="371" t="s">
        <v>210</v>
      </c>
    </row>
    <row r="61" spans="1:8" ht="12.75">
      <c r="A61" s="372"/>
      <c r="B61" s="372"/>
      <c r="C61" s="372"/>
      <c r="D61" s="372"/>
      <c r="E61" s="372"/>
      <c r="F61" s="372"/>
      <c r="G61" s="382">
        <f>D55</f>
        <v>0</v>
      </c>
      <c r="H61" s="371" t="s">
        <v>211</v>
      </c>
    </row>
    <row r="62" spans="1:8" ht="12.75">
      <c r="A62" s="372" t="s">
        <v>212</v>
      </c>
      <c r="B62" s="372"/>
      <c r="C62" s="372"/>
      <c r="D62" s="384">
        <f>D59/0.65</f>
        <v>0.10896084461538462</v>
      </c>
      <c r="E62" s="372"/>
      <c r="F62" s="372"/>
      <c r="G62" s="382">
        <f>D56</f>
        <v>0.0489446</v>
      </c>
      <c r="H62" s="371" t="s">
        <v>213</v>
      </c>
    </row>
    <row r="63" spans="1:7" ht="12.75">
      <c r="A63" s="372"/>
      <c r="B63" s="372"/>
      <c r="C63" s="372"/>
      <c r="D63" s="372"/>
      <c r="E63" s="372"/>
      <c r="F63" s="373"/>
      <c r="G63" s="385">
        <f>SUM(G60:G62)</f>
        <v>0.070824549</v>
      </c>
    </row>
    <row r="65" spans="1:10" ht="12.75">
      <c r="A65" s="369" t="s">
        <v>215</v>
      </c>
      <c r="B65" s="370"/>
      <c r="C65" s="370"/>
      <c r="D65" s="370"/>
      <c r="E65" s="370"/>
      <c r="F65" s="370"/>
      <c r="G65" s="370"/>
      <c r="H65" s="386"/>
      <c r="I65" s="386"/>
      <c r="J65" s="386"/>
    </row>
    <row r="66" spans="1:7" ht="12.75">
      <c r="A66" s="372" t="s">
        <v>201</v>
      </c>
      <c r="B66" s="372"/>
      <c r="C66" s="372"/>
      <c r="D66" s="372"/>
      <c r="E66" s="372"/>
      <c r="F66" s="372"/>
      <c r="G66" s="372"/>
    </row>
    <row r="67" spans="1:7" ht="12.75">
      <c r="A67" s="372"/>
      <c r="B67" s="372"/>
      <c r="C67" s="372"/>
      <c r="D67" s="372"/>
      <c r="E67" s="372"/>
      <c r="F67" s="372"/>
      <c r="G67" s="372"/>
    </row>
    <row r="68" spans="1:7" ht="12.75">
      <c r="A68" s="372"/>
      <c r="B68" s="374" t="s">
        <v>202</v>
      </c>
      <c r="C68" s="374" t="s">
        <v>9</v>
      </c>
      <c r="D68" s="374" t="s">
        <v>203</v>
      </c>
      <c r="E68" s="372"/>
      <c r="F68" s="372"/>
      <c r="G68" s="372"/>
    </row>
    <row r="69" spans="1:7" ht="12.75">
      <c r="A69" s="372" t="s">
        <v>11</v>
      </c>
      <c r="B69" s="373">
        <v>0.0378</v>
      </c>
      <c r="C69" s="373">
        <v>0.03717940715569636</v>
      </c>
      <c r="D69" s="373">
        <f>B69*C69</f>
        <v>0.0014053815904853226</v>
      </c>
      <c r="E69" s="372"/>
      <c r="F69" s="373">
        <f>B69/G73*C69</f>
        <v>0.0028547259607664484</v>
      </c>
      <c r="G69" s="372"/>
    </row>
    <row r="70" spans="1:7" ht="12.75">
      <c r="A70" s="372" t="s">
        <v>12</v>
      </c>
      <c r="B70" s="373">
        <v>0.4545</v>
      </c>
      <c r="C70" s="373">
        <v>0.0685</v>
      </c>
      <c r="D70" s="373">
        <f>B70*C70</f>
        <v>0.031133250000000005</v>
      </c>
      <c r="E70" s="372"/>
      <c r="F70" s="373">
        <f>B70/G73*C70</f>
        <v>0.06324040219378428</v>
      </c>
      <c r="G70" s="372"/>
    </row>
    <row r="71" spans="1:8" ht="12.75">
      <c r="A71" s="372" t="s">
        <v>106</v>
      </c>
      <c r="B71" s="373">
        <v>0</v>
      </c>
      <c r="C71" s="373">
        <v>0.4866</v>
      </c>
      <c r="D71" s="375">
        <f>B71*C71</f>
        <v>0</v>
      </c>
      <c r="E71" s="372"/>
      <c r="F71" s="372"/>
      <c r="G71" s="376">
        <f>SUM(F69:F70)</f>
        <v>0.06609512815455074</v>
      </c>
      <c r="H71" s="372" t="s">
        <v>204</v>
      </c>
    </row>
    <row r="72" spans="1:8" ht="13.5" thickBot="1">
      <c r="A72" s="372" t="s">
        <v>107</v>
      </c>
      <c r="B72" s="373">
        <v>0.5077</v>
      </c>
      <c r="C72" s="373">
        <v>0.1015</v>
      </c>
      <c r="D72" s="375">
        <f>B72*C72</f>
        <v>0.05153155000000001</v>
      </c>
      <c r="E72" s="372"/>
      <c r="F72" s="372"/>
      <c r="G72" s="377">
        <f>G71*0.65</f>
        <v>0.04296183330045798</v>
      </c>
      <c r="H72" s="372" t="s">
        <v>205</v>
      </c>
    </row>
    <row r="73" spans="1:8" ht="13.5" thickBot="1">
      <c r="A73" s="378" t="s">
        <v>214</v>
      </c>
      <c r="B73" s="379">
        <f>SUM(B69:B72)</f>
        <v>1</v>
      </c>
      <c r="C73" s="380"/>
      <c r="D73" s="381">
        <f>SUM(D69:D72)</f>
        <v>0.08407018159048534</v>
      </c>
      <c r="E73" s="372"/>
      <c r="F73" s="372"/>
      <c r="G73" s="382">
        <f>SUM(B69:B70)</f>
        <v>0.4923</v>
      </c>
      <c r="H73" s="372" t="s">
        <v>207</v>
      </c>
    </row>
    <row r="74" spans="1:6" ht="13.5" thickBot="1">
      <c r="A74" s="372"/>
      <c r="B74" s="372"/>
      <c r="C74" s="372"/>
      <c r="D74" s="372"/>
      <c r="E74" s="372"/>
      <c r="F74" s="372"/>
    </row>
    <row r="75" spans="1:8" ht="13.5" thickBot="1">
      <c r="A75" s="378" t="s">
        <v>208</v>
      </c>
      <c r="B75" s="372"/>
      <c r="C75" s="372"/>
      <c r="D75" s="381">
        <f>(D70+D69)*0.65+D71+D72</f>
        <v>0.07268166053381547</v>
      </c>
      <c r="E75" s="372"/>
      <c r="F75" s="372"/>
      <c r="G75" s="372"/>
      <c r="H75" s="378" t="s">
        <v>209</v>
      </c>
    </row>
    <row r="76" spans="1:8" ht="12.75">
      <c r="A76" s="372"/>
      <c r="B76" s="372"/>
      <c r="C76" s="372"/>
      <c r="D76" s="372"/>
      <c r="E76" s="372"/>
      <c r="G76" s="383">
        <f>G73*G72</f>
        <v>0.021150110533815467</v>
      </c>
      <c r="H76" s="371" t="s">
        <v>210</v>
      </c>
    </row>
    <row r="77" spans="1:8" ht="12.75">
      <c r="A77" s="372"/>
      <c r="B77" s="372"/>
      <c r="C77" s="372"/>
      <c r="D77" s="372"/>
      <c r="E77" s="372"/>
      <c r="F77" s="372"/>
      <c r="G77" s="382">
        <f>D71</f>
        <v>0</v>
      </c>
      <c r="H77" s="371" t="s">
        <v>211</v>
      </c>
    </row>
    <row r="78" spans="1:8" ht="12.75">
      <c r="A78" s="372" t="s">
        <v>212</v>
      </c>
      <c r="B78" s="372"/>
      <c r="C78" s="372"/>
      <c r="D78" s="384">
        <f>D75/0.65</f>
        <v>0.11181793928279303</v>
      </c>
      <c r="E78" s="372"/>
      <c r="F78" s="372"/>
      <c r="G78" s="382">
        <f>D72</f>
        <v>0.05153155000000001</v>
      </c>
      <c r="H78" s="371" t="s">
        <v>213</v>
      </c>
    </row>
    <row r="79" spans="1:7" ht="12.75">
      <c r="A79" s="372"/>
      <c r="B79" s="372"/>
      <c r="C79" s="372"/>
      <c r="D79" s="372"/>
      <c r="E79" s="372"/>
      <c r="F79" s="373"/>
      <c r="G79" s="385">
        <f>SUM(G76:G78)</f>
        <v>0.07268166053381547</v>
      </c>
    </row>
    <row r="83" spans="1:10" ht="12.75">
      <c r="A83" s="369" t="s">
        <v>216</v>
      </c>
      <c r="B83" s="370"/>
      <c r="C83" s="370"/>
      <c r="D83" s="370"/>
      <c r="E83" s="370"/>
      <c r="F83" s="370"/>
      <c r="G83" s="370"/>
      <c r="H83" s="386"/>
      <c r="I83" s="386"/>
      <c r="J83" s="386"/>
    </row>
    <row r="84" spans="1:7" ht="12.75">
      <c r="A84" s="372" t="s">
        <v>201</v>
      </c>
      <c r="B84" s="372"/>
      <c r="C84" s="372"/>
      <c r="D84" s="372"/>
      <c r="E84" s="372"/>
      <c r="F84" s="372"/>
      <c r="G84" s="372"/>
    </row>
    <row r="85" spans="1:7" ht="12.75">
      <c r="A85" s="372"/>
      <c r="B85" s="372"/>
      <c r="C85" s="372"/>
      <c r="D85" s="372"/>
      <c r="E85" s="372"/>
      <c r="F85" s="372"/>
      <c r="G85" s="372"/>
    </row>
    <row r="86" spans="1:7" ht="12.75">
      <c r="A86" s="372"/>
      <c r="B86" s="374" t="s">
        <v>202</v>
      </c>
      <c r="C86" s="374" t="s">
        <v>9</v>
      </c>
      <c r="D86" s="374" t="s">
        <v>203</v>
      </c>
      <c r="E86" s="372"/>
      <c r="F86" s="372"/>
      <c r="G86" s="372"/>
    </row>
    <row r="87" spans="1:7" ht="12.75">
      <c r="A87" s="372" t="s">
        <v>11</v>
      </c>
      <c r="B87" s="373">
        <v>0.066</v>
      </c>
      <c r="C87" s="373">
        <v>0.03837499500584717</v>
      </c>
      <c r="D87" s="373">
        <f>B87*C87</f>
        <v>0.0025327496703859134</v>
      </c>
      <c r="E87" s="372"/>
      <c r="F87" s="373">
        <f>B87/G91*C87</f>
        <v>0.004580017487135468</v>
      </c>
      <c r="G87" s="372"/>
    </row>
    <row r="88" spans="1:7" ht="12.75">
      <c r="A88" s="372" t="s">
        <v>12</v>
      </c>
      <c r="B88" s="373">
        <v>0.487</v>
      </c>
      <c r="C88" s="373">
        <v>0.0679</v>
      </c>
      <c r="D88" s="373">
        <f>B88*C88</f>
        <v>0.0330673</v>
      </c>
      <c r="E88" s="372"/>
      <c r="F88" s="373">
        <f>B88/G91*C88</f>
        <v>0.059796202531645574</v>
      </c>
      <c r="G88" s="372"/>
    </row>
    <row r="89" spans="1:8" ht="12.75">
      <c r="A89" s="372" t="s">
        <v>106</v>
      </c>
      <c r="B89" s="373">
        <v>0.0003</v>
      </c>
      <c r="C89" s="373">
        <v>0.0861</v>
      </c>
      <c r="D89" s="375">
        <f>B89*C89</f>
        <v>2.5829999999999995E-05</v>
      </c>
      <c r="E89" s="372"/>
      <c r="F89" s="372"/>
      <c r="G89" s="376">
        <f>SUM(F87:F88)</f>
        <v>0.06437622001878104</v>
      </c>
      <c r="H89" s="372" t="s">
        <v>204</v>
      </c>
    </row>
    <row r="90" spans="1:8" ht="13.5" thickBot="1">
      <c r="A90" s="372" t="s">
        <v>107</v>
      </c>
      <c r="B90" s="373">
        <v>0.4467</v>
      </c>
      <c r="C90" s="373">
        <v>0.1015</v>
      </c>
      <c r="D90" s="375">
        <f>B90*C90</f>
        <v>0.04534005</v>
      </c>
      <c r="E90" s="372"/>
      <c r="F90" s="372"/>
      <c r="G90" s="377">
        <f>G89*0.65</f>
        <v>0.04184454301220768</v>
      </c>
      <c r="H90" s="372" t="s">
        <v>205</v>
      </c>
    </row>
    <row r="91" spans="1:8" ht="13.5" thickBot="1">
      <c r="A91" s="378" t="s">
        <v>214</v>
      </c>
      <c r="B91" s="379">
        <f>SUM(B87:B90)</f>
        <v>0.9999999999999999</v>
      </c>
      <c r="C91" s="380"/>
      <c r="D91" s="381">
        <f>SUM(D87:D90)</f>
        <v>0.0809659296703859</v>
      </c>
      <c r="E91" s="372"/>
      <c r="F91" s="372"/>
      <c r="G91" s="382">
        <f>SUM(B87:B88)</f>
        <v>0.5529999999999999</v>
      </c>
      <c r="H91" s="372" t="s">
        <v>207</v>
      </c>
    </row>
    <row r="92" spans="1:6" ht="13.5" thickBot="1">
      <c r="A92" s="372"/>
      <c r="B92" s="372"/>
      <c r="C92" s="372"/>
      <c r="D92" s="372"/>
      <c r="E92" s="372"/>
      <c r="F92" s="372"/>
    </row>
    <row r="93" spans="1:8" ht="13.5" thickBot="1">
      <c r="A93" s="378" t="s">
        <v>208</v>
      </c>
      <c r="B93" s="372"/>
      <c r="C93" s="372"/>
      <c r="D93" s="381">
        <f>(D88+D87)*0.65+D89+D90</f>
        <v>0.06850591228575084</v>
      </c>
      <c r="E93" s="372"/>
      <c r="F93" s="372"/>
      <c r="G93" s="372"/>
      <c r="H93" s="378" t="s">
        <v>209</v>
      </c>
    </row>
    <row r="94" spans="1:8" ht="12.75">
      <c r="A94" s="372"/>
      <c r="B94" s="372"/>
      <c r="C94" s="372"/>
      <c r="D94" s="372"/>
      <c r="E94" s="372"/>
      <c r="G94" s="383">
        <f>G91*G90</f>
        <v>0.023140032285750844</v>
      </c>
      <c r="H94" s="371" t="s">
        <v>210</v>
      </c>
    </row>
    <row r="95" spans="1:8" ht="12.75">
      <c r="A95" s="372"/>
      <c r="B95" s="372"/>
      <c r="C95" s="372"/>
      <c r="D95" s="372"/>
      <c r="E95" s="372"/>
      <c r="F95" s="372"/>
      <c r="G95" s="382">
        <f>D89</f>
        <v>2.5829999999999995E-05</v>
      </c>
      <c r="H95" s="371" t="s">
        <v>211</v>
      </c>
    </row>
    <row r="96" spans="1:8" ht="12.75">
      <c r="A96" s="372" t="s">
        <v>212</v>
      </c>
      <c r="B96" s="372"/>
      <c r="C96" s="372"/>
      <c r="D96" s="384">
        <f>D93/0.65</f>
        <v>0.10539371120884744</v>
      </c>
      <c r="E96" s="372"/>
      <c r="F96" s="372"/>
      <c r="G96" s="382">
        <f>D90</f>
        <v>0.04534005</v>
      </c>
      <c r="H96" s="371" t="s">
        <v>213</v>
      </c>
    </row>
    <row r="97" spans="1:7" ht="12.75">
      <c r="A97" s="372"/>
      <c r="B97" s="372"/>
      <c r="C97" s="372"/>
      <c r="D97" s="372"/>
      <c r="E97" s="372"/>
      <c r="F97" s="373"/>
      <c r="G97" s="385">
        <f>SUM(G94:G96)</f>
        <v>0.06850591228575084</v>
      </c>
    </row>
    <row r="101" spans="1:10" ht="12.75">
      <c r="A101" s="387" t="s">
        <v>218</v>
      </c>
      <c r="B101" s="388"/>
      <c r="C101" s="388"/>
      <c r="D101" s="388"/>
      <c r="E101" s="388"/>
      <c r="F101" s="388"/>
      <c r="G101" s="388"/>
      <c r="H101" s="388"/>
      <c r="I101" s="388"/>
      <c r="J101" s="388"/>
    </row>
    <row r="102" spans="1:10" ht="12.75">
      <c r="A102" s="372" t="s">
        <v>201</v>
      </c>
      <c r="B102" s="372"/>
      <c r="C102" s="372"/>
      <c r="D102" s="372"/>
      <c r="E102" s="372"/>
      <c r="F102" s="372"/>
      <c r="G102" s="372"/>
      <c r="H102" s="372"/>
      <c r="I102" s="372"/>
      <c r="J102" s="372"/>
    </row>
    <row r="103" spans="1:10" ht="12.75">
      <c r="A103" s="372"/>
      <c r="B103" s="373"/>
      <c r="C103" s="373"/>
      <c r="D103" s="372"/>
      <c r="E103" s="372"/>
      <c r="F103" s="372"/>
      <c r="G103" s="372"/>
      <c r="H103" s="372"/>
      <c r="I103" s="372"/>
      <c r="J103" s="372"/>
    </row>
    <row r="104" spans="1:10" ht="12.75">
      <c r="A104" s="372"/>
      <c r="B104" s="374" t="s">
        <v>202</v>
      </c>
      <c r="C104" s="374" t="s">
        <v>9</v>
      </c>
      <c r="D104" s="374" t="s">
        <v>203</v>
      </c>
      <c r="E104" s="372"/>
      <c r="F104" s="372"/>
      <c r="G104" s="372"/>
      <c r="H104" s="372"/>
      <c r="I104" s="372"/>
      <c r="J104" s="372"/>
    </row>
    <row r="105" spans="1:10" ht="12.75">
      <c r="A105" s="372" t="s">
        <v>11</v>
      </c>
      <c r="B105" s="375">
        <v>0.0395</v>
      </c>
      <c r="C105" s="375">
        <v>0.0247</v>
      </c>
      <c r="D105" s="373">
        <f>ROUND(B105*C105,4)</f>
        <v>0.001</v>
      </c>
      <c r="E105" s="372"/>
      <c r="F105" s="373">
        <f>B105/G109*C105</f>
        <v>0.0018067592592592595</v>
      </c>
      <c r="G105" s="372"/>
      <c r="H105" s="372"/>
      <c r="I105" s="372"/>
      <c r="J105" s="372"/>
    </row>
    <row r="106" spans="1:10" ht="12.75">
      <c r="A106" s="372" t="s">
        <v>12</v>
      </c>
      <c r="B106" s="375">
        <v>0.5005</v>
      </c>
      <c r="C106" s="375">
        <v>0.067</v>
      </c>
      <c r="D106" s="373">
        <f>ROUND(B106*C106,4)</f>
        <v>0.0335</v>
      </c>
      <c r="E106" s="372"/>
      <c r="F106" s="373">
        <f>B106/G109*C106</f>
        <v>0.062099074074074084</v>
      </c>
      <c r="G106" s="372"/>
      <c r="H106" s="372"/>
      <c r="I106" s="372"/>
      <c r="J106" s="372"/>
    </row>
    <row r="107" spans="1:10" ht="12.75">
      <c r="A107" s="372" t="s">
        <v>106</v>
      </c>
      <c r="B107" s="375">
        <v>0</v>
      </c>
      <c r="C107" s="375">
        <v>0</v>
      </c>
      <c r="D107" s="373">
        <f>ROUND(B107*C107,4)</f>
        <v>0</v>
      </c>
      <c r="E107" s="372"/>
      <c r="F107" s="372"/>
      <c r="G107" s="376">
        <f>SUM(F105:F106)</f>
        <v>0.06390583333333334</v>
      </c>
      <c r="H107" s="372" t="s">
        <v>204</v>
      </c>
      <c r="I107" s="372"/>
      <c r="J107" s="372"/>
    </row>
    <row r="108" spans="1:10" ht="13.5" thickBot="1">
      <c r="A108" s="372" t="s">
        <v>107</v>
      </c>
      <c r="B108" s="373">
        <f>45%+1%</f>
        <v>0.46</v>
      </c>
      <c r="C108" s="373">
        <v>0.101</v>
      </c>
      <c r="D108" s="373">
        <f>ROUND(B108*C108,4)</f>
        <v>0.0465</v>
      </c>
      <c r="E108" s="372"/>
      <c r="F108" s="372"/>
      <c r="G108" s="377">
        <f>G107*0.65</f>
        <v>0.04153879166666667</v>
      </c>
      <c r="H108" s="372" t="s">
        <v>205</v>
      </c>
      <c r="I108" s="372"/>
      <c r="J108" s="372"/>
    </row>
    <row r="109" spans="1:10" ht="13.5" thickBot="1">
      <c r="A109" s="378" t="s">
        <v>206</v>
      </c>
      <c r="B109" s="379">
        <f>SUM(B105:B108)</f>
        <v>1</v>
      </c>
      <c r="C109" s="380"/>
      <c r="D109" s="381">
        <f>SUM(D105:D108)</f>
        <v>0.081</v>
      </c>
      <c r="E109" s="372"/>
      <c r="F109" s="372"/>
      <c r="G109" s="382">
        <f>SUM(B105:B106)</f>
        <v>0.5399999999999999</v>
      </c>
      <c r="H109" s="372" t="s">
        <v>207</v>
      </c>
      <c r="I109" s="372"/>
      <c r="J109" s="372"/>
    </row>
    <row r="110" spans="1:10" ht="13.5" thickBot="1">
      <c r="A110" s="372"/>
      <c r="B110" s="372"/>
      <c r="C110" s="372"/>
      <c r="D110" s="372"/>
      <c r="E110" s="372"/>
      <c r="F110" s="372"/>
      <c r="I110" s="372"/>
      <c r="J110" s="372"/>
    </row>
    <row r="111" spans="1:10" ht="13.5" thickBot="1">
      <c r="A111" s="378" t="s">
        <v>208</v>
      </c>
      <c r="B111" s="372"/>
      <c r="C111" s="372"/>
      <c r="D111" s="381">
        <f>(D106+D105)*0.65+D107+D108</f>
        <v>0.068925</v>
      </c>
      <c r="E111" s="372"/>
      <c r="F111" s="372"/>
      <c r="G111" s="372"/>
      <c r="H111" s="378" t="s">
        <v>209</v>
      </c>
      <c r="I111" s="372"/>
      <c r="J111" s="372"/>
    </row>
    <row r="112" spans="1:10" ht="12.75">
      <c r="A112" s="372"/>
      <c r="B112" s="372"/>
      <c r="C112" s="372"/>
      <c r="D112" s="372"/>
      <c r="E112" s="372"/>
      <c r="G112" s="383">
        <f>G109*G108</f>
        <v>0.0224309475</v>
      </c>
      <c r="H112" s="371" t="s">
        <v>210</v>
      </c>
      <c r="I112" s="372"/>
      <c r="J112" s="372"/>
    </row>
    <row r="113" spans="1:10" ht="12.75">
      <c r="A113" s="372"/>
      <c r="B113" s="372"/>
      <c r="C113" s="372"/>
      <c r="D113" s="372"/>
      <c r="E113" s="372"/>
      <c r="F113" s="372"/>
      <c r="G113" s="382">
        <f>D107</f>
        <v>0</v>
      </c>
      <c r="H113" s="371" t="s">
        <v>211</v>
      </c>
      <c r="I113" s="372"/>
      <c r="J113" s="372"/>
    </row>
    <row r="114" spans="1:10" ht="12.75">
      <c r="A114" s="372" t="s">
        <v>212</v>
      </c>
      <c r="B114" s="372"/>
      <c r="C114" s="372"/>
      <c r="D114" s="384">
        <f>D111/0.65</f>
        <v>0.10603846153846154</v>
      </c>
      <c r="E114" s="372"/>
      <c r="F114" s="372"/>
      <c r="G114" s="382">
        <f>D108</f>
        <v>0.0465</v>
      </c>
      <c r="H114" s="371" t="s">
        <v>213</v>
      </c>
      <c r="I114" s="372"/>
      <c r="J114" s="372"/>
    </row>
    <row r="115" spans="1:10" ht="12.75">
      <c r="A115" s="372"/>
      <c r="B115" s="372"/>
      <c r="C115" s="372"/>
      <c r="D115" s="372"/>
      <c r="E115" s="372"/>
      <c r="F115" s="373"/>
      <c r="G115" s="385">
        <f>SUM(G112:G114)</f>
        <v>0.0689309475</v>
      </c>
      <c r="H115" s="372"/>
      <c r="I115" s="372"/>
      <c r="J115" s="372"/>
    </row>
    <row r="116" spans="2:3" ht="12.75">
      <c r="B116" s="375"/>
      <c r="C116" s="375"/>
    </row>
    <row r="119" spans="1:10" ht="12.75">
      <c r="A119" s="387" t="s">
        <v>219</v>
      </c>
      <c r="B119" s="388"/>
      <c r="C119" s="388"/>
      <c r="D119" s="388"/>
      <c r="E119" s="388"/>
      <c r="F119" s="388"/>
      <c r="G119" s="388"/>
      <c r="H119" s="388"/>
      <c r="I119" s="388"/>
      <c r="J119" s="388"/>
    </row>
    <row r="120" spans="1:10" ht="12.75">
      <c r="A120" s="372" t="s">
        <v>201</v>
      </c>
      <c r="B120" s="372"/>
      <c r="C120" s="372"/>
      <c r="D120" s="372"/>
      <c r="E120" s="372"/>
      <c r="F120" s="372"/>
      <c r="G120" s="372"/>
      <c r="H120" s="372"/>
      <c r="I120" s="372"/>
      <c r="J120" s="372"/>
    </row>
    <row r="121" spans="1:10" ht="12.75">
      <c r="A121" s="372"/>
      <c r="B121" s="373"/>
      <c r="C121" s="373"/>
      <c r="D121" s="372"/>
      <c r="E121" s="372"/>
      <c r="F121" s="372"/>
      <c r="G121" s="372"/>
      <c r="H121" s="372"/>
      <c r="I121" s="372"/>
      <c r="J121" s="372"/>
    </row>
    <row r="122" spans="1:10" ht="12.75">
      <c r="A122" s="372"/>
      <c r="B122" s="374" t="s">
        <v>202</v>
      </c>
      <c r="C122" s="374" t="s">
        <v>9</v>
      </c>
      <c r="D122" s="374" t="s">
        <v>203</v>
      </c>
      <c r="E122" s="372"/>
      <c r="F122" s="372"/>
      <c r="G122" s="372"/>
      <c r="H122" s="372"/>
      <c r="I122" s="372"/>
      <c r="J122" s="372"/>
    </row>
    <row r="123" spans="1:10" ht="12.75">
      <c r="A123" s="372" t="s">
        <v>11</v>
      </c>
      <c r="B123" s="373">
        <v>0.0493</v>
      </c>
      <c r="C123" s="373">
        <v>0.0409</v>
      </c>
      <c r="D123" s="373">
        <f>ROUND(B123*C123,4)</f>
        <v>0.002</v>
      </c>
      <c r="E123" s="372"/>
      <c r="F123" s="373">
        <f>B123/G127*C123</f>
        <v>0.0037360941263664994</v>
      </c>
      <c r="G123" s="372"/>
      <c r="H123" s="372"/>
      <c r="I123" s="372"/>
      <c r="J123" s="372"/>
    </row>
    <row r="124" spans="1:10" ht="12.75">
      <c r="A124" s="372" t="s">
        <v>12</v>
      </c>
      <c r="B124" s="375">
        <f>50.04%-1%</f>
        <v>0.49039999999999995</v>
      </c>
      <c r="C124" s="373">
        <v>0.069</v>
      </c>
      <c r="D124" s="373">
        <f>ROUND(B124*C124,4)</f>
        <v>0.0338</v>
      </c>
      <c r="E124" s="372"/>
      <c r="F124" s="373">
        <f>B124/G127*C124</f>
        <v>0.06269705391884381</v>
      </c>
      <c r="G124" s="372"/>
      <c r="H124" s="372"/>
      <c r="I124" s="372"/>
      <c r="J124" s="372"/>
    </row>
    <row r="125" spans="1:10" ht="12.75">
      <c r="A125" s="372" t="s">
        <v>106</v>
      </c>
      <c r="B125" s="373">
        <v>0.0003</v>
      </c>
      <c r="C125" s="373">
        <v>0.0861</v>
      </c>
      <c r="D125" s="373">
        <f>ROUND(B125*C125,4)</f>
        <v>0</v>
      </c>
      <c r="E125" s="372"/>
      <c r="F125" s="372"/>
      <c r="G125" s="376">
        <f>SUM(F123:F124)</f>
        <v>0.0664331480452103</v>
      </c>
      <c r="H125" s="372" t="s">
        <v>204</v>
      </c>
      <c r="I125" s="372"/>
      <c r="J125" s="372"/>
    </row>
    <row r="126" spans="1:10" ht="13.5" thickBot="1">
      <c r="A126" s="372" t="s">
        <v>107</v>
      </c>
      <c r="B126" s="373">
        <f>45%+1%</f>
        <v>0.46</v>
      </c>
      <c r="C126" s="373">
        <v>0.1015</v>
      </c>
      <c r="D126" s="373">
        <f>ROUND(B126*C126,4)</f>
        <v>0.0467</v>
      </c>
      <c r="E126" s="372"/>
      <c r="F126" s="372"/>
      <c r="G126" s="377">
        <f>G125*0.65</f>
        <v>0.0431815462293867</v>
      </c>
      <c r="H126" s="372" t="s">
        <v>205</v>
      </c>
      <c r="I126" s="372"/>
      <c r="J126" s="372"/>
    </row>
    <row r="127" spans="1:10" ht="13.5" thickBot="1">
      <c r="A127" s="378" t="s">
        <v>206</v>
      </c>
      <c r="B127" s="379">
        <f>SUM(B123:B126)</f>
        <v>1</v>
      </c>
      <c r="C127" s="380"/>
      <c r="D127" s="381">
        <f>SUM(D123:D126)</f>
        <v>0.08249999999999999</v>
      </c>
      <c r="E127" s="372"/>
      <c r="F127" s="372"/>
      <c r="G127" s="382">
        <f>SUM(B123:B124)</f>
        <v>0.5397</v>
      </c>
      <c r="H127" s="372" t="s">
        <v>207</v>
      </c>
      <c r="I127" s="372"/>
      <c r="J127" s="372"/>
    </row>
    <row r="128" spans="1:10" ht="13.5" thickBot="1">
      <c r="A128" s="372"/>
      <c r="B128" s="372"/>
      <c r="C128" s="372"/>
      <c r="D128" s="372"/>
      <c r="E128" s="372"/>
      <c r="F128" s="372"/>
      <c r="I128" s="372"/>
      <c r="J128" s="372"/>
    </row>
    <row r="129" spans="1:10" ht="13.5" thickBot="1">
      <c r="A129" s="378" t="s">
        <v>208</v>
      </c>
      <c r="B129" s="372"/>
      <c r="C129" s="372"/>
      <c r="D129" s="381">
        <f>(D124+D123)*0.65+D125+D126</f>
        <v>0.06997</v>
      </c>
      <c r="E129" s="372"/>
      <c r="F129" s="372"/>
      <c r="G129" s="372"/>
      <c r="H129" s="378" t="s">
        <v>209</v>
      </c>
      <c r="I129" s="372"/>
      <c r="J129" s="372"/>
    </row>
    <row r="130" spans="1:10" ht="12.75">
      <c r="A130" s="372"/>
      <c r="B130" s="372"/>
      <c r="C130" s="372"/>
      <c r="D130" s="372"/>
      <c r="E130" s="372"/>
      <c r="G130" s="383">
        <f>G127*G126</f>
        <v>0.0233050805</v>
      </c>
      <c r="H130" s="371" t="s">
        <v>210</v>
      </c>
      <c r="I130" s="372"/>
      <c r="J130" s="372"/>
    </row>
    <row r="131" spans="1:10" ht="12.75">
      <c r="A131" s="372"/>
      <c r="B131" s="372"/>
      <c r="C131" s="372"/>
      <c r="D131" s="372"/>
      <c r="E131" s="372"/>
      <c r="F131" s="372"/>
      <c r="G131" s="382">
        <f>D125</f>
        <v>0</v>
      </c>
      <c r="H131" s="371" t="s">
        <v>211</v>
      </c>
      <c r="I131" s="372"/>
      <c r="J131" s="372"/>
    </row>
    <row r="132" spans="1:10" ht="12.75">
      <c r="A132" s="372" t="s">
        <v>212</v>
      </c>
      <c r="B132" s="372"/>
      <c r="C132" s="372"/>
      <c r="D132" s="384">
        <f>D129/0.65</f>
        <v>0.10764615384615385</v>
      </c>
      <c r="E132" s="372"/>
      <c r="F132" s="372"/>
      <c r="G132" s="382">
        <f>D126</f>
        <v>0.0467</v>
      </c>
      <c r="H132" s="371" t="s">
        <v>213</v>
      </c>
      <c r="I132" s="372"/>
      <c r="J132" s="372"/>
    </row>
    <row r="133" spans="1:10" ht="12.75">
      <c r="A133" s="372"/>
      <c r="B133" s="372"/>
      <c r="C133" s="372"/>
      <c r="D133" s="372"/>
      <c r="E133" s="372"/>
      <c r="F133" s="373"/>
      <c r="G133" s="385">
        <f>SUM(G130:G132)</f>
        <v>0.0700050805</v>
      </c>
      <c r="H133" s="372"/>
      <c r="I133" s="372"/>
      <c r="J133" s="372"/>
    </row>
  </sheetData>
  <sheetProtection/>
  <printOptions/>
  <pageMargins left="0.5" right="0.5" top="0.35" bottom="0.4" header="0.3" footer="0.16"/>
  <pageSetup horizontalDpi="600" verticalDpi="600" orientation="landscape" r:id="rId1"/>
  <headerFooter alignWithMargins="0">
    <oddFooter>&amp;R&amp;9&amp;F  &amp;D</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G10"/>
  <sheetViews>
    <sheetView zoomScalePageLayoutView="0" workbookViewId="0" topLeftCell="A1">
      <selection activeCell="C25" sqref="C25"/>
    </sheetView>
  </sheetViews>
  <sheetFormatPr defaultColWidth="10.66015625" defaultRowHeight="11.25"/>
  <cols>
    <col min="1" max="16384" width="10.66015625" style="392" customWidth="1"/>
  </cols>
  <sheetData>
    <row r="1" spans="1:7" s="391" customFormat="1" ht="59.25">
      <c r="A1" s="390" t="s">
        <v>227</v>
      </c>
      <c r="B1" s="390"/>
      <c r="C1" s="390"/>
      <c r="D1" s="390"/>
      <c r="E1" s="390"/>
      <c r="F1" s="390"/>
      <c r="G1" s="390"/>
    </row>
    <row r="10" ht="12">
      <c r="B10" s="393"/>
    </row>
  </sheetData>
  <sheetProtection/>
  <printOptions horizontalCentered="1" verticalCentered="1"/>
  <pageMargins left="0.24" right="0.2" top="0.62" bottom="0.82" header="0.27" footer="0.28"/>
  <pageSetup fitToHeight="1" fitToWidth="1" horizontalDpi="600" verticalDpi="600" orientation="landscape" r:id="rId1"/>
  <headerFooter alignWithMargins="0">
    <oddFooter>&amp;L&amp;"Times New Roman,Regular"&amp;11_____ Exhibit (Confidential) to the
Prefiled Direct Testimony of Donald E. Gaines&amp;R&amp;"Times New Roman,Regular"&amp;11Exhibit No. ___(DEG-__)
Page &amp;P of &amp;N</oddFooter>
  </headerFooter>
</worksheet>
</file>

<file path=xl/worksheets/sheet11.xml><?xml version="1.0" encoding="utf-8"?>
<worksheet xmlns="http://schemas.openxmlformats.org/spreadsheetml/2006/main" xmlns:r="http://schemas.openxmlformats.org/officeDocument/2006/relationships">
  <dimension ref="A1:L45"/>
  <sheetViews>
    <sheetView zoomScalePageLayoutView="0" workbookViewId="0" topLeftCell="A1">
      <selection activeCell="C25" sqref="C25"/>
    </sheetView>
  </sheetViews>
  <sheetFormatPr defaultColWidth="11.5" defaultRowHeight="11.25"/>
  <cols>
    <col min="1" max="1" width="3.83203125" style="14" customWidth="1"/>
    <col min="2" max="2" width="37.33203125" style="14" customWidth="1"/>
    <col min="3" max="3" width="18.16015625" style="14" customWidth="1"/>
    <col min="4" max="4" width="13.5" style="14" customWidth="1"/>
    <col min="5" max="5" width="13.16015625" style="14" customWidth="1"/>
    <col min="6" max="6" width="13.5" style="14" customWidth="1"/>
    <col min="7" max="7" width="11.5" style="14" customWidth="1"/>
    <col min="8" max="8" width="13.83203125" style="14" customWidth="1"/>
    <col min="9" max="9" width="11.16015625" style="14" customWidth="1"/>
    <col min="10" max="10" width="8.5" style="14" customWidth="1"/>
    <col min="11" max="11" width="9" style="14" customWidth="1"/>
    <col min="12" max="12" width="8.66015625" style="14" customWidth="1"/>
    <col min="13" max="16384" width="11.5" style="14" customWidth="1"/>
  </cols>
  <sheetData>
    <row r="1" spans="2:6" ht="15.75">
      <c r="B1" s="254" t="s">
        <v>2</v>
      </c>
      <c r="C1" s="254"/>
      <c r="D1" s="254"/>
      <c r="E1" s="254"/>
      <c r="F1" s="254"/>
    </row>
    <row r="2" spans="1:6" ht="12.75">
      <c r="A2" s="72"/>
      <c r="B2" s="15"/>
      <c r="C2" s="15"/>
      <c r="D2" s="15"/>
      <c r="E2" s="15"/>
      <c r="F2" s="15"/>
    </row>
    <row r="3" spans="2:6" ht="15.75">
      <c r="B3" s="255" t="s">
        <v>4</v>
      </c>
      <c r="C3" s="255"/>
      <c r="D3" s="255"/>
      <c r="E3" s="255"/>
      <c r="F3" s="255"/>
    </row>
    <row r="4" spans="2:12" ht="15.75">
      <c r="B4" s="256" t="s">
        <v>56</v>
      </c>
      <c r="C4" s="256"/>
      <c r="D4" s="256"/>
      <c r="E4" s="256"/>
      <c r="F4" s="256"/>
      <c r="H4" s="183"/>
      <c r="L4" s="186"/>
    </row>
    <row r="5" spans="1:12" ht="12.75">
      <c r="A5" s="73"/>
      <c r="B5" s="206">
        <f>'Pg 1 CofCap'!A5</f>
        <v>41364</v>
      </c>
      <c r="C5" s="206"/>
      <c r="D5" s="206"/>
      <c r="E5" s="206"/>
      <c r="F5" s="206"/>
      <c r="H5" s="183"/>
      <c r="L5" s="186"/>
    </row>
    <row r="6" spans="1:12" ht="12.75">
      <c r="A6" s="16"/>
      <c r="C6" s="17"/>
      <c r="H6" s="183"/>
      <c r="L6" s="186"/>
    </row>
    <row r="7" spans="1:12" ht="18">
      <c r="A7" s="16"/>
      <c r="B7" s="394" t="s">
        <v>228</v>
      </c>
      <c r="C7" s="395"/>
      <c r="D7" s="395"/>
      <c r="E7" s="395"/>
      <c r="F7" s="396"/>
      <c r="H7" s="183"/>
      <c r="L7" s="186"/>
    </row>
    <row r="8" spans="1:12" ht="15.75">
      <c r="A8" s="16"/>
      <c r="B8" s="397" t="s">
        <v>229</v>
      </c>
      <c r="C8" s="398"/>
      <c r="D8" s="398"/>
      <c r="E8" s="398"/>
      <c r="F8" s="399"/>
      <c r="H8" s="183"/>
      <c r="L8" s="186"/>
    </row>
    <row r="9" spans="1:12" ht="12.75">
      <c r="A9" s="149">
        <v>1</v>
      </c>
      <c r="B9" s="96" t="s">
        <v>3</v>
      </c>
      <c r="C9" s="96" t="s">
        <v>25</v>
      </c>
      <c r="D9" s="96" t="s">
        <v>50</v>
      </c>
      <c r="E9" s="96" t="s">
        <v>61</v>
      </c>
      <c r="F9" s="96" t="s">
        <v>62</v>
      </c>
      <c r="H9" s="183"/>
      <c r="L9" s="186"/>
    </row>
    <row r="10" spans="1:12" ht="12.75">
      <c r="A10" s="149">
        <f aca="true" t="shared" si="0" ref="A10:A24">+A9+1</f>
        <v>2</v>
      </c>
      <c r="B10" s="73"/>
      <c r="C10" s="73"/>
      <c r="D10" s="73"/>
      <c r="E10" s="73"/>
      <c r="F10" s="73"/>
      <c r="H10" s="183"/>
      <c r="L10" s="186"/>
    </row>
    <row r="11" spans="1:12" ht="12.75">
      <c r="A11" s="149">
        <f t="shared" si="0"/>
        <v>3</v>
      </c>
      <c r="B11" s="74" t="s">
        <v>1</v>
      </c>
      <c r="C11" s="75"/>
      <c r="D11" s="75"/>
      <c r="E11" s="75"/>
      <c r="F11" s="75" t="s">
        <v>5</v>
      </c>
      <c r="H11" s="183"/>
      <c r="L11" s="186"/>
    </row>
    <row r="12" spans="1:12" ht="12.75">
      <c r="A12" s="149">
        <f t="shared" si="0"/>
        <v>4</v>
      </c>
      <c r="B12" s="75"/>
      <c r="C12" s="76"/>
      <c r="D12" s="75"/>
      <c r="E12" s="75"/>
      <c r="F12" s="76" t="s">
        <v>6</v>
      </c>
      <c r="H12" s="183"/>
      <c r="L12" s="186"/>
    </row>
    <row r="13" spans="1:12" ht="12.75">
      <c r="A13" s="149">
        <f t="shared" si="0"/>
        <v>5</v>
      </c>
      <c r="B13" s="77" t="s">
        <v>7</v>
      </c>
      <c r="C13" s="77" t="s">
        <v>76</v>
      </c>
      <c r="D13" s="77" t="s">
        <v>8</v>
      </c>
      <c r="E13" s="77" t="s">
        <v>9</v>
      </c>
      <c r="F13" s="77" t="s">
        <v>10</v>
      </c>
      <c r="H13" s="183"/>
      <c r="L13" s="186"/>
    </row>
    <row r="14" spans="1:12" ht="12.75">
      <c r="A14" s="149">
        <f t="shared" si="0"/>
        <v>6</v>
      </c>
      <c r="B14" s="78"/>
      <c r="C14" s="78"/>
      <c r="D14" s="78"/>
      <c r="E14" s="78"/>
      <c r="F14" s="78"/>
      <c r="H14" s="183"/>
      <c r="L14" s="186"/>
    </row>
    <row r="15" spans="1:12" ht="12.75">
      <c r="A15" s="149">
        <f t="shared" si="0"/>
        <v>7</v>
      </c>
      <c r="B15" s="79" t="s">
        <v>11</v>
      </c>
      <c r="C15" s="124">
        <f>'Pg 1 CofCap'!C14</f>
        <v>102739451</v>
      </c>
      <c r="D15" s="444">
        <f>'Pg 1 CofCap'!D14</f>
        <v>0.0137</v>
      </c>
      <c r="E15" s="261">
        <f>'A2  STD Cost Rate-Prior Fac'!F23</f>
        <v>0.01795460703959034</v>
      </c>
      <c r="F15" s="137">
        <f>ROUND(D15*E15,5)</f>
        <v>0.00025</v>
      </c>
      <c r="L15" s="183"/>
    </row>
    <row r="16" spans="1:12" ht="12.75">
      <c r="A16" s="149">
        <f t="shared" si="0"/>
        <v>8</v>
      </c>
      <c r="B16" s="78"/>
      <c r="C16" s="126"/>
      <c r="D16" s="137"/>
      <c r="E16" s="125"/>
      <c r="F16" s="137"/>
      <c r="L16" s="183"/>
    </row>
    <row r="17" spans="1:12" ht="12.75">
      <c r="A17" s="149">
        <f t="shared" si="0"/>
        <v>9</v>
      </c>
      <c r="B17" s="79" t="s">
        <v>12</v>
      </c>
      <c r="C17" s="126">
        <f>'Pg 1 CofCap'!C16</f>
        <v>3773845731</v>
      </c>
      <c r="D17" s="400">
        <f>'Pg 1 CofCap'!D16</f>
        <v>0.5019</v>
      </c>
      <c r="E17" s="127">
        <f>'Pg 1 CofCap'!E16</f>
        <v>0.0622</v>
      </c>
      <c r="F17" s="137">
        <f>ROUND(D17*E17,5)</f>
        <v>0.03122</v>
      </c>
      <c r="L17" s="183"/>
    </row>
    <row r="18" spans="1:12" ht="12.75">
      <c r="A18" s="149">
        <f t="shared" si="0"/>
        <v>10</v>
      </c>
      <c r="B18" s="80"/>
      <c r="C18" s="126"/>
      <c r="D18" s="137"/>
      <c r="E18" s="129"/>
      <c r="F18" s="269"/>
      <c r="H18" s="401"/>
      <c r="I18" s="401"/>
      <c r="J18" s="401"/>
      <c r="K18" s="401"/>
      <c r="L18" s="401"/>
    </row>
    <row r="19" spans="1:12" ht="12.75">
      <c r="A19" s="149">
        <f t="shared" si="0"/>
        <v>11</v>
      </c>
      <c r="B19" s="79" t="s">
        <v>13</v>
      </c>
      <c r="C19" s="130">
        <f>'Pg 1 CofCap'!C18</f>
        <v>3641801612</v>
      </c>
      <c r="D19" s="253">
        <f>'Pg 1 CofCap'!D18</f>
        <v>0.4844</v>
      </c>
      <c r="E19" s="402">
        <f>'Pg 1 CofCap'!E18</f>
        <v>0.098</v>
      </c>
      <c r="F19" s="270">
        <f>ROUND(D19*E19,5)</f>
        <v>0.04747</v>
      </c>
      <c r="H19" s="193"/>
      <c r="I19" s="193"/>
      <c r="J19" s="194"/>
      <c r="K19" s="195"/>
      <c r="L19" s="127"/>
    </row>
    <row r="20" spans="1:12" ht="12.75">
      <c r="A20" s="149">
        <f t="shared" si="0"/>
        <v>12</v>
      </c>
      <c r="B20" s="80"/>
      <c r="C20" s="127"/>
      <c r="D20" s="131"/>
      <c r="E20" s="132"/>
      <c r="F20" s="127"/>
      <c r="H20" s="193"/>
      <c r="I20" s="193"/>
      <c r="J20" s="194"/>
      <c r="K20" s="195"/>
      <c r="L20" s="127"/>
    </row>
    <row r="21" spans="1:12" ht="12.75">
      <c r="A21" s="149">
        <f t="shared" si="0"/>
        <v>13</v>
      </c>
      <c r="B21" s="79" t="s">
        <v>14</v>
      </c>
      <c r="C21" s="133">
        <f>ROUND(SUM(C15:C19),2)</f>
        <v>7518386794</v>
      </c>
      <c r="D21" s="189">
        <f>SUM(D15:D19)</f>
        <v>1</v>
      </c>
      <c r="E21" s="134"/>
      <c r="F21" s="173">
        <f>ROUND(SUM(F15:F19),5)</f>
        <v>0.07894</v>
      </c>
      <c r="H21" s="81"/>
      <c r="I21" s="81"/>
      <c r="J21" s="194"/>
      <c r="K21" s="127"/>
      <c r="L21" s="196"/>
    </row>
    <row r="22" spans="1:10" ht="12.75">
      <c r="A22" s="149">
        <f t="shared" si="0"/>
        <v>14</v>
      </c>
      <c r="B22" s="73"/>
      <c r="C22" s="81"/>
      <c r="D22" s="81"/>
      <c r="E22" s="81"/>
      <c r="F22" s="81"/>
      <c r="H22" s="73"/>
      <c r="I22" s="73"/>
      <c r="J22" s="73"/>
    </row>
    <row r="23" spans="1:6" ht="12.75">
      <c r="A23" s="149">
        <f t="shared" si="0"/>
        <v>15</v>
      </c>
      <c r="B23" s="73"/>
      <c r="C23" s="73"/>
      <c r="D23" s="73"/>
      <c r="E23" s="107"/>
      <c r="F23" s="73"/>
    </row>
    <row r="24" spans="1:7" ht="12.75">
      <c r="A24" s="149">
        <f t="shared" si="0"/>
        <v>16</v>
      </c>
      <c r="B24" s="79" t="s">
        <v>230</v>
      </c>
      <c r="C24" s="73"/>
      <c r="D24" s="73"/>
      <c r="E24" s="73"/>
      <c r="F24" s="73"/>
      <c r="G24" s="187"/>
    </row>
    <row r="25" spans="1:6" ht="12.75">
      <c r="A25" s="13"/>
      <c r="B25" s="73"/>
      <c r="C25" s="73"/>
      <c r="D25" s="73"/>
      <c r="E25" s="73"/>
      <c r="F25" s="73"/>
    </row>
    <row r="26" spans="1:6" ht="12.75">
      <c r="A26" s="13"/>
      <c r="B26" s="73"/>
      <c r="C26" s="126"/>
      <c r="D26" s="73"/>
      <c r="E26" s="73"/>
      <c r="F26" s="73"/>
    </row>
    <row r="27" spans="1:6" ht="12.75">
      <c r="A27" s="13"/>
      <c r="B27" s="73"/>
      <c r="C27" s="126"/>
      <c r="D27" s="73"/>
      <c r="E27" s="73"/>
      <c r="F27" s="73"/>
    </row>
    <row r="28" spans="1:6" ht="12.75">
      <c r="A28" s="13"/>
      <c r="B28" s="73"/>
      <c r="C28" s="126"/>
      <c r="D28" s="73"/>
      <c r="E28" s="73"/>
      <c r="F28" s="73"/>
    </row>
    <row r="29" spans="1:6" ht="12.75">
      <c r="A29" s="13"/>
      <c r="B29" s="73"/>
      <c r="D29" s="73"/>
      <c r="E29" s="73"/>
      <c r="F29" s="73"/>
    </row>
    <row r="30" spans="1:6" ht="12.75">
      <c r="A30" s="13"/>
      <c r="B30" s="73"/>
      <c r="C30" s="150"/>
      <c r="D30" s="73"/>
      <c r="E30" s="73"/>
      <c r="F30" s="73"/>
    </row>
    <row r="31" spans="1:6" ht="12.75">
      <c r="A31" s="13"/>
      <c r="B31" s="73"/>
      <c r="C31" s="73"/>
      <c r="D31" s="73"/>
      <c r="E31" s="73"/>
      <c r="F31" s="73"/>
    </row>
    <row r="32" spans="1:6" ht="12.75">
      <c r="A32" s="13"/>
      <c r="B32" s="73"/>
      <c r="C32" s="73"/>
      <c r="D32" s="73"/>
      <c r="E32" s="73"/>
      <c r="F32" s="73"/>
    </row>
    <row r="33" spans="2:6" ht="12.75">
      <c r="B33" s="73"/>
      <c r="C33" s="73"/>
      <c r="D33" s="73"/>
      <c r="E33" s="73"/>
      <c r="F33" s="73"/>
    </row>
    <row r="34" spans="2:6" ht="12.75">
      <c r="B34" s="73"/>
      <c r="C34" s="73"/>
      <c r="D34" s="73"/>
      <c r="E34" s="73"/>
      <c r="F34" s="73"/>
    </row>
    <row r="37" spans="3:4" ht="12.75">
      <c r="C37" s="18"/>
      <c r="D37" s="19"/>
    </row>
    <row r="38" ht="12.75">
      <c r="D38" s="19"/>
    </row>
    <row r="39" spans="3:4" ht="12.75">
      <c r="C39" s="18"/>
      <c r="D39" s="19"/>
    </row>
    <row r="40" spans="3:4" ht="12.75">
      <c r="C40" s="18"/>
      <c r="D40" s="19"/>
    </row>
    <row r="41" spans="3:4" ht="12.75">
      <c r="C41" s="18"/>
      <c r="D41" s="19"/>
    </row>
    <row r="42" spans="3:4" ht="12.75">
      <c r="C42" s="18"/>
      <c r="D42" s="19"/>
    </row>
    <row r="43" ht="12.75">
      <c r="D43" s="19"/>
    </row>
    <row r="44" spans="3:4" ht="12.75">
      <c r="C44" s="18"/>
      <c r="D44" s="19"/>
    </row>
    <row r="45" ht="12.75">
      <c r="D45" s="20"/>
    </row>
  </sheetData>
  <sheetProtection/>
  <printOptions horizontalCentered="1"/>
  <pageMargins left="0.6" right="0.75" top="0.75" bottom="0.72" header="0.5" footer="0.34"/>
  <pageSetup horizontalDpi="600" verticalDpi="600" orientation="landscape" r:id="rId3"/>
  <headerFooter alignWithMargins="0">
    <oddFooter>&amp;C&amp;A&amp;R&amp;8                   &amp;F</oddFoot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H107"/>
  <sheetViews>
    <sheetView zoomScalePageLayoutView="0" workbookViewId="0" topLeftCell="A1">
      <selection activeCell="C25" sqref="C25"/>
    </sheetView>
  </sheetViews>
  <sheetFormatPr defaultColWidth="11.5" defaultRowHeight="11.25"/>
  <cols>
    <col min="1" max="1" width="8.33203125" style="5" customWidth="1"/>
    <col min="2" max="2" width="46" style="5" customWidth="1"/>
    <col min="3" max="3" width="15.832031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ustomWidth="1"/>
  </cols>
  <sheetData>
    <row r="1" spans="2:7" ht="20.25">
      <c r="B1" s="403" t="s">
        <v>231</v>
      </c>
      <c r="C1" s="403"/>
      <c r="D1" s="403"/>
      <c r="E1" s="403"/>
      <c r="F1" s="403"/>
      <c r="G1" s="404"/>
    </row>
    <row r="2" spans="1:8" ht="12.75">
      <c r="A2" s="3" t="s">
        <v>1</v>
      </c>
      <c r="B2" s="4"/>
      <c r="C2" s="4"/>
      <c r="D2" s="4"/>
      <c r="E2" s="4"/>
      <c r="F2" s="4"/>
      <c r="G2" s="4"/>
      <c r="H2" s="4"/>
    </row>
    <row r="3" spans="1:6" ht="15.75">
      <c r="A3" s="30"/>
      <c r="B3" s="251" t="s">
        <v>23</v>
      </c>
      <c r="C3" s="153"/>
      <c r="D3" s="153"/>
      <c r="E3" s="153"/>
      <c r="F3" s="153"/>
    </row>
    <row r="4" spans="1:6" ht="15.75">
      <c r="A4" s="30"/>
      <c r="B4" s="251" t="s">
        <v>35</v>
      </c>
      <c r="C4" s="153"/>
      <c r="D4" s="153"/>
      <c r="E4" s="153"/>
      <c r="F4" s="153"/>
    </row>
    <row r="5" spans="2:6" ht="15.75" customHeight="1">
      <c r="B5" s="252">
        <f>'Pg 1 CofCap'!A5</f>
        <v>41364</v>
      </c>
      <c r="C5" s="154"/>
      <c r="D5" s="154"/>
      <c r="E5" s="154"/>
      <c r="F5" s="154"/>
    </row>
    <row r="6" ht="12.75">
      <c r="A6" s="3" t="s">
        <v>1</v>
      </c>
    </row>
    <row r="7" spans="1:3" ht="12.75">
      <c r="A7" s="3" t="s">
        <v>1</v>
      </c>
      <c r="C7" s="5" t="s">
        <v>1</v>
      </c>
    </row>
    <row r="8" spans="1:7" ht="12.75">
      <c r="A8" s="3">
        <v>1</v>
      </c>
      <c r="B8" s="50" t="s">
        <v>3</v>
      </c>
      <c r="C8" s="50" t="s">
        <v>25</v>
      </c>
      <c r="D8" s="50" t="s">
        <v>50</v>
      </c>
      <c r="E8" s="50" t="s">
        <v>61</v>
      </c>
      <c r="F8" s="50" t="s">
        <v>62</v>
      </c>
      <c r="G8" s="48"/>
    </row>
    <row r="9" spans="1:7" ht="12.75">
      <c r="A9" s="3">
        <f aca="true" t="shared" si="0" ref="A9:A28">A8+1</f>
        <v>2</v>
      </c>
      <c r="B9" s="49"/>
      <c r="C9" s="50"/>
      <c r="D9" s="49"/>
      <c r="E9" s="49"/>
      <c r="F9" s="49"/>
      <c r="G9" s="48"/>
    </row>
    <row r="10" spans="1:7" ht="12.75">
      <c r="A10" s="3">
        <f t="shared" si="0"/>
        <v>3</v>
      </c>
      <c r="B10" s="49"/>
      <c r="C10" s="50" t="s">
        <v>51</v>
      </c>
      <c r="D10" s="50" t="s">
        <v>36</v>
      </c>
      <c r="E10" s="50" t="s">
        <v>16</v>
      </c>
      <c r="F10" s="50" t="s">
        <v>9</v>
      </c>
      <c r="G10" s="48"/>
    </row>
    <row r="11" spans="1:7" ht="12.75">
      <c r="A11" s="3">
        <f t="shared" si="0"/>
        <v>4</v>
      </c>
      <c r="B11" s="51" t="s">
        <v>7</v>
      </c>
      <c r="C11" s="51" t="s">
        <v>75</v>
      </c>
      <c r="D11" s="51" t="s">
        <v>17</v>
      </c>
      <c r="E11" s="51" t="s">
        <v>18</v>
      </c>
      <c r="F11" s="51" t="s">
        <v>17</v>
      </c>
      <c r="G11" s="48"/>
    </row>
    <row r="12" spans="1:7" ht="12.75">
      <c r="A12" s="3">
        <f t="shared" si="0"/>
        <v>5</v>
      </c>
      <c r="B12" s="52"/>
      <c r="C12" s="53"/>
      <c r="D12" s="53"/>
      <c r="E12" s="54"/>
      <c r="F12" s="53"/>
      <c r="G12" s="48"/>
    </row>
    <row r="13" spans="1:7" ht="12.75">
      <c r="A13" s="3">
        <f t="shared" si="0"/>
        <v>6</v>
      </c>
      <c r="B13" s="52" t="s">
        <v>34</v>
      </c>
      <c r="C13" s="57">
        <f>'A3  STD Int &amp; Fees-Prior Fac'!C11</f>
        <v>54883287.65</v>
      </c>
      <c r="D13" s="163">
        <f>IF(E13=0,"NA",(E13/C13))</f>
        <v>0.004535117895766217</v>
      </c>
      <c r="E13" s="57">
        <f>'A3  STD Int &amp; Fees-Prior Fac'!D11</f>
        <v>248902.18000000002</v>
      </c>
      <c r="F13" s="55"/>
      <c r="G13" s="56"/>
    </row>
    <row r="14" spans="1:7" ht="12.75">
      <c r="A14" s="3">
        <f t="shared" si="0"/>
        <v>7</v>
      </c>
      <c r="B14" s="48" t="s">
        <v>111</v>
      </c>
      <c r="C14" s="57">
        <f>'A3  STD Int &amp; Fees-Prior Fac'!C12</f>
        <v>29816370.705737714</v>
      </c>
      <c r="D14" s="163">
        <f>IF(E14=0,"NA",(E14/C14))</f>
        <v>0.005163193643106405</v>
      </c>
      <c r="E14" s="57">
        <f>'A3  STD Int &amp; Fees-Prior Fac'!D12</f>
        <v>153947.69568836899</v>
      </c>
      <c r="F14" s="55"/>
      <c r="G14" s="56"/>
    </row>
    <row r="15" spans="1:7" ht="12.75">
      <c r="A15" s="3">
        <f t="shared" si="0"/>
        <v>8</v>
      </c>
      <c r="B15" s="48" t="s">
        <v>145</v>
      </c>
      <c r="C15" s="57">
        <f>'A3  STD Int &amp; Fees-Prior Fac'!C13</f>
        <v>13923288</v>
      </c>
      <c r="D15" s="163">
        <f>IF(E15=0,"NA",(E15/C15))</f>
        <v>0.007638963871177555</v>
      </c>
      <c r="E15" s="57">
        <f>'A3  STD Int &amp; Fees-Prior Fac'!D13</f>
        <v>106359.49399999999</v>
      </c>
      <c r="F15" s="55"/>
      <c r="G15" s="56"/>
    </row>
    <row r="16" spans="1:7" ht="12.75">
      <c r="A16" s="3">
        <f t="shared" si="0"/>
        <v>9</v>
      </c>
      <c r="B16" s="48" t="s">
        <v>146</v>
      </c>
      <c r="C16" s="57">
        <f>'A3  STD Int &amp; Fees-Prior Fac'!C14</f>
        <v>0</v>
      </c>
      <c r="D16" s="163" t="str">
        <f>IF(E16=0,"NA",(E16/C16))</f>
        <v>NA</v>
      </c>
      <c r="E16" s="57">
        <f>'A3  STD Int &amp; Fees-Prior Fac'!D14</f>
        <v>0</v>
      </c>
      <c r="F16" s="55"/>
      <c r="G16" s="56"/>
    </row>
    <row r="17" spans="1:7" ht="12.75">
      <c r="A17" s="3">
        <f t="shared" si="0"/>
        <v>10</v>
      </c>
      <c r="B17" s="244" t="s">
        <v>153</v>
      </c>
      <c r="C17" s="246">
        <f>SUM(C13:C16)</f>
        <v>98622946.35573772</v>
      </c>
      <c r="D17" s="247">
        <f>IF(E17=0,"NA",(E17/C17))</f>
        <v>0.005163193643106406</v>
      </c>
      <c r="E17" s="245">
        <f>SUM(E13:E16)</f>
        <v>509209.36968836904</v>
      </c>
      <c r="F17" s="55"/>
      <c r="G17" s="56"/>
    </row>
    <row r="18" spans="1:7" ht="12.75">
      <c r="A18" s="3">
        <f t="shared" si="0"/>
        <v>11</v>
      </c>
      <c r="B18" s="48"/>
      <c r="C18" s="66"/>
      <c r="D18" s="164"/>
      <c r="E18" s="58"/>
      <c r="F18" s="48"/>
      <c r="G18" s="56"/>
    </row>
    <row r="19" spans="1:7" ht="12.75">
      <c r="A19" s="3">
        <f t="shared" si="0"/>
        <v>12</v>
      </c>
      <c r="B19" s="52" t="s">
        <v>52</v>
      </c>
      <c r="C19" s="67"/>
      <c r="D19" s="68"/>
      <c r="E19" s="260">
        <f>'A3  STD Int &amp; Fees-Prior Fac'!H16</f>
        <v>967867.7972155</v>
      </c>
      <c r="F19" s="147" t="s">
        <v>74</v>
      </c>
      <c r="G19" s="56"/>
    </row>
    <row r="20" spans="1:7" ht="12.75">
      <c r="A20" s="3">
        <f t="shared" si="0"/>
        <v>13</v>
      </c>
      <c r="B20" s="52"/>
      <c r="C20" s="59"/>
      <c r="D20" s="60"/>
      <c r="E20" s="64"/>
      <c r="F20" s="55"/>
      <c r="G20" s="56"/>
    </row>
    <row r="21" spans="1:7" ht="12.75">
      <c r="A21" s="3">
        <f t="shared" si="0"/>
        <v>14</v>
      </c>
      <c r="B21" s="52" t="s">
        <v>53</v>
      </c>
      <c r="C21" s="59"/>
      <c r="D21" s="60"/>
      <c r="E21" s="260">
        <f>-'A4  STD Amort-Prior Fac'!E25</f>
        <v>293659.07999999996</v>
      </c>
      <c r="F21" s="147" t="s">
        <v>94</v>
      </c>
      <c r="G21" s="56"/>
    </row>
    <row r="22" spans="1:7" ht="13.5" thickBot="1">
      <c r="A22" s="3">
        <f t="shared" si="0"/>
        <v>15</v>
      </c>
      <c r="B22" s="48"/>
      <c r="C22" s="58"/>
      <c r="D22" s="57"/>
      <c r="E22" s="65"/>
      <c r="G22" s="48"/>
    </row>
    <row r="23" spans="1:7" ht="13.5" thickBot="1">
      <c r="A23" s="3">
        <f t="shared" si="0"/>
        <v>16</v>
      </c>
      <c r="B23" s="61" t="s">
        <v>37</v>
      </c>
      <c r="C23" s="62">
        <f>C17</f>
        <v>98622946.35573772</v>
      </c>
      <c r="D23" s="63"/>
      <c r="E23" s="62">
        <f>SUM(E17:E22)</f>
        <v>1770736.2469038689</v>
      </c>
      <c r="F23" s="168">
        <f>E23/C23</f>
        <v>0.01795460703959034</v>
      </c>
      <c r="G23" s="56"/>
    </row>
    <row r="24" spans="1:7" ht="12.75">
      <c r="A24" s="3">
        <f t="shared" si="0"/>
        <v>17</v>
      </c>
      <c r="B24" s="48"/>
      <c r="C24" s="48"/>
      <c r="D24" s="48"/>
      <c r="E24" s="48"/>
      <c r="F24" s="48"/>
      <c r="G24" s="56"/>
    </row>
    <row r="25" spans="1:7" ht="12.75">
      <c r="A25" s="3">
        <f t="shared" si="0"/>
        <v>18</v>
      </c>
      <c r="E25" s="8"/>
      <c r="F25" s="7"/>
      <c r="G25" s="8"/>
    </row>
    <row r="26" spans="1:7" ht="12.75">
      <c r="A26" s="3">
        <f t="shared" si="0"/>
        <v>19</v>
      </c>
      <c r="B26" s="99" t="s">
        <v>171</v>
      </c>
      <c r="C26" s="405"/>
      <c r="D26" s="405"/>
      <c r="E26" s="405"/>
      <c r="F26" s="52"/>
      <c r="G26" s="8"/>
    </row>
    <row r="27" spans="1:7" ht="12.75">
      <c r="A27" s="3">
        <f t="shared" si="0"/>
        <v>20</v>
      </c>
      <c r="B27" s="99" t="s">
        <v>232</v>
      </c>
      <c r="C27" s="405"/>
      <c r="D27" s="405"/>
      <c r="E27" s="405"/>
      <c r="F27" s="52"/>
      <c r="G27" s="8"/>
    </row>
    <row r="28" spans="1:7" ht="12.75">
      <c r="A28" s="3">
        <f t="shared" si="0"/>
        <v>21</v>
      </c>
      <c r="B28" s="99" t="s">
        <v>233</v>
      </c>
      <c r="C28" s="52"/>
      <c r="D28" s="52"/>
      <c r="E28" s="52"/>
      <c r="F28" s="52"/>
      <c r="G28" s="8"/>
    </row>
    <row r="29" spans="1:7" ht="12.75">
      <c r="A29" s="3"/>
      <c r="B29" s="99"/>
      <c r="E29" s="8"/>
      <c r="F29" s="7"/>
      <c r="G29" s="8"/>
    </row>
    <row r="30" spans="1:2" ht="12.75">
      <c r="A30" s="3"/>
      <c r="B30" s="99"/>
    </row>
    <row r="31" spans="1:2" ht="12.75">
      <c r="A31" s="3"/>
      <c r="B31" s="6"/>
    </row>
    <row r="32" spans="1:2" ht="12.75">
      <c r="A32" s="3"/>
      <c r="B32" s="6"/>
    </row>
    <row r="33" ht="12.75">
      <c r="A33" s="3" t="s">
        <v>1</v>
      </c>
    </row>
    <row r="34" ht="12.75" customHeight="1">
      <c r="A34" s="9"/>
    </row>
    <row r="35" spans="1:7" ht="12.75">
      <c r="A35" s="3" t="s">
        <v>1</v>
      </c>
      <c r="E35" s="8"/>
      <c r="F35" s="7"/>
      <c r="G35" s="8"/>
    </row>
    <row r="36" spans="1:7" ht="12.75">
      <c r="A36" s="3" t="s">
        <v>1</v>
      </c>
      <c r="E36" s="8"/>
      <c r="F36" s="7"/>
      <c r="G36" s="8"/>
    </row>
    <row r="37" spans="5:7" ht="12.75">
      <c r="E37" s="8"/>
      <c r="F37" s="7"/>
      <c r="G37" s="8"/>
    </row>
    <row r="41" spans="4:7" ht="12.75">
      <c r="D41" s="10"/>
      <c r="E41" s="8"/>
      <c r="F41" s="7"/>
      <c r="G41" s="8"/>
    </row>
    <row r="42" spans="4:7" ht="12.75">
      <c r="D42" s="10"/>
      <c r="E42" s="8"/>
      <c r="F42" s="7"/>
      <c r="G42" s="8"/>
    </row>
    <row r="43" spans="4:7" ht="12.75">
      <c r="D43" s="10"/>
      <c r="E43" s="8"/>
      <c r="F43" s="7"/>
      <c r="G43" s="8"/>
    </row>
    <row r="44" spans="4:7" ht="12.75">
      <c r="D44" s="10"/>
      <c r="E44" s="8"/>
      <c r="F44" s="7"/>
      <c r="G44" s="8"/>
    </row>
    <row r="45" ht="12.75">
      <c r="E45" s="8"/>
    </row>
    <row r="46" spans="5:7" ht="12.75">
      <c r="E46" s="8"/>
      <c r="G46" s="8"/>
    </row>
    <row r="55" ht="12.75">
      <c r="B55" s="10"/>
    </row>
    <row r="56" ht="12.75">
      <c r="B56" s="6"/>
    </row>
    <row r="73" ht="12.75">
      <c r="F73" s="7"/>
    </row>
    <row r="84" ht="12.75">
      <c r="D84" s="10"/>
    </row>
    <row r="86" ht="12.75">
      <c r="D86" s="10"/>
    </row>
    <row r="89" ht="12.75">
      <c r="D89" s="10"/>
    </row>
    <row r="90" ht="12.75">
      <c r="D90" s="10"/>
    </row>
    <row r="95" ht="12.75">
      <c r="D95" s="10"/>
    </row>
    <row r="96" ht="12.75">
      <c r="D96" s="10"/>
    </row>
    <row r="103" ht="12.75">
      <c r="C103" s="11"/>
    </row>
    <row r="104" ht="12.75">
      <c r="C104" s="12"/>
    </row>
    <row r="106" ht="12.75">
      <c r="C106" s="11"/>
    </row>
    <row r="107" ht="12.75">
      <c r="C107" s="7"/>
    </row>
  </sheetData>
  <sheetProtection/>
  <printOptions horizontalCentered="1"/>
  <pageMargins left="0.75" right="0.75" top="0.65" bottom="0.63" header="0.5" footer="0.31"/>
  <pageSetup fitToHeight="1" fitToWidth="1" horizontalDpi="600" verticalDpi="600" orientation="landscape" r:id="rId1"/>
  <headerFooter alignWithMargins="0">
    <oddFooter>&amp;C&amp;A&amp;R&amp;8&amp;F</oddFooter>
  </headerFooter>
</worksheet>
</file>

<file path=xl/worksheets/sheet13.xml><?xml version="1.0" encoding="utf-8"?>
<worksheet xmlns="http://schemas.openxmlformats.org/spreadsheetml/2006/main" xmlns:r="http://schemas.openxmlformats.org/officeDocument/2006/relationships">
  <dimension ref="A1:O41"/>
  <sheetViews>
    <sheetView zoomScalePageLayoutView="0" workbookViewId="0" topLeftCell="A1">
      <selection activeCell="C25" sqref="C25"/>
    </sheetView>
  </sheetViews>
  <sheetFormatPr defaultColWidth="9.33203125" defaultRowHeight="11.25"/>
  <cols>
    <col min="1" max="1" width="5.16015625" style="0" customWidth="1"/>
    <col min="2" max="2" width="24.66015625" style="0" customWidth="1"/>
    <col min="3" max="3" width="16.16015625" style="0" customWidth="1"/>
    <col min="4" max="4" width="15.16015625" style="0" customWidth="1"/>
    <col min="5" max="5" width="11.83203125" style="0" customWidth="1"/>
    <col min="6" max="6" width="15" style="0" customWidth="1"/>
    <col min="7" max="7" width="14.33203125" style="0" customWidth="1"/>
    <col min="8" max="8" width="14.83203125" style="0" customWidth="1"/>
    <col min="9" max="10" width="12.83203125" style="0" customWidth="1"/>
    <col min="11" max="11" width="5.83203125" style="0" customWidth="1"/>
    <col min="12" max="12" width="8.5" style="0" customWidth="1"/>
    <col min="13" max="13" width="10" style="0" customWidth="1"/>
    <col min="14" max="14" width="11.16015625" style="0" customWidth="1"/>
    <col min="15" max="15" width="11.5" style="0" customWidth="1"/>
  </cols>
  <sheetData>
    <row r="1" spans="1:15" ht="20.25">
      <c r="A1" s="31"/>
      <c r="B1" s="32" t="s">
        <v>44</v>
      </c>
      <c r="C1" s="32"/>
      <c r="D1" s="31"/>
      <c r="E1" s="406" t="s">
        <v>231</v>
      </c>
      <c r="F1" s="31"/>
      <c r="G1" s="32"/>
      <c r="H1" s="32"/>
      <c r="I1" s="32"/>
      <c r="J1" s="32"/>
      <c r="K1" s="31"/>
      <c r="L1" s="31"/>
      <c r="M1" s="31"/>
      <c r="N1" s="31"/>
      <c r="O1" s="31"/>
    </row>
    <row r="2" spans="1:15" ht="12">
      <c r="A2" s="31"/>
      <c r="B2" s="32" t="s">
        <v>45</v>
      </c>
      <c r="C2" s="32"/>
      <c r="D2" s="31"/>
      <c r="E2" s="31"/>
      <c r="F2" s="31"/>
      <c r="G2" s="32"/>
      <c r="H2" s="32"/>
      <c r="I2" s="32"/>
      <c r="J2" s="32"/>
      <c r="K2" s="33"/>
      <c r="L2" s="31"/>
      <c r="N2" s="31"/>
      <c r="O2" s="31"/>
    </row>
    <row r="3" spans="1:15" ht="12.75">
      <c r="A3" s="31"/>
      <c r="B3" s="206">
        <f>'Pg 1 CofCap'!A5</f>
        <v>41364</v>
      </c>
      <c r="C3" s="197"/>
      <c r="D3" s="198"/>
      <c r="E3" s="198"/>
      <c r="F3" s="198"/>
      <c r="G3" s="199"/>
      <c r="H3" s="199"/>
      <c r="I3" s="199"/>
      <c r="J3" s="199"/>
      <c r="K3" s="31"/>
      <c r="L3" s="31"/>
      <c r="N3" s="31"/>
      <c r="O3" s="31"/>
    </row>
    <row r="4" spans="1:15" ht="12">
      <c r="A4" s="31"/>
      <c r="B4" s="32"/>
      <c r="C4" s="39"/>
      <c r="D4" s="31"/>
      <c r="E4" s="31"/>
      <c r="F4" s="31"/>
      <c r="G4" s="31"/>
      <c r="H4" s="31"/>
      <c r="I4" s="31"/>
      <c r="J4" s="31"/>
      <c r="K4" s="31"/>
      <c r="L4" s="31"/>
      <c r="N4" s="31"/>
      <c r="O4" s="31"/>
    </row>
    <row r="5" spans="1:15" ht="13.5" thickBot="1">
      <c r="A5" s="148">
        <v>1</v>
      </c>
      <c r="B5" s="262" t="s">
        <v>3</v>
      </c>
      <c r="C5" s="262" t="s">
        <v>25</v>
      </c>
      <c r="D5" s="262" t="s">
        <v>50</v>
      </c>
      <c r="E5" s="262" t="s">
        <v>61</v>
      </c>
      <c r="F5" s="262" t="s">
        <v>62</v>
      </c>
      <c r="G5" s="262" t="s">
        <v>63</v>
      </c>
      <c r="H5" s="262" t="s">
        <v>64</v>
      </c>
      <c r="I5" s="262" t="s">
        <v>65</v>
      </c>
      <c r="J5" s="262" t="s">
        <v>66</v>
      </c>
      <c r="K5" s="50"/>
      <c r="L5" s="50"/>
      <c r="N5" s="31"/>
      <c r="O5" s="31"/>
    </row>
    <row r="6" spans="1:15" ht="12">
      <c r="A6" s="148">
        <f aca="true" t="shared" si="0" ref="A6:A40">+A5+1</f>
        <v>2</v>
      </c>
      <c r="B6" s="263" t="s">
        <v>117</v>
      </c>
      <c r="C6" s="264"/>
      <c r="D6" s="264"/>
      <c r="E6" s="264"/>
      <c r="F6" s="264"/>
      <c r="G6" s="264"/>
      <c r="H6" s="114"/>
      <c r="I6" s="114"/>
      <c r="J6" s="114"/>
      <c r="K6" s="265"/>
      <c r="M6" s="31"/>
      <c r="N6" s="31"/>
      <c r="O6" s="31"/>
    </row>
    <row r="7" spans="1:15" ht="12">
      <c r="A7" s="148">
        <f t="shared" si="0"/>
        <v>3</v>
      </c>
      <c r="B7" s="407"/>
      <c r="C7" s="158"/>
      <c r="D7" s="158"/>
      <c r="E7" s="158"/>
      <c r="F7" s="158"/>
      <c r="G7" s="158"/>
      <c r="H7" s="69"/>
      <c r="I7" s="69"/>
      <c r="J7" s="69"/>
      <c r="K7" s="116"/>
      <c r="M7" s="31"/>
      <c r="N7" s="31"/>
      <c r="O7" s="31"/>
    </row>
    <row r="8" spans="1:15" ht="12">
      <c r="A8" s="148">
        <f t="shared" si="0"/>
        <v>4</v>
      </c>
      <c r="B8" s="157"/>
      <c r="C8" s="158"/>
      <c r="D8" s="288" t="s">
        <v>234</v>
      </c>
      <c r="E8" s="165" t="s">
        <v>235</v>
      </c>
      <c r="F8" s="165" t="s">
        <v>236</v>
      </c>
      <c r="G8" s="289" t="s">
        <v>234</v>
      </c>
      <c r="H8" s="34"/>
      <c r="I8" s="34"/>
      <c r="J8" s="34"/>
      <c r="K8" s="266" t="s">
        <v>1</v>
      </c>
      <c r="L8" s="31"/>
      <c r="M8" s="213"/>
      <c r="N8" s="31"/>
      <c r="O8" s="31"/>
    </row>
    <row r="9" spans="1:15" ht="12">
      <c r="A9" s="148">
        <f t="shared" si="0"/>
        <v>5</v>
      </c>
      <c r="B9" s="157"/>
      <c r="C9" s="165" t="s">
        <v>48</v>
      </c>
      <c r="D9" s="165" t="s">
        <v>110</v>
      </c>
      <c r="E9" s="165" t="s">
        <v>48</v>
      </c>
      <c r="F9" s="165" t="s">
        <v>237</v>
      </c>
      <c r="G9" s="165" t="s">
        <v>48</v>
      </c>
      <c r="H9" s="165" t="s">
        <v>127</v>
      </c>
      <c r="I9" s="34"/>
      <c r="J9" s="34"/>
      <c r="K9" s="266"/>
      <c r="L9" s="156"/>
      <c r="M9" s="31"/>
      <c r="N9" s="31"/>
      <c r="O9" s="31"/>
    </row>
    <row r="10" spans="1:15" ht="12">
      <c r="A10" s="148">
        <f t="shared" si="0"/>
        <v>6</v>
      </c>
      <c r="B10" s="157"/>
      <c r="C10" s="166" t="s">
        <v>147</v>
      </c>
      <c r="D10" s="166" t="s">
        <v>36</v>
      </c>
      <c r="E10" s="166" t="s">
        <v>95</v>
      </c>
      <c r="F10" s="166" t="s">
        <v>246</v>
      </c>
      <c r="G10" s="166" t="s">
        <v>95</v>
      </c>
      <c r="H10" s="166" t="s">
        <v>148</v>
      </c>
      <c r="I10" s="36"/>
      <c r="J10" s="34"/>
      <c r="K10" s="266"/>
      <c r="L10" s="156"/>
      <c r="M10" s="184"/>
      <c r="N10" s="31"/>
      <c r="O10" s="31"/>
    </row>
    <row r="11" spans="1:15" ht="12">
      <c r="A11" s="148">
        <f t="shared" si="0"/>
        <v>7</v>
      </c>
      <c r="B11" s="157" t="s">
        <v>34</v>
      </c>
      <c r="C11" s="200">
        <f>'Pg 4 STD OS &amp; Comm Fees'!C11</f>
        <v>54883287.65</v>
      </c>
      <c r="D11" s="200">
        <f>G11*C11</f>
        <v>248902.18000000002</v>
      </c>
      <c r="E11" s="208">
        <f>'Pg 4 STD OS &amp; Comm Fees'!E11</f>
        <v>0.004535117895766217</v>
      </c>
      <c r="F11" s="208">
        <v>0</v>
      </c>
      <c r="G11" s="208">
        <f>SUM(E11:F11)</f>
        <v>0.004535117895766217</v>
      </c>
      <c r="H11" s="408">
        <v>0</v>
      </c>
      <c r="I11" s="257"/>
      <c r="J11" s="34"/>
      <c r="K11" s="266"/>
      <c r="L11" s="31"/>
      <c r="M11" s="155"/>
      <c r="N11" s="31"/>
      <c r="O11" s="31"/>
    </row>
    <row r="12" spans="1:15" ht="12">
      <c r="A12" s="148">
        <f t="shared" si="0"/>
        <v>8</v>
      </c>
      <c r="B12" s="157" t="s">
        <v>111</v>
      </c>
      <c r="C12" s="200">
        <f>'Pg 4 STD OS &amp; Comm Fees'!C12</f>
        <v>29816370.705737714</v>
      </c>
      <c r="D12" s="200">
        <f>G12*C12</f>
        <v>153947.69568836899</v>
      </c>
      <c r="E12" s="208">
        <f>'Pg 4 STD OS &amp; Comm Fees'!E12</f>
        <v>0.006043471260280625</v>
      </c>
      <c r="F12" s="208">
        <v>0</v>
      </c>
      <c r="G12" s="208">
        <f>(D11+D13+D14)/(C11+C13+C14)</f>
        <v>0.005163193643106405</v>
      </c>
      <c r="H12" s="408">
        <v>0</v>
      </c>
      <c r="I12" s="257"/>
      <c r="J12" s="34"/>
      <c r="K12" s="266"/>
      <c r="L12" s="31"/>
      <c r="M12" s="155"/>
      <c r="N12" s="31"/>
      <c r="O12" s="31"/>
    </row>
    <row r="13" spans="1:15" ht="12">
      <c r="A13" s="148">
        <f t="shared" si="0"/>
        <v>9</v>
      </c>
      <c r="B13" s="157" t="s">
        <v>238</v>
      </c>
      <c r="C13" s="200">
        <f>'Pg 4 STD OS &amp; Comm Fees'!C14</f>
        <v>13923288</v>
      </c>
      <c r="D13" s="200">
        <f>G13*C13</f>
        <v>106359.49399999999</v>
      </c>
      <c r="E13" s="208">
        <f>'Pg 4 STD OS &amp; Comm Fees'!E14</f>
        <v>0.010888963871177555</v>
      </c>
      <c r="F13" s="208">
        <f>$C$38</f>
        <v>-0.0032500000000000003</v>
      </c>
      <c r="G13" s="208">
        <f>SUM(E13:F13)</f>
        <v>0.007638963871177555</v>
      </c>
      <c r="H13" s="162">
        <f>J23</f>
        <v>624857.638681</v>
      </c>
      <c r="I13" s="257"/>
      <c r="J13" s="34"/>
      <c r="K13" s="266"/>
      <c r="L13" s="31"/>
      <c r="M13" s="155"/>
      <c r="N13" s="31"/>
      <c r="O13" s="31"/>
    </row>
    <row r="14" spans="1:15" ht="12">
      <c r="A14" s="148">
        <f t="shared" si="0"/>
        <v>10</v>
      </c>
      <c r="B14" s="157" t="s">
        <v>238</v>
      </c>
      <c r="C14" s="200">
        <f>'Pg 4 STD OS &amp; Comm Fees'!C15</f>
        <v>0</v>
      </c>
      <c r="D14" s="200">
        <f>G14*C14</f>
        <v>0</v>
      </c>
      <c r="E14" s="208" t="str">
        <f>'Pg 4 STD OS &amp; Comm Fees'!E15</f>
        <v>NA</v>
      </c>
      <c r="F14" s="208">
        <f>$C$38</f>
        <v>-0.0032500000000000003</v>
      </c>
      <c r="G14" s="208">
        <f>SUM(E14:F14)</f>
        <v>-0.0032500000000000003</v>
      </c>
      <c r="H14" s="162">
        <f>J24</f>
        <v>253472.222222</v>
      </c>
      <c r="I14" s="257"/>
      <c r="J14" s="34"/>
      <c r="K14" s="266"/>
      <c r="L14" s="31"/>
      <c r="M14" s="155"/>
      <c r="N14" s="31"/>
      <c r="O14" s="31"/>
    </row>
    <row r="15" spans="1:15" ht="12">
      <c r="A15" s="148">
        <f t="shared" si="0"/>
        <v>11</v>
      </c>
      <c r="B15" s="157" t="s">
        <v>155</v>
      </c>
      <c r="C15" s="200"/>
      <c r="D15" s="200"/>
      <c r="E15" s="208"/>
      <c r="F15" s="208"/>
      <c r="G15" s="208"/>
      <c r="H15" s="162">
        <f>J30</f>
        <v>89537.9363125</v>
      </c>
      <c r="I15" s="257"/>
      <c r="J15" s="34"/>
      <c r="K15" s="266"/>
      <c r="L15" s="31"/>
      <c r="M15" s="155"/>
      <c r="N15" s="31"/>
      <c r="O15" s="31"/>
    </row>
    <row r="16" spans="1:15" ht="12">
      <c r="A16" s="148">
        <f t="shared" si="0"/>
        <v>12</v>
      </c>
      <c r="B16" s="249" t="s">
        <v>159</v>
      </c>
      <c r="C16" s="409">
        <f>SUM(C11:C15)</f>
        <v>98622946.35573772</v>
      </c>
      <c r="D16" s="411">
        <f>SUM(D11:D15)</f>
        <v>509209.36968836904</v>
      </c>
      <c r="E16" s="410">
        <f>'[4]Pg 4 STD OS &amp; Comm Fees'!E16</f>
        <v>0.011564749125603244</v>
      </c>
      <c r="F16" s="208"/>
      <c r="G16" s="410">
        <f>D16/C16</f>
        <v>0.005163193643106406</v>
      </c>
      <c r="H16" s="411">
        <f>SUM(H11:H15)</f>
        <v>967867.7972155</v>
      </c>
      <c r="I16" s="34"/>
      <c r="J16" s="34"/>
      <c r="K16" s="266"/>
      <c r="L16" s="31"/>
      <c r="M16" s="31"/>
      <c r="N16" s="31"/>
      <c r="O16" s="31"/>
    </row>
    <row r="17" spans="1:15" ht="12">
      <c r="A17" s="148">
        <f t="shared" si="0"/>
        <v>13</v>
      </c>
      <c r="B17" s="157"/>
      <c r="C17" s="159"/>
      <c r="D17" s="160"/>
      <c r="E17" s="158"/>
      <c r="F17" s="159"/>
      <c r="G17" s="34"/>
      <c r="H17" s="34"/>
      <c r="I17" s="34"/>
      <c r="J17" s="34"/>
      <c r="K17" s="266"/>
      <c r="L17" s="31"/>
      <c r="M17" s="31"/>
      <c r="N17" s="31"/>
      <c r="O17" s="31"/>
    </row>
    <row r="18" spans="1:15" ht="12.75" thickBot="1">
      <c r="A18" s="148">
        <f t="shared" si="0"/>
        <v>14</v>
      </c>
      <c r="B18" s="259"/>
      <c r="C18" s="161"/>
      <c r="D18" s="161"/>
      <c r="E18" s="161"/>
      <c r="F18" s="161"/>
      <c r="G18" s="267"/>
      <c r="H18" s="267"/>
      <c r="I18" s="267"/>
      <c r="J18" s="267"/>
      <c r="K18" s="268"/>
      <c r="L18" s="34"/>
      <c r="M18" s="31"/>
      <c r="N18" s="31"/>
      <c r="O18" s="31"/>
    </row>
    <row r="19" spans="1:15" ht="12">
      <c r="A19" s="148">
        <f t="shared" si="0"/>
        <v>15</v>
      </c>
      <c r="B19" s="563" t="s">
        <v>93</v>
      </c>
      <c r="C19" s="564"/>
      <c r="D19" s="114"/>
      <c r="E19" s="114"/>
      <c r="F19" s="114"/>
      <c r="G19" s="114"/>
      <c r="H19" s="140"/>
      <c r="I19" s="140"/>
      <c r="J19" s="140"/>
      <c r="K19" s="111"/>
      <c r="L19" s="34" t="s">
        <v>1</v>
      </c>
      <c r="M19" s="31"/>
      <c r="N19" s="31"/>
      <c r="O19" s="31"/>
    </row>
    <row r="20" spans="1:15" ht="12">
      <c r="A20" s="148">
        <f t="shared" si="0"/>
        <v>16</v>
      </c>
      <c r="B20" s="561" t="s">
        <v>102</v>
      </c>
      <c r="C20" s="562"/>
      <c r="D20" s="34"/>
      <c r="E20" s="34"/>
      <c r="F20" s="34"/>
      <c r="G20" s="185" t="s">
        <v>152</v>
      </c>
      <c r="H20" s="185" t="s">
        <v>152</v>
      </c>
      <c r="I20" s="38"/>
      <c r="J20" s="38"/>
      <c r="K20" s="116"/>
      <c r="L20" s="34"/>
      <c r="M20" s="31"/>
      <c r="N20" s="31"/>
      <c r="O20" s="31"/>
    </row>
    <row r="21" spans="1:15" ht="12">
      <c r="A21" s="148">
        <f t="shared" si="0"/>
        <v>17</v>
      </c>
      <c r="B21" s="141"/>
      <c r="C21" s="139"/>
      <c r="D21" s="34"/>
      <c r="E21" s="34"/>
      <c r="F21" s="34"/>
      <c r="G21" s="169" t="s">
        <v>150</v>
      </c>
      <c r="H21" s="169" t="s">
        <v>151</v>
      </c>
      <c r="I21" s="38"/>
      <c r="J21" s="38"/>
      <c r="K21" s="116"/>
      <c r="L21" s="34"/>
      <c r="M21" s="31"/>
      <c r="N21" s="31"/>
      <c r="O21" s="31"/>
    </row>
    <row r="22" spans="1:15" ht="12">
      <c r="A22" s="148">
        <f t="shared" si="0"/>
        <v>18</v>
      </c>
      <c r="B22" s="412" t="s">
        <v>239</v>
      </c>
      <c r="C22" s="35" t="s">
        <v>46</v>
      </c>
      <c r="D22" s="35" t="s">
        <v>47</v>
      </c>
      <c r="E22" s="36" t="s">
        <v>49</v>
      </c>
      <c r="F22" s="36" t="s">
        <v>127</v>
      </c>
      <c r="G22" s="36" t="s">
        <v>149</v>
      </c>
      <c r="H22" s="36" t="s">
        <v>127</v>
      </c>
      <c r="I22" s="36" t="s">
        <v>58</v>
      </c>
      <c r="J22" s="36" t="s">
        <v>59</v>
      </c>
      <c r="K22" s="142"/>
      <c r="L22" s="34"/>
      <c r="M22" s="31"/>
      <c r="N22" s="31"/>
      <c r="O22" s="31"/>
    </row>
    <row r="23" spans="1:15" ht="12">
      <c r="A23" s="148">
        <f t="shared" si="0"/>
        <v>19</v>
      </c>
      <c r="B23" s="157" t="s">
        <v>240</v>
      </c>
      <c r="C23" s="413">
        <v>40178</v>
      </c>
      <c r="D23" s="413">
        <v>40543</v>
      </c>
      <c r="E23" s="258">
        <f>D23-C23</f>
        <v>365</v>
      </c>
      <c r="F23" s="414">
        <v>500000000</v>
      </c>
      <c r="G23" s="200">
        <f>(C13+C14)/2</f>
        <v>6961644</v>
      </c>
      <c r="H23" s="200">
        <f>F23-G23</f>
        <v>493038356</v>
      </c>
      <c r="I23" s="208">
        <v>0.00125</v>
      </c>
      <c r="J23" s="162">
        <f>ROUND(H23*I23*E23/360,6)</f>
        <v>624857.638681</v>
      </c>
      <c r="K23" s="116"/>
      <c r="L23" s="34"/>
      <c r="M23" s="31"/>
      <c r="N23" s="31"/>
      <c r="O23" s="31"/>
    </row>
    <row r="24" spans="1:15" ht="12">
      <c r="A24" s="148">
        <f t="shared" si="0"/>
        <v>20</v>
      </c>
      <c r="B24" s="157" t="s">
        <v>241</v>
      </c>
      <c r="C24" s="413">
        <v>40178</v>
      </c>
      <c r="D24" s="413">
        <v>40543</v>
      </c>
      <c r="E24" s="258">
        <f>D24-C24</f>
        <v>365</v>
      </c>
      <c r="F24" s="414">
        <v>200000000</v>
      </c>
      <c r="G24" s="200">
        <f>(C13+C14)/2</f>
        <v>6961644</v>
      </c>
      <c r="H24" s="445" t="s">
        <v>253</v>
      </c>
      <c r="I24" s="208">
        <v>0.00125</v>
      </c>
      <c r="J24" s="162">
        <f>ROUND(F24*I24*E24/360,6)</f>
        <v>253472.222222</v>
      </c>
      <c r="K24" s="116"/>
      <c r="L24" s="34"/>
      <c r="M24" s="31"/>
      <c r="N24" s="31"/>
      <c r="O24" s="31"/>
    </row>
    <row r="25" spans="1:15" ht="12">
      <c r="A25" s="148">
        <f t="shared" si="0"/>
        <v>21</v>
      </c>
      <c r="B25" s="204" t="s">
        <v>126</v>
      </c>
      <c r="C25" s="37"/>
      <c r="D25" s="215"/>
      <c r="E25" s="258"/>
      <c r="F25" s="415"/>
      <c r="I25" s="215"/>
      <c r="J25" s="416">
        <f>SUM(J23:J24)</f>
        <v>878329.860903</v>
      </c>
      <c r="K25" s="143"/>
      <c r="L25" s="34"/>
      <c r="M25" s="31"/>
      <c r="N25" s="31"/>
      <c r="O25" s="31"/>
    </row>
    <row r="26" spans="1:15" ht="12">
      <c r="A26" s="148">
        <f t="shared" si="0"/>
        <v>22</v>
      </c>
      <c r="B26" s="188"/>
      <c r="C26" s="37"/>
      <c r="D26" s="215"/>
      <c r="E26" s="417"/>
      <c r="F26" s="36"/>
      <c r="G26" s="215"/>
      <c r="H26" s="418"/>
      <c r="I26" s="418"/>
      <c r="J26" s="418"/>
      <c r="K26" s="143"/>
      <c r="L26" s="34"/>
      <c r="M26" s="31"/>
      <c r="N26" s="31"/>
      <c r="O26" s="31"/>
    </row>
    <row r="27" spans="1:15" ht="12">
      <c r="A27" s="148">
        <f t="shared" si="0"/>
        <v>23</v>
      </c>
      <c r="B27" s="203" t="s">
        <v>128</v>
      </c>
      <c r="C27" s="217"/>
      <c r="F27" s="36" t="s">
        <v>172</v>
      </c>
      <c r="G27" s="36" t="s">
        <v>49</v>
      </c>
      <c r="H27" s="36" t="s">
        <v>156</v>
      </c>
      <c r="I27" s="215"/>
      <c r="J27" s="216"/>
      <c r="K27" s="143"/>
      <c r="L27" s="34"/>
      <c r="M27" s="31"/>
      <c r="N27" s="31"/>
      <c r="O27" s="31"/>
    </row>
    <row r="28" spans="1:15" ht="12">
      <c r="A28" s="148">
        <f t="shared" si="0"/>
        <v>24</v>
      </c>
      <c r="B28" s="204" t="s">
        <v>157</v>
      </c>
      <c r="C28" s="218"/>
      <c r="F28" s="299" t="s">
        <v>176</v>
      </c>
      <c r="G28" s="258">
        <v>365</v>
      </c>
      <c r="H28" s="200">
        <f>'Pg 4 STD OS &amp; Comm Fees'!H33</f>
        <v>5019567.575342466</v>
      </c>
      <c r="I28" s="419">
        <v>0.0065</v>
      </c>
      <c r="J28" s="200">
        <f>(I28*H28)*(G28/360)</f>
        <v>33080.344645833335</v>
      </c>
      <c r="K28" s="143"/>
      <c r="L28" s="34"/>
      <c r="M28" s="31"/>
      <c r="N28" s="31"/>
      <c r="O28" s="31"/>
    </row>
    <row r="29" spans="1:15" ht="12.75" customHeight="1">
      <c r="A29" s="148">
        <f t="shared" si="0"/>
        <v>25</v>
      </c>
      <c r="B29" s="204" t="s">
        <v>174</v>
      </c>
      <c r="C29" s="218"/>
      <c r="F29" s="299" t="s">
        <v>175</v>
      </c>
      <c r="G29" s="258">
        <v>365</v>
      </c>
      <c r="H29" s="200">
        <f>'Pg 4 STD OS &amp; Comm Fees'!H36</f>
        <v>8566800</v>
      </c>
      <c r="I29" s="419">
        <v>0.0065</v>
      </c>
      <c r="J29" s="200">
        <f>(I29*H29)*(G29/360)</f>
        <v>56457.59166666666</v>
      </c>
      <c r="K29" s="116"/>
      <c r="L29" s="34"/>
      <c r="M29" s="31"/>
      <c r="N29" s="31"/>
      <c r="O29" s="31"/>
    </row>
    <row r="30" spans="1:15" ht="12.75" customHeight="1" thickBot="1">
      <c r="A30" s="148">
        <f t="shared" si="0"/>
        <v>26</v>
      </c>
      <c r="B30" s="248" t="s">
        <v>158</v>
      </c>
      <c r="C30" s="218"/>
      <c r="D30" s="218"/>
      <c r="E30" s="278"/>
      <c r="F30" s="279"/>
      <c r="G30" s="258"/>
      <c r="H30" s="38"/>
      <c r="I30" s="38"/>
      <c r="J30" s="280">
        <f>SUM(J28:J29)</f>
        <v>89537.9363125</v>
      </c>
      <c r="K30" s="116"/>
      <c r="L30" s="34"/>
      <c r="M30" s="31"/>
      <c r="N30" s="31"/>
      <c r="O30" s="31"/>
    </row>
    <row r="31" spans="1:15" ht="12.75" customHeight="1" thickTop="1">
      <c r="A31" s="148">
        <f t="shared" si="0"/>
        <v>27</v>
      </c>
      <c r="B31" s="204"/>
      <c r="C31" s="121"/>
      <c r="D31" s="121"/>
      <c r="E31" s="121"/>
      <c r="F31" s="242"/>
      <c r="G31" s="243"/>
      <c r="H31" s="38"/>
      <c r="I31" s="38"/>
      <c r="J31" s="38"/>
      <c r="K31" s="116"/>
      <c r="L31" s="34"/>
      <c r="M31" s="31"/>
      <c r="N31" s="31"/>
      <c r="O31" s="31"/>
    </row>
    <row r="32" spans="1:11" ht="12">
      <c r="A32" s="148">
        <f t="shared" si="0"/>
        <v>28</v>
      </c>
      <c r="B32" s="141"/>
      <c r="C32" s="139"/>
      <c r="D32" s="139"/>
      <c r="E32" s="69"/>
      <c r="F32" s="69"/>
      <c r="G32" s="69"/>
      <c r="H32" s="112"/>
      <c r="I32" s="112"/>
      <c r="J32" s="112"/>
      <c r="K32" s="116"/>
    </row>
    <row r="33" spans="1:11" ht="12.75" thickBot="1">
      <c r="A33" s="148">
        <f t="shared" si="0"/>
        <v>29</v>
      </c>
      <c r="B33" s="94" t="s">
        <v>80</v>
      </c>
      <c r="C33" s="145"/>
      <c r="D33" s="145"/>
      <c r="E33" s="117"/>
      <c r="F33" s="117"/>
      <c r="G33" s="117"/>
      <c r="H33" s="146"/>
      <c r="I33" s="146"/>
      <c r="J33" s="146"/>
      <c r="K33" s="144"/>
    </row>
    <row r="34" spans="1:11" ht="12">
      <c r="A34" s="148">
        <f t="shared" si="0"/>
        <v>30</v>
      </c>
      <c r="B34" s="420" t="s">
        <v>242</v>
      </c>
      <c r="C34" s="114"/>
      <c r="D34" s="114"/>
      <c r="E34" s="114"/>
      <c r="F34" s="114"/>
      <c r="G34" s="114"/>
      <c r="H34" s="114"/>
      <c r="I34" s="114"/>
      <c r="J34" s="114"/>
      <c r="K34" s="265"/>
    </row>
    <row r="35" spans="1:11" ht="12">
      <c r="A35" s="148">
        <f t="shared" si="0"/>
        <v>31</v>
      </c>
      <c r="B35" s="421"/>
      <c r="C35" s="69"/>
      <c r="D35" s="69"/>
      <c r="E35" s="69"/>
      <c r="F35" s="69"/>
      <c r="G35" s="69"/>
      <c r="H35" s="69"/>
      <c r="I35" s="69"/>
      <c r="J35" s="69"/>
      <c r="K35" s="116"/>
    </row>
    <row r="36" spans="1:11" ht="12">
      <c r="A36" s="148">
        <f t="shared" si="0"/>
        <v>32</v>
      </c>
      <c r="B36" s="421" t="s">
        <v>243</v>
      </c>
      <c r="C36" s="422">
        <v>0.00525</v>
      </c>
      <c r="D36" s="69"/>
      <c r="E36" s="69"/>
      <c r="F36" s="69"/>
      <c r="G36" s="69"/>
      <c r="H36" s="69"/>
      <c r="I36" s="69"/>
      <c r="J36" s="69"/>
      <c r="K36" s="116"/>
    </row>
    <row r="37" spans="1:11" ht="12">
      <c r="A37" s="148">
        <f t="shared" si="0"/>
        <v>33</v>
      </c>
      <c r="B37" s="421" t="s">
        <v>244</v>
      </c>
      <c r="C37" s="422">
        <v>0.0085</v>
      </c>
      <c r="D37" s="69"/>
      <c r="E37" s="69"/>
      <c r="F37" s="69"/>
      <c r="G37" s="69"/>
      <c r="H37" s="69"/>
      <c r="I37" s="69"/>
      <c r="J37" s="69"/>
      <c r="K37" s="116"/>
    </row>
    <row r="38" spans="1:11" ht="12">
      <c r="A38" s="148">
        <f t="shared" si="0"/>
        <v>34</v>
      </c>
      <c r="B38" s="423" t="s">
        <v>245</v>
      </c>
      <c r="C38" s="424">
        <f>C36-C37</f>
        <v>-0.0032500000000000003</v>
      </c>
      <c r="D38" s="34" t="s">
        <v>247</v>
      </c>
      <c r="E38" s="69"/>
      <c r="F38" s="69"/>
      <c r="G38" s="69"/>
      <c r="H38" s="69"/>
      <c r="I38" s="69"/>
      <c r="J38" s="69"/>
      <c r="K38" s="116"/>
    </row>
    <row r="39" spans="1:11" ht="11.25">
      <c r="A39" s="148">
        <f t="shared" si="0"/>
        <v>35</v>
      </c>
      <c r="B39" s="115"/>
      <c r="C39" s="69"/>
      <c r="D39" s="69"/>
      <c r="E39" s="69"/>
      <c r="F39" s="69"/>
      <c r="G39" s="69"/>
      <c r="H39" s="69"/>
      <c r="I39" s="69"/>
      <c r="J39" s="69"/>
      <c r="K39" s="116"/>
    </row>
    <row r="40" spans="1:11" ht="12" thickBot="1">
      <c r="A40" s="148">
        <f t="shared" si="0"/>
        <v>36</v>
      </c>
      <c r="B40" s="425"/>
      <c r="C40" s="117"/>
      <c r="D40" s="117"/>
      <c r="E40" s="117"/>
      <c r="F40" s="117"/>
      <c r="G40" s="117"/>
      <c r="H40" s="117"/>
      <c r="I40" s="117"/>
      <c r="J40" s="117"/>
      <c r="K40" s="144"/>
    </row>
    <row r="41" ht="11.25">
      <c r="A41" s="148"/>
    </row>
  </sheetData>
  <sheetProtection/>
  <mergeCells count="2">
    <mergeCell ref="B20:C20"/>
    <mergeCell ref="B19:C19"/>
  </mergeCells>
  <printOptions/>
  <pageMargins left="0.5" right="0.5" top="0.51" bottom="0.96" header="0.29" footer="0.28"/>
  <pageSetup horizontalDpi="600" verticalDpi="600" orientation="landscape" r:id="rId3"/>
  <headerFooter alignWithMargins="0">
    <oddFooter>&amp;C&amp;A&amp;R&amp;8&amp;F</oddFooter>
  </headerFooter>
  <legacyDrawing r:id="rId2"/>
</worksheet>
</file>

<file path=xl/worksheets/sheet14.xml><?xml version="1.0" encoding="utf-8"?>
<worksheet xmlns="http://schemas.openxmlformats.org/spreadsheetml/2006/main" xmlns:r="http://schemas.openxmlformats.org/officeDocument/2006/relationships">
  <dimension ref="A1:H50"/>
  <sheetViews>
    <sheetView zoomScalePageLayoutView="0" workbookViewId="0" topLeftCell="A1">
      <selection activeCell="C25" sqref="C25"/>
    </sheetView>
  </sheetViews>
  <sheetFormatPr defaultColWidth="9.33203125" defaultRowHeight="11.25"/>
  <cols>
    <col min="1" max="1" width="4.83203125" style="0" customWidth="1"/>
    <col min="2" max="2" width="44.16015625" style="0" customWidth="1"/>
    <col min="3" max="3" width="16.66015625" style="0" customWidth="1"/>
    <col min="4" max="4" width="16.83203125" style="0" customWidth="1"/>
    <col min="5" max="5" width="15.66015625" style="0" customWidth="1"/>
    <col min="6" max="7" width="12" style="93" customWidth="1"/>
  </cols>
  <sheetData>
    <row r="1" spans="2:3" ht="20.25">
      <c r="B1" s="32" t="s">
        <v>44</v>
      </c>
      <c r="C1" s="406" t="s">
        <v>231</v>
      </c>
    </row>
    <row r="2" spans="1:2" ht="16.5" customHeight="1">
      <c r="A2" s="69"/>
      <c r="B2" s="95" t="s">
        <v>101</v>
      </c>
    </row>
    <row r="3" spans="1:2" ht="15" customHeight="1">
      <c r="A3" s="69"/>
      <c r="B3" s="241">
        <f>'Pg 1 CofCap'!A5</f>
        <v>41364</v>
      </c>
    </row>
    <row r="4" spans="1:2" ht="11.25">
      <c r="A4" s="426"/>
      <c r="B4" s="427"/>
    </row>
    <row r="5" spans="1:5" ht="11.25">
      <c r="A5" s="96" t="s">
        <v>3</v>
      </c>
      <c r="B5" s="96" t="s">
        <v>25</v>
      </c>
      <c r="C5" s="96" t="s">
        <v>50</v>
      </c>
      <c r="D5" s="96" t="s">
        <v>61</v>
      </c>
      <c r="E5" s="96" t="s">
        <v>62</v>
      </c>
    </row>
    <row r="6" spans="2:5" ht="11.25" customHeight="1">
      <c r="B6" s="428"/>
      <c r="C6" s="428"/>
      <c r="D6" s="428"/>
      <c r="E6" s="428"/>
    </row>
    <row r="7" spans="1:4" ht="11.25" customHeight="1">
      <c r="A7" s="148"/>
      <c r="B7" s="123"/>
      <c r="C7" s="429" t="s">
        <v>248</v>
      </c>
      <c r="D7" s="429" t="s">
        <v>248</v>
      </c>
    </row>
    <row r="8" spans="1:4" ht="11.25" customHeight="1">
      <c r="A8" s="148">
        <v>1</v>
      </c>
      <c r="B8" s="123" t="s">
        <v>7</v>
      </c>
      <c r="C8" s="430" t="s">
        <v>249</v>
      </c>
      <c r="D8" s="431" t="s">
        <v>250</v>
      </c>
    </row>
    <row r="9" spans="1:5" ht="11.25" customHeight="1">
      <c r="A9" s="148">
        <f aca="true" t="shared" si="0" ref="A9:A25">A8+1</f>
        <v>2</v>
      </c>
      <c r="B9" s="123"/>
      <c r="C9" s="430" t="s">
        <v>251</v>
      </c>
      <c r="D9" s="431" t="s">
        <v>252</v>
      </c>
      <c r="E9" s="432" t="s">
        <v>163</v>
      </c>
    </row>
    <row r="10" spans="1:5" ht="11.25" customHeight="1">
      <c r="A10" s="148">
        <f t="shared" si="0"/>
        <v>3</v>
      </c>
      <c r="B10" s="433" t="s">
        <v>144</v>
      </c>
      <c r="C10" s="434">
        <v>18100400</v>
      </c>
      <c r="D10" s="434">
        <v>18100583</v>
      </c>
      <c r="E10" s="434" t="s">
        <v>164</v>
      </c>
    </row>
    <row r="11" spans="1:4" ht="11.25" customHeight="1">
      <c r="A11" s="148">
        <f t="shared" si="0"/>
        <v>4</v>
      </c>
      <c r="B11" s="433"/>
      <c r="C11" s="435"/>
      <c r="D11" s="121"/>
    </row>
    <row r="12" spans="1:5" ht="11.25">
      <c r="A12" s="148">
        <f t="shared" si="0"/>
        <v>5</v>
      </c>
      <c r="B12" s="436">
        <v>40209</v>
      </c>
      <c r="C12" s="232">
        <v>-5627.69</v>
      </c>
      <c r="D12" s="232">
        <v>-18843.9</v>
      </c>
      <c r="E12" s="437"/>
    </row>
    <row r="13" spans="1:5" ht="11.25">
      <c r="A13" s="148">
        <f t="shared" si="0"/>
        <v>6</v>
      </c>
      <c r="B13" s="436">
        <v>40237</v>
      </c>
      <c r="C13" s="232">
        <v>-5627.69</v>
      </c>
      <c r="D13" s="232">
        <v>-18843.9</v>
      </c>
      <c r="E13" s="437"/>
    </row>
    <row r="14" spans="1:5" ht="11.25">
      <c r="A14" s="148">
        <f t="shared" si="0"/>
        <v>7</v>
      </c>
      <c r="B14" s="436">
        <v>40268</v>
      </c>
      <c r="C14" s="232">
        <v>-5627.69</v>
      </c>
      <c r="D14" s="232">
        <v>-18843.9</v>
      </c>
      <c r="E14" s="437"/>
    </row>
    <row r="15" spans="1:5" ht="11.25">
      <c r="A15" s="148">
        <f t="shared" si="0"/>
        <v>8</v>
      </c>
      <c r="B15" s="436">
        <v>40298</v>
      </c>
      <c r="C15" s="232">
        <v>-5627.69</v>
      </c>
      <c r="D15" s="232">
        <v>-18843.9</v>
      </c>
      <c r="E15" s="437"/>
    </row>
    <row r="16" spans="1:8" ht="11.25">
      <c r="A16" s="148">
        <f t="shared" si="0"/>
        <v>9</v>
      </c>
      <c r="B16" s="436">
        <v>40329</v>
      </c>
      <c r="C16" s="232">
        <v>-5627.69</v>
      </c>
      <c r="D16" s="232">
        <v>-18843.9</v>
      </c>
      <c r="E16" s="437"/>
      <c r="H16" s="250"/>
    </row>
    <row r="17" spans="1:5" ht="11.25">
      <c r="A17" s="148">
        <f t="shared" si="0"/>
        <v>10</v>
      </c>
      <c r="B17" s="436">
        <v>40359</v>
      </c>
      <c r="C17" s="232">
        <v>-5627.69</v>
      </c>
      <c r="D17" s="232">
        <v>-18843.9</v>
      </c>
      <c r="E17" s="437"/>
    </row>
    <row r="18" spans="1:5" ht="11.25">
      <c r="A18" s="148">
        <f t="shared" si="0"/>
        <v>11</v>
      </c>
      <c r="B18" s="436">
        <v>40390</v>
      </c>
      <c r="C18" s="232">
        <v>-5627.69</v>
      </c>
      <c r="D18" s="232">
        <v>-18843.9</v>
      </c>
      <c r="E18" s="437"/>
    </row>
    <row r="19" spans="1:5" ht="11.25">
      <c r="A19" s="148">
        <f t="shared" si="0"/>
        <v>12</v>
      </c>
      <c r="B19" s="436">
        <v>40421</v>
      </c>
      <c r="C19" s="232">
        <v>-5627.69</v>
      </c>
      <c r="D19" s="232">
        <v>-18843.9</v>
      </c>
      <c r="E19" s="437"/>
    </row>
    <row r="20" spans="1:5" ht="11.25">
      <c r="A20" s="148">
        <f t="shared" si="0"/>
        <v>13</v>
      </c>
      <c r="B20" s="436">
        <v>40451</v>
      </c>
      <c r="C20" s="232">
        <v>-5627.69</v>
      </c>
      <c r="D20" s="232">
        <v>-18843.9</v>
      </c>
      <c r="E20" s="437"/>
    </row>
    <row r="21" spans="1:5" ht="11.25">
      <c r="A21" s="148">
        <f t="shared" si="0"/>
        <v>14</v>
      </c>
      <c r="B21" s="436">
        <v>40482</v>
      </c>
      <c r="C21" s="232">
        <v>-5627.69</v>
      </c>
      <c r="D21" s="232">
        <v>-18843.9</v>
      </c>
      <c r="E21" s="437"/>
    </row>
    <row r="22" spans="1:5" ht="11.25">
      <c r="A22" s="148">
        <f t="shared" si="0"/>
        <v>15</v>
      </c>
      <c r="B22" s="436">
        <v>40512</v>
      </c>
      <c r="C22" s="232">
        <v>-5627.69</v>
      </c>
      <c r="D22" s="232">
        <v>-18843.9</v>
      </c>
      <c r="E22" s="437"/>
    </row>
    <row r="23" spans="1:5" ht="11.25">
      <c r="A23" s="148">
        <f t="shared" si="0"/>
        <v>16</v>
      </c>
      <c r="B23" s="436">
        <v>40543</v>
      </c>
      <c r="C23" s="232">
        <v>-5627.69</v>
      </c>
      <c r="D23" s="232">
        <v>-18843.9</v>
      </c>
      <c r="E23" s="437"/>
    </row>
    <row r="24" spans="1:5" ht="12" thickBot="1">
      <c r="A24" s="148">
        <f t="shared" si="0"/>
        <v>17</v>
      </c>
      <c r="B24" s="436"/>
      <c r="C24" s="438"/>
      <c r="D24" s="438"/>
      <c r="E24" s="439"/>
    </row>
    <row r="25" spans="1:5" ht="12" thickBot="1">
      <c r="A25" s="148">
        <f t="shared" si="0"/>
        <v>18</v>
      </c>
      <c r="B25" s="440" t="s">
        <v>169</v>
      </c>
      <c r="C25" s="441">
        <f>SUM(C12:C24)</f>
        <v>-67532.28000000001</v>
      </c>
      <c r="D25" s="441">
        <f>SUM(D12:D24)</f>
        <v>-226126.79999999996</v>
      </c>
      <c r="E25" s="442">
        <f>SUM(C25:D25)</f>
        <v>-293659.07999999996</v>
      </c>
    </row>
    <row r="26" spans="1:5" ht="11.25">
      <c r="A26" s="148"/>
      <c r="B26" s="215"/>
      <c r="C26" s="443"/>
      <c r="D26" s="443"/>
      <c r="E26" s="439"/>
    </row>
    <row r="27" spans="1:2" ht="11.25">
      <c r="A27" s="148"/>
      <c r="B27" s="172"/>
    </row>
    <row r="28" spans="1:3" ht="11.25">
      <c r="A28" s="148"/>
      <c r="C28" s="93"/>
    </row>
    <row r="29" spans="1:4" ht="11.25">
      <c r="A29" s="148"/>
      <c r="C29" s="93"/>
      <c r="D29" s="93"/>
    </row>
    <row r="30" spans="1:2" ht="11.25">
      <c r="A30" s="148"/>
      <c r="B30" s="121"/>
    </row>
    <row r="31" ht="11.25">
      <c r="A31" s="148"/>
    </row>
    <row r="32" ht="11.25">
      <c r="A32" s="148"/>
    </row>
    <row r="33" spans="1:2" ht="11.25">
      <c r="A33" s="148"/>
      <c r="B33" s="170"/>
    </row>
    <row r="34" ht="11.25">
      <c r="A34" s="148"/>
    </row>
    <row r="35" ht="11.25">
      <c r="A35" s="148"/>
    </row>
    <row r="36" ht="11.25">
      <c r="A36" s="148"/>
    </row>
    <row r="37" ht="11.25">
      <c r="A37" s="148"/>
    </row>
    <row r="38" spans="1:2" ht="11.25">
      <c r="A38" s="148"/>
      <c r="B38" s="121"/>
    </row>
    <row r="39" ht="11.25">
      <c r="A39" s="148"/>
    </row>
    <row r="40" ht="11.25">
      <c r="A40" s="148"/>
    </row>
    <row r="41" spans="1:2" ht="11.25">
      <c r="A41" s="148"/>
      <c r="B41" s="172"/>
    </row>
    <row r="42" ht="11.25">
      <c r="A42" s="148"/>
    </row>
    <row r="43" ht="11.25">
      <c r="A43" s="148"/>
    </row>
    <row r="44" ht="11.25">
      <c r="A44" s="148"/>
    </row>
    <row r="45" ht="11.25">
      <c r="A45" s="148"/>
    </row>
    <row r="46" ht="11.25">
      <c r="A46" s="148"/>
    </row>
    <row r="47" ht="11.25">
      <c r="A47" s="148"/>
    </row>
    <row r="48" spans="1:2" ht="11.25">
      <c r="A48" s="148"/>
      <c r="B48" s="122"/>
    </row>
    <row r="49" spans="1:2" ht="11.25">
      <c r="A49" s="148"/>
      <c r="B49" s="122"/>
    </row>
    <row r="50" spans="1:2" ht="11.25">
      <c r="A50" s="148"/>
      <c r="B50" s="172"/>
    </row>
  </sheetData>
  <sheetProtection/>
  <printOptions/>
  <pageMargins left="0.79" right="0.67" top="0.56" bottom="0.44" header="0.23" footer="0.17"/>
  <pageSetup horizontalDpi="600" verticalDpi="600" orientation="landscape" r:id="rId1"/>
  <headerFooter alignWithMargins="0">
    <oddFooter>&amp;C&amp;A&amp;R&amp;F</oddFooter>
  </headerFooter>
</worksheet>
</file>

<file path=xl/worksheets/sheet2.xml><?xml version="1.0" encoding="utf-8"?>
<worksheet xmlns="http://schemas.openxmlformats.org/spreadsheetml/2006/main" xmlns:r="http://schemas.openxmlformats.org/officeDocument/2006/relationships">
  <dimension ref="A1:L44"/>
  <sheetViews>
    <sheetView tabSelected="1" workbookViewId="0" topLeftCell="A1">
      <selection activeCell="B12" sqref="B12"/>
    </sheetView>
  </sheetViews>
  <sheetFormatPr defaultColWidth="11.5" defaultRowHeight="11.25"/>
  <cols>
    <col min="1" max="1" width="3.83203125" style="73" customWidth="1"/>
    <col min="2" max="2" width="37.33203125" style="73" customWidth="1"/>
    <col min="3" max="3" width="18.16015625" style="73" customWidth="1"/>
    <col min="4" max="4" width="13.5" style="73" customWidth="1"/>
    <col min="5" max="5" width="13.16015625" style="73" customWidth="1"/>
    <col min="6" max="6" width="13.5" style="73" customWidth="1"/>
    <col min="7" max="7" width="11.5" style="73" customWidth="1"/>
    <col min="8" max="8" width="13.83203125" style="73" customWidth="1"/>
    <col min="9" max="9" width="11.16015625" style="73" customWidth="1"/>
    <col min="10" max="10" width="8.5" style="73" customWidth="1"/>
    <col min="11" max="11" width="9" style="73" customWidth="1"/>
    <col min="12" max="12" width="8.66015625" style="73" customWidth="1"/>
    <col min="13" max="16384" width="11.5" style="73" customWidth="1"/>
  </cols>
  <sheetData>
    <row r="1" spans="1:6" ht="15.75">
      <c r="A1" s="552" t="s">
        <v>23</v>
      </c>
      <c r="B1" s="552"/>
      <c r="C1" s="552"/>
      <c r="D1" s="552"/>
      <c r="E1" s="552"/>
      <c r="F1" s="552"/>
    </row>
    <row r="2" spans="1:6" ht="12.75">
      <c r="A2" s="553"/>
      <c r="B2" s="553"/>
      <c r="C2" s="553"/>
      <c r="D2" s="553"/>
      <c r="E2" s="553"/>
      <c r="F2" s="553"/>
    </row>
    <row r="3" spans="1:6" ht="15.75">
      <c r="A3" s="554" t="s">
        <v>4</v>
      </c>
      <c r="B3" s="554"/>
      <c r="C3" s="554"/>
      <c r="D3" s="554"/>
      <c r="E3" s="554"/>
      <c r="F3" s="554"/>
    </row>
    <row r="4" spans="1:12" ht="15.75">
      <c r="A4" s="555" t="s">
        <v>56</v>
      </c>
      <c r="B4" s="555"/>
      <c r="C4" s="555"/>
      <c r="D4" s="555"/>
      <c r="E4" s="555"/>
      <c r="F4" s="555"/>
      <c r="H4" s="353"/>
      <c r="L4" s="544"/>
    </row>
    <row r="5" spans="1:12" ht="12.75">
      <c r="A5" s="556">
        <v>41364</v>
      </c>
      <c r="B5" s="556"/>
      <c r="C5" s="556"/>
      <c r="D5" s="556"/>
      <c r="E5" s="556"/>
      <c r="F5" s="556"/>
      <c r="H5" s="353"/>
      <c r="L5" s="544"/>
    </row>
    <row r="6" spans="1:12" ht="12.75">
      <c r="A6" s="545"/>
      <c r="C6" s="546"/>
      <c r="H6" s="353"/>
      <c r="L6" s="544"/>
    </row>
    <row r="7" spans="1:12" ht="12.75">
      <c r="A7" s="545"/>
      <c r="H7" s="353"/>
      <c r="L7" s="544"/>
    </row>
    <row r="8" spans="1:12" ht="12.75">
      <c r="A8" s="149">
        <v>1</v>
      </c>
      <c r="B8" s="96" t="s">
        <v>3</v>
      </c>
      <c r="C8" s="96" t="s">
        <v>25</v>
      </c>
      <c r="D8" s="96" t="s">
        <v>50</v>
      </c>
      <c r="E8" s="96" t="s">
        <v>61</v>
      </c>
      <c r="F8" s="96" t="s">
        <v>62</v>
      </c>
      <c r="H8" s="353"/>
      <c r="L8" s="544"/>
    </row>
    <row r="9" spans="1:12" ht="12.75">
      <c r="A9" s="149">
        <f>+A8+1</f>
        <v>2</v>
      </c>
      <c r="H9" s="353"/>
      <c r="L9" s="544"/>
    </row>
    <row r="10" spans="1:12" ht="12.75">
      <c r="A10" s="149">
        <f aca="true" t="shared" si="0" ref="A10:A23">+A9+1</f>
        <v>3</v>
      </c>
      <c r="B10" s="74" t="s">
        <v>1</v>
      </c>
      <c r="C10" s="75"/>
      <c r="D10" s="75"/>
      <c r="E10" s="75"/>
      <c r="F10" s="75" t="s">
        <v>5</v>
      </c>
      <c r="H10" s="353"/>
      <c r="L10" s="544"/>
    </row>
    <row r="11" spans="1:12" ht="12.75">
      <c r="A11" s="149">
        <f t="shared" si="0"/>
        <v>4</v>
      </c>
      <c r="B11" s="75"/>
      <c r="C11" s="76"/>
      <c r="D11" s="75"/>
      <c r="E11" s="75"/>
      <c r="F11" s="76" t="s">
        <v>6</v>
      </c>
      <c r="H11" s="353"/>
      <c r="L11" s="544"/>
    </row>
    <row r="12" spans="1:12" ht="12.75">
      <c r="A12" s="149">
        <f t="shared" si="0"/>
        <v>5</v>
      </c>
      <c r="B12" s="77" t="s">
        <v>7</v>
      </c>
      <c r="C12" s="77" t="s">
        <v>76</v>
      </c>
      <c r="D12" s="77" t="s">
        <v>8</v>
      </c>
      <c r="E12" s="77" t="s">
        <v>9</v>
      </c>
      <c r="F12" s="77" t="s">
        <v>10</v>
      </c>
      <c r="H12" s="353"/>
      <c r="L12" s="544"/>
    </row>
    <row r="13" spans="1:12" ht="12.75">
      <c r="A13" s="149">
        <f t="shared" si="0"/>
        <v>6</v>
      </c>
      <c r="B13" s="78"/>
      <c r="C13" s="78"/>
      <c r="D13" s="78"/>
      <c r="E13" s="78"/>
      <c r="F13" s="78"/>
      <c r="H13" s="353"/>
      <c r="L13" s="544"/>
    </row>
    <row r="14" spans="1:12" ht="12.75">
      <c r="A14" s="149">
        <f t="shared" si="0"/>
        <v>7</v>
      </c>
      <c r="B14" s="79" t="s">
        <v>11</v>
      </c>
      <c r="C14" s="124">
        <f>'Pg 2 CapStructure'!P10</f>
        <v>102739451</v>
      </c>
      <c r="D14" s="137">
        <f>ROUND(C14/$C$20,4)</f>
        <v>0.0137</v>
      </c>
      <c r="E14" s="261">
        <f>'Pg 3 STD Cost Rate'!F24</f>
        <v>0.0574221662638043</v>
      </c>
      <c r="F14" s="137">
        <f>ROUND(D14*E14,5)</f>
        <v>0.00079</v>
      </c>
      <c r="L14" s="353"/>
    </row>
    <row r="15" spans="1:12" ht="12.75">
      <c r="A15" s="149">
        <f t="shared" si="0"/>
        <v>8</v>
      </c>
      <c r="B15" s="78"/>
      <c r="C15" s="126"/>
      <c r="D15" s="137"/>
      <c r="E15" s="125"/>
      <c r="F15" s="137"/>
      <c r="L15" s="353"/>
    </row>
    <row r="16" spans="1:12" ht="12.75">
      <c r="A16" s="149">
        <f t="shared" si="0"/>
        <v>9</v>
      </c>
      <c r="B16" s="79" t="s">
        <v>12</v>
      </c>
      <c r="C16" s="126">
        <f>'Pg 2 CapStructure'!P16</f>
        <v>3773845731</v>
      </c>
      <c r="D16" s="400">
        <f>ROUND(C16/$C$20,4)-0</f>
        <v>0.5019</v>
      </c>
      <c r="E16" s="127">
        <f>'Pg 6 LTD Cost '!H32</f>
        <v>0.0622</v>
      </c>
      <c r="F16" s="137">
        <f>ROUND(D16*E16,5)</f>
        <v>0.03122</v>
      </c>
      <c r="L16" s="353"/>
    </row>
    <row r="17" spans="1:12" ht="12.75">
      <c r="A17" s="149">
        <f t="shared" si="0"/>
        <v>10</v>
      </c>
      <c r="B17" s="80"/>
      <c r="C17" s="128"/>
      <c r="D17" s="137"/>
      <c r="E17" s="129"/>
      <c r="F17" s="269"/>
      <c r="H17" s="446"/>
      <c r="I17" s="81"/>
      <c r="J17" s="81"/>
      <c r="K17" s="81"/>
      <c r="L17" s="547"/>
    </row>
    <row r="18" spans="1:12" ht="12.75">
      <c r="A18" s="149">
        <f t="shared" si="0"/>
        <v>11</v>
      </c>
      <c r="B18" s="79" t="s">
        <v>13</v>
      </c>
      <c r="C18" s="130">
        <f>'Pg 2 CapStructure'!P20</f>
        <v>3641801612</v>
      </c>
      <c r="D18" s="253">
        <f>ROUND(C18/$C$20,4)</f>
        <v>0.4844</v>
      </c>
      <c r="E18" s="402">
        <v>0.098</v>
      </c>
      <c r="F18" s="270">
        <f>ROUND(D18*E18,5)</f>
        <v>0.04747</v>
      </c>
      <c r="H18" s="447"/>
      <c r="I18" s="447"/>
      <c r="J18" s="194"/>
      <c r="K18" s="127"/>
      <c r="L18" s="127"/>
    </row>
    <row r="19" spans="1:12" ht="12.75">
      <c r="A19" s="149">
        <f t="shared" si="0"/>
        <v>12</v>
      </c>
      <c r="B19" s="80"/>
      <c r="C19" s="127"/>
      <c r="D19" s="131"/>
      <c r="E19" s="132"/>
      <c r="F19" s="127"/>
      <c r="H19" s="447"/>
      <c r="I19" s="447"/>
      <c r="J19" s="194"/>
      <c r="K19" s="127"/>
      <c r="L19" s="127"/>
    </row>
    <row r="20" spans="1:12" ht="12.75">
      <c r="A20" s="149">
        <f t="shared" si="0"/>
        <v>13</v>
      </c>
      <c r="B20" s="79" t="s">
        <v>14</v>
      </c>
      <c r="C20" s="133">
        <f>ROUND(SUM(C14:C18),2)</f>
        <v>7518386794</v>
      </c>
      <c r="D20" s="189">
        <f>SUM(D14:D18)</f>
        <v>1</v>
      </c>
      <c r="E20" s="134"/>
      <c r="F20" s="173">
        <f>ROUND(SUM(F14:F18),5)</f>
        <v>0.07948</v>
      </c>
      <c r="H20" s="81"/>
      <c r="I20" s="81"/>
      <c r="J20" s="194"/>
      <c r="K20" s="127"/>
      <c r="L20" s="196"/>
    </row>
    <row r="21" spans="1:6" ht="12.75">
      <c r="A21" s="149">
        <f t="shared" si="0"/>
        <v>14</v>
      </c>
      <c r="C21" s="81"/>
      <c r="D21" s="81"/>
      <c r="E21" s="81"/>
      <c r="F21" s="81"/>
    </row>
    <row r="22" spans="1:5" ht="12.75">
      <c r="A22" s="149">
        <f t="shared" si="0"/>
        <v>15</v>
      </c>
      <c r="E22" s="107"/>
    </row>
    <row r="23" spans="1:2" ht="12.75">
      <c r="A23" s="149">
        <f t="shared" si="0"/>
        <v>16</v>
      </c>
      <c r="B23" s="284" t="s">
        <v>173</v>
      </c>
    </row>
    <row r="24" ht="12.75">
      <c r="A24" s="548"/>
    </row>
    <row r="25" spans="1:3" ht="12.75">
      <c r="A25" s="548"/>
      <c r="C25" s="126"/>
    </row>
    <row r="26" spans="1:3" ht="12.75">
      <c r="A26" s="548"/>
      <c r="C26" s="126"/>
    </row>
    <row r="27" spans="1:3" ht="12.75">
      <c r="A27" s="548"/>
      <c r="C27" s="126"/>
    </row>
    <row r="28" ht="12.75">
      <c r="A28" s="548"/>
    </row>
    <row r="29" spans="1:3" ht="12.75">
      <c r="A29" s="548"/>
      <c r="C29" s="150"/>
    </row>
    <row r="30" ht="12.75">
      <c r="A30" s="548"/>
    </row>
    <row r="31" ht="12.75">
      <c r="A31" s="548"/>
    </row>
    <row r="36" spans="3:4" ht="12.75">
      <c r="C36" s="549"/>
      <c r="D36" s="550"/>
    </row>
    <row r="37" ht="12.75">
      <c r="D37" s="550"/>
    </row>
    <row r="38" spans="3:4" ht="12.75">
      <c r="C38" s="549"/>
      <c r="D38" s="550"/>
    </row>
    <row r="39" spans="3:4" ht="12.75">
      <c r="C39" s="549"/>
      <c r="D39" s="550"/>
    </row>
    <row r="40" spans="3:4" ht="12.75">
      <c r="C40" s="549"/>
      <c r="D40" s="550"/>
    </row>
    <row r="41" spans="3:4" ht="12.75">
      <c r="C41" s="549"/>
      <c r="D41" s="550"/>
    </row>
    <row r="42" ht="12.75">
      <c r="D42" s="550"/>
    </row>
    <row r="43" spans="3:4" ht="12.75">
      <c r="C43" s="549"/>
      <c r="D43" s="550"/>
    </row>
    <row r="44" ht="12.75">
      <c r="D44" s="551"/>
    </row>
  </sheetData>
  <sheetProtection/>
  <mergeCells count="5">
    <mergeCell ref="A1:F1"/>
    <mergeCell ref="A2:F2"/>
    <mergeCell ref="A3:F3"/>
    <mergeCell ref="A4:F4"/>
    <mergeCell ref="A5:F5"/>
  </mergeCells>
  <printOptions horizontalCentered="1" verticalCentered="1"/>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BA61"/>
  <sheetViews>
    <sheetView workbookViewId="0" topLeftCell="A11">
      <selection activeCell="A43" sqref="A43"/>
    </sheetView>
  </sheetViews>
  <sheetFormatPr defaultColWidth="15.83203125" defaultRowHeight="11.25"/>
  <cols>
    <col min="1" max="1" width="3.33203125" style="1" customWidth="1"/>
    <col min="2" max="2" width="32.33203125" style="1" customWidth="1"/>
    <col min="3" max="4" width="11.5" style="2" customWidth="1"/>
    <col min="5" max="15" width="10.16015625" style="2" customWidth="1"/>
    <col min="16" max="16" width="10.83203125" style="1" customWidth="1"/>
    <col min="17" max="17" width="10.33203125" style="1" customWidth="1"/>
    <col min="18" max="18" width="13" style="1" customWidth="1"/>
    <col min="19" max="20" width="10.33203125" style="1" customWidth="1"/>
    <col min="21" max="21" width="16.33203125" style="1" bestFit="1" customWidth="1"/>
    <col min="22" max="31" width="8.83203125" style="1" customWidth="1"/>
    <col min="32" max="32" width="10.16015625" style="1" customWidth="1"/>
    <col min="33" max="16384" width="15.83203125" style="1" customWidth="1"/>
  </cols>
  <sheetData>
    <row r="1" spans="1:16" ht="12.75">
      <c r="A1" s="557" t="s">
        <v>23</v>
      </c>
      <c r="B1" s="557"/>
      <c r="C1" s="557"/>
      <c r="D1" s="557"/>
      <c r="E1" s="557"/>
      <c r="F1" s="557"/>
      <c r="G1" s="557"/>
      <c r="H1" s="557"/>
      <c r="I1" s="557"/>
      <c r="J1" s="557"/>
      <c r="K1" s="557"/>
      <c r="L1" s="557"/>
      <c r="M1" s="557"/>
      <c r="N1" s="557"/>
      <c r="O1" s="557"/>
      <c r="P1" s="557"/>
    </row>
    <row r="2" spans="1:16" ht="12.75">
      <c r="A2" s="557" t="s">
        <v>33</v>
      </c>
      <c r="B2" s="557"/>
      <c r="C2" s="557"/>
      <c r="D2" s="557"/>
      <c r="E2" s="557"/>
      <c r="F2" s="557"/>
      <c r="G2" s="557"/>
      <c r="H2" s="557"/>
      <c r="I2" s="557"/>
      <c r="J2" s="557"/>
      <c r="K2" s="557"/>
      <c r="L2" s="557"/>
      <c r="M2" s="557"/>
      <c r="N2" s="557"/>
      <c r="O2" s="557"/>
      <c r="P2" s="557"/>
    </row>
    <row r="3" spans="1:16" ht="12.75" customHeight="1">
      <c r="A3" s="558" t="s">
        <v>267</v>
      </c>
      <c r="B3" s="558"/>
      <c r="C3" s="558"/>
      <c r="D3" s="558"/>
      <c r="E3" s="558"/>
      <c r="F3" s="558"/>
      <c r="G3" s="558"/>
      <c r="H3" s="558"/>
      <c r="I3" s="558"/>
      <c r="J3" s="558"/>
      <c r="K3" s="558"/>
      <c r="L3" s="558"/>
      <c r="M3" s="558"/>
      <c r="N3" s="558"/>
      <c r="O3" s="558"/>
      <c r="P3" s="558"/>
    </row>
    <row r="4" spans="2:16" ht="12.75">
      <c r="B4" s="557" t="s">
        <v>57</v>
      </c>
      <c r="C4" s="557"/>
      <c r="D4" s="557"/>
      <c r="E4" s="557"/>
      <c r="F4" s="557"/>
      <c r="G4" s="557"/>
      <c r="H4" s="557"/>
      <c r="I4" s="557"/>
      <c r="J4" s="557"/>
      <c r="K4" s="557"/>
      <c r="L4" s="557"/>
      <c r="M4" s="557"/>
      <c r="N4" s="557"/>
      <c r="O4" s="557"/>
      <c r="P4" s="557"/>
    </row>
    <row r="5" spans="1:16" ht="12.75">
      <c r="A5" s="98">
        <v>1</v>
      </c>
      <c r="B5" s="96" t="s">
        <v>3</v>
      </c>
      <c r="C5" s="239" t="s">
        <v>25</v>
      </c>
      <c r="D5" s="239" t="s">
        <v>50</v>
      </c>
      <c r="E5" s="239" t="s">
        <v>61</v>
      </c>
      <c r="F5" s="239" t="s">
        <v>62</v>
      </c>
      <c r="G5" s="239" t="s">
        <v>63</v>
      </c>
      <c r="H5" s="239" t="s">
        <v>64</v>
      </c>
      <c r="I5" s="239" t="s">
        <v>65</v>
      </c>
      <c r="J5" s="96" t="s">
        <v>66</v>
      </c>
      <c r="K5" s="96" t="s">
        <v>68</v>
      </c>
      <c r="L5" s="96" t="s">
        <v>69</v>
      </c>
      <c r="M5" s="96" t="s">
        <v>70</v>
      </c>
      <c r="N5" s="96" t="s">
        <v>71</v>
      </c>
      <c r="O5" s="96" t="s">
        <v>72</v>
      </c>
      <c r="P5" s="96" t="s">
        <v>73</v>
      </c>
    </row>
    <row r="6" spans="1:30" ht="34.5" customHeight="1">
      <c r="A6" s="98">
        <f>+A5+1</f>
        <v>2</v>
      </c>
      <c r="B6" s="71" t="s">
        <v>0</v>
      </c>
      <c r="C6" s="448">
        <v>40999</v>
      </c>
      <c r="D6" s="448">
        <v>41029</v>
      </c>
      <c r="E6" s="448">
        <v>41060</v>
      </c>
      <c r="F6" s="448">
        <v>41090</v>
      </c>
      <c r="G6" s="448">
        <v>41121</v>
      </c>
      <c r="H6" s="448">
        <v>41152</v>
      </c>
      <c r="I6" s="448">
        <v>41182</v>
      </c>
      <c r="J6" s="448">
        <v>41213</v>
      </c>
      <c r="K6" s="448">
        <v>41243</v>
      </c>
      <c r="L6" s="448">
        <v>41274</v>
      </c>
      <c r="M6" s="448">
        <v>41305</v>
      </c>
      <c r="N6" s="448">
        <v>41333</v>
      </c>
      <c r="O6" s="448">
        <v>41364</v>
      </c>
      <c r="P6" s="449" t="s">
        <v>109</v>
      </c>
      <c r="Q6" s="450"/>
      <c r="S6" s="448"/>
      <c r="T6" s="448"/>
      <c r="U6" s="448"/>
      <c r="V6" s="448"/>
      <c r="W6" s="448"/>
      <c r="X6" s="448"/>
      <c r="Y6" s="448"/>
      <c r="Z6" s="448"/>
      <c r="AA6" s="448"/>
      <c r="AB6" s="448"/>
      <c r="AC6" s="448"/>
      <c r="AD6" s="448"/>
    </row>
    <row r="7" spans="1:30" ht="12.75">
      <c r="A7" s="98">
        <f>+A6+1</f>
        <v>3</v>
      </c>
      <c r="B7" s="109" t="s">
        <v>34</v>
      </c>
      <c r="C7" s="451"/>
      <c r="D7" s="274"/>
      <c r="E7" s="452"/>
      <c r="F7" s="451"/>
      <c r="G7" s="274">
        <v>10000000</v>
      </c>
      <c r="H7" s="274">
        <v>30000000</v>
      </c>
      <c r="I7" s="274">
        <v>106000000</v>
      </c>
      <c r="J7" s="274">
        <v>115300000</v>
      </c>
      <c r="K7" s="274">
        <v>224500000</v>
      </c>
      <c r="L7" s="274">
        <v>181000000</v>
      </c>
      <c r="M7" s="452">
        <v>44000000</v>
      </c>
      <c r="N7" s="452">
        <v>0</v>
      </c>
      <c r="O7" s="452">
        <v>25000000</v>
      </c>
      <c r="P7" s="453">
        <f>ROUND(((C7+O7)+(SUM(D7:N7)*2))/24,0)</f>
        <v>60275000</v>
      </c>
      <c r="Q7" s="450"/>
      <c r="S7" s="448"/>
      <c r="T7" s="448"/>
      <c r="U7" s="448"/>
      <c r="V7" s="448"/>
      <c r="W7" s="448"/>
      <c r="X7" s="448"/>
      <c r="Y7" s="448"/>
      <c r="Z7" s="448"/>
      <c r="AA7" s="448"/>
      <c r="AB7" s="448"/>
      <c r="AC7" s="448"/>
      <c r="AD7" s="448"/>
    </row>
    <row r="8" spans="1:30" ht="12.75">
      <c r="A8" s="98">
        <f>+A7+1</f>
        <v>4</v>
      </c>
      <c r="B8" s="109" t="s">
        <v>168</v>
      </c>
      <c r="C8" s="452">
        <v>29997785</v>
      </c>
      <c r="D8" s="452">
        <v>29997785</v>
      </c>
      <c r="E8" s="452">
        <v>29997785</v>
      </c>
      <c r="F8" s="452">
        <v>29997785</v>
      </c>
      <c r="G8" s="452">
        <v>29997785</v>
      </c>
      <c r="H8" s="452">
        <v>29997785</v>
      </c>
      <c r="I8" s="452">
        <v>29997785</v>
      </c>
      <c r="J8" s="452">
        <v>29997785</v>
      </c>
      <c r="K8" s="452">
        <v>29997785</v>
      </c>
      <c r="L8" s="452">
        <v>29597785</v>
      </c>
      <c r="M8" s="452">
        <v>29597785</v>
      </c>
      <c r="N8" s="452">
        <v>29597785</v>
      </c>
      <c r="O8" s="452">
        <v>29597785</v>
      </c>
      <c r="P8" s="453">
        <f>ROUND(((C8+O8)+(SUM(D8:N8)*2))/24,0)</f>
        <v>29881118</v>
      </c>
      <c r="Q8" s="454"/>
      <c r="S8" s="448"/>
      <c r="T8" s="448"/>
      <c r="U8" s="448"/>
      <c r="V8" s="448"/>
      <c r="W8" s="448"/>
      <c r="X8" s="448"/>
      <c r="Y8" s="448"/>
      <c r="Z8" s="448"/>
      <c r="AA8" s="448"/>
      <c r="AB8" s="448"/>
      <c r="AC8" s="448"/>
      <c r="AD8" s="448"/>
    </row>
    <row r="9" spans="1:30" ht="13.5" thickBot="1">
      <c r="A9" s="98">
        <f>+A8+1</f>
        <v>5</v>
      </c>
      <c r="B9" s="109" t="s">
        <v>154</v>
      </c>
      <c r="C9" s="274">
        <v>38000000</v>
      </c>
      <c r="D9" s="274">
        <v>38000000</v>
      </c>
      <c r="E9" s="274">
        <v>18000000</v>
      </c>
      <c r="F9" s="274">
        <v>38000000</v>
      </c>
      <c r="G9" s="274">
        <v>38000000</v>
      </c>
      <c r="H9" s="451"/>
      <c r="I9" s="274"/>
      <c r="J9" s="274"/>
      <c r="K9" s="274"/>
      <c r="L9" s="274"/>
      <c r="M9" s="452">
        <v>0</v>
      </c>
      <c r="N9" s="452">
        <v>0</v>
      </c>
      <c r="O9" s="452">
        <v>0</v>
      </c>
      <c r="P9" s="453">
        <f>ROUND(((C9+O9)+(SUM(D9:N9)*2))/24,0)</f>
        <v>12583333</v>
      </c>
      <c r="Q9" s="450"/>
      <c r="S9" s="448"/>
      <c r="T9" s="448"/>
      <c r="U9" s="448"/>
      <c r="V9" s="448"/>
      <c r="W9" s="448"/>
      <c r="X9" s="448"/>
      <c r="Y9" s="448"/>
      <c r="Z9" s="448"/>
      <c r="AA9" s="448"/>
      <c r="AB9" s="448"/>
      <c r="AC9" s="448"/>
      <c r="AD9" s="448"/>
    </row>
    <row r="10" spans="1:32" ht="13.5" thickBot="1">
      <c r="A10" s="98">
        <f>+A9+1</f>
        <v>6</v>
      </c>
      <c r="B10" s="110" t="s">
        <v>28</v>
      </c>
      <c r="C10" s="275">
        <f aca="true" t="shared" si="0" ref="C10:L10">SUM(C7:C9)</f>
        <v>67997785</v>
      </c>
      <c r="D10" s="275">
        <f t="shared" si="0"/>
        <v>67997785</v>
      </c>
      <c r="E10" s="275">
        <f t="shared" si="0"/>
        <v>47997785</v>
      </c>
      <c r="F10" s="275">
        <f t="shared" si="0"/>
        <v>67997785</v>
      </c>
      <c r="G10" s="275">
        <f t="shared" si="0"/>
        <v>77997785</v>
      </c>
      <c r="H10" s="275">
        <f t="shared" si="0"/>
        <v>59997785</v>
      </c>
      <c r="I10" s="275">
        <f t="shared" si="0"/>
        <v>135997785</v>
      </c>
      <c r="J10" s="275">
        <f t="shared" si="0"/>
        <v>145297785</v>
      </c>
      <c r="K10" s="275">
        <f t="shared" si="0"/>
        <v>254497785</v>
      </c>
      <c r="L10" s="275">
        <f t="shared" si="0"/>
        <v>210597785</v>
      </c>
      <c r="M10" s="275">
        <f>SUM(M7:M9)</f>
        <v>73597785</v>
      </c>
      <c r="N10" s="275">
        <f>SUM(N7:N9)</f>
        <v>29597785</v>
      </c>
      <c r="O10" s="275">
        <f>SUM(O7:O9)</f>
        <v>54597785</v>
      </c>
      <c r="P10" s="455">
        <f>SUM(P7:P9)</f>
        <v>102739451</v>
      </c>
      <c r="Q10" s="211"/>
      <c r="R10" s="211"/>
      <c r="S10" s="211"/>
      <c r="T10" s="274"/>
      <c r="U10" s="274"/>
      <c r="V10" s="274"/>
      <c r="W10" s="274"/>
      <c r="X10" s="274"/>
      <c r="Y10" s="274"/>
      <c r="Z10" s="274"/>
      <c r="AA10" s="274"/>
      <c r="AB10" s="274"/>
      <c r="AC10" s="274"/>
      <c r="AD10" s="274"/>
      <c r="AE10" s="456"/>
      <c r="AF10" s="456"/>
    </row>
    <row r="11" spans="1:32" ht="6.75" customHeight="1" thickBot="1">
      <c r="A11" s="98"/>
      <c r="B11" s="108"/>
      <c r="C11" s="274"/>
      <c r="D11" s="274"/>
      <c r="E11" s="274"/>
      <c r="F11" s="274"/>
      <c r="G11" s="274"/>
      <c r="H11" s="274"/>
      <c r="I11" s="274"/>
      <c r="J11" s="274"/>
      <c r="K11" s="274"/>
      <c r="L11" s="274"/>
      <c r="M11" s="274"/>
      <c r="N11" s="274"/>
      <c r="O11" s="274"/>
      <c r="P11" s="453"/>
      <c r="Q11" s="211"/>
      <c r="R11" s="211"/>
      <c r="S11" s="211"/>
      <c r="T11" s="274"/>
      <c r="U11" s="274"/>
      <c r="V11" s="274"/>
      <c r="W11" s="274"/>
      <c r="X11" s="274"/>
      <c r="Y11" s="274"/>
      <c r="Z11" s="274"/>
      <c r="AA11" s="274"/>
      <c r="AB11" s="274"/>
      <c r="AC11" s="274"/>
      <c r="AD11" s="274"/>
      <c r="AE11" s="456"/>
      <c r="AF11" s="456"/>
    </row>
    <row r="12" spans="1:32" ht="13.5" thickBot="1">
      <c r="A12" s="98">
        <f>+A10+1</f>
        <v>7</v>
      </c>
      <c r="B12" s="110" t="s">
        <v>124</v>
      </c>
      <c r="C12" s="274">
        <f>3523860000-14521</f>
        <v>3523845479</v>
      </c>
      <c r="D12" s="274">
        <f>3523860000-14479</f>
        <v>3523845521</v>
      </c>
      <c r="E12" s="274">
        <f>3523860000-14437</f>
        <v>3523845563</v>
      </c>
      <c r="F12" s="274">
        <f>3523860000-14395</f>
        <v>3523845605</v>
      </c>
      <c r="G12" s="274">
        <f>3523860000-14353</f>
        <v>3523845647</v>
      </c>
      <c r="H12" s="274">
        <f>3523860000-14311</f>
        <v>3523845689</v>
      </c>
      <c r="I12" s="274">
        <f>3523860000-14269</f>
        <v>3523845731</v>
      </c>
      <c r="J12" s="274">
        <f>3523860000-14228</f>
        <v>3523845772</v>
      </c>
      <c r="K12" s="274">
        <f>3523860000-14186</f>
        <v>3523845814</v>
      </c>
      <c r="L12" s="274">
        <f>3523860000-14144</f>
        <v>3523845856</v>
      </c>
      <c r="M12" s="274">
        <f>3523860000-14102</f>
        <v>3523845898</v>
      </c>
      <c r="N12" s="274">
        <f>3523860000-14060</f>
        <v>3523845940</v>
      </c>
      <c r="O12" s="274">
        <f>3523860000-14018</f>
        <v>3523845982</v>
      </c>
      <c r="P12" s="455">
        <f>ROUND(((C12+O12)+(SUM(D12:N12)*2))/24,0)</f>
        <v>3523845731</v>
      </c>
      <c r="Q12" s="211"/>
      <c r="R12" s="211"/>
      <c r="S12" s="211"/>
      <c r="T12" s="274"/>
      <c r="U12" s="274"/>
      <c r="V12" s="274"/>
      <c r="W12" s="274"/>
      <c r="X12" s="274"/>
      <c r="Y12" s="274"/>
      <c r="Z12" s="274"/>
      <c r="AA12" s="274"/>
      <c r="AB12" s="274"/>
      <c r="AC12" s="274"/>
      <c r="AD12" s="274"/>
      <c r="AE12" s="456"/>
      <c r="AF12" s="456"/>
    </row>
    <row r="13" spans="1:19" ht="6" customHeight="1">
      <c r="A13" s="98"/>
      <c r="B13" s="110"/>
      <c r="C13" s="211"/>
      <c r="D13" s="211"/>
      <c r="E13" s="211"/>
      <c r="F13" s="211"/>
      <c r="G13" s="211"/>
      <c r="H13" s="211"/>
      <c r="I13" s="211"/>
      <c r="J13" s="211"/>
      <c r="K13" s="211"/>
      <c r="L13" s="211"/>
      <c r="M13" s="211"/>
      <c r="N13" s="211"/>
      <c r="O13" s="211"/>
      <c r="P13" s="457"/>
      <c r="Q13" s="211"/>
      <c r="R13" s="211"/>
      <c r="S13" s="211"/>
    </row>
    <row r="14" spans="1:19" ht="13.5" customHeight="1">
      <c r="A14" s="98">
        <f>+A12+1</f>
        <v>8</v>
      </c>
      <c r="B14" s="110" t="s">
        <v>118</v>
      </c>
      <c r="C14" s="211">
        <v>250000000</v>
      </c>
      <c r="D14" s="211">
        <v>250000000</v>
      </c>
      <c r="E14" s="211">
        <v>250000000</v>
      </c>
      <c r="F14" s="211">
        <v>250000000</v>
      </c>
      <c r="G14" s="211">
        <v>250000000</v>
      </c>
      <c r="H14" s="211">
        <v>250000000</v>
      </c>
      <c r="I14" s="211">
        <v>250000000</v>
      </c>
      <c r="J14" s="211">
        <v>250000000</v>
      </c>
      <c r="K14" s="211">
        <v>250000000</v>
      </c>
      <c r="L14" s="211">
        <v>250000000</v>
      </c>
      <c r="M14" s="211">
        <v>250000000</v>
      </c>
      <c r="N14" s="211">
        <v>250000000</v>
      </c>
      <c r="O14" s="211">
        <v>250000000</v>
      </c>
      <c r="P14" s="458">
        <f>ROUND(((C14+O14)+(SUM(D14:N14)*2))/24,0)</f>
        <v>250000000</v>
      </c>
      <c r="Q14" s="211"/>
      <c r="R14" s="211"/>
      <c r="S14" s="211"/>
    </row>
    <row r="15" spans="1:19" ht="5.25" customHeight="1" thickBot="1">
      <c r="A15" s="98"/>
      <c r="B15" s="110"/>
      <c r="C15" s="211"/>
      <c r="D15" s="211"/>
      <c r="E15" s="211"/>
      <c r="F15" s="211"/>
      <c r="G15" s="211"/>
      <c r="H15" s="211"/>
      <c r="I15" s="211"/>
      <c r="J15" s="211"/>
      <c r="K15" s="211"/>
      <c r="L15" s="211"/>
      <c r="M15" s="211"/>
      <c r="N15" s="211"/>
      <c r="O15" s="211"/>
      <c r="P15" s="457"/>
      <c r="Q15" s="211"/>
      <c r="R15" s="211"/>
      <c r="S15" s="211"/>
    </row>
    <row r="16" spans="1:19" ht="13.5" customHeight="1" thickBot="1">
      <c r="A16" s="98">
        <f>+A14+1</f>
        <v>9</v>
      </c>
      <c r="B16" s="110" t="s">
        <v>12</v>
      </c>
      <c r="C16" s="275">
        <f aca="true" t="shared" si="1" ref="C16:L16">SUM(C12:C14)</f>
        <v>3773845479</v>
      </c>
      <c r="D16" s="275">
        <f t="shared" si="1"/>
        <v>3773845521</v>
      </c>
      <c r="E16" s="275">
        <f t="shared" si="1"/>
        <v>3773845563</v>
      </c>
      <c r="F16" s="275">
        <f t="shared" si="1"/>
        <v>3773845605</v>
      </c>
      <c r="G16" s="275">
        <f t="shared" si="1"/>
        <v>3773845647</v>
      </c>
      <c r="H16" s="275">
        <f t="shared" si="1"/>
        <v>3773845689</v>
      </c>
      <c r="I16" s="275">
        <f t="shared" si="1"/>
        <v>3773845731</v>
      </c>
      <c r="J16" s="275">
        <f t="shared" si="1"/>
        <v>3773845772</v>
      </c>
      <c r="K16" s="275">
        <f t="shared" si="1"/>
        <v>3773845814</v>
      </c>
      <c r="L16" s="275">
        <f t="shared" si="1"/>
        <v>3773845856</v>
      </c>
      <c r="M16" s="275">
        <f>SUM(M12:M14)</f>
        <v>3773845898</v>
      </c>
      <c r="N16" s="275">
        <f>SUM(N12:N14)</f>
        <v>3773845940</v>
      </c>
      <c r="O16" s="275">
        <f>SUM(O12:O14)</f>
        <v>3773845982</v>
      </c>
      <c r="P16" s="455">
        <f>SUM(P12:P14)</f>
        <v>3773845731</v>
      </c>
      <c r="Q16" s="211"/>
      <c r="R16" s="459"/>
      <c r="S16" s="211"/>
    </row>
    <row r="17" spans="1:19" ht="6.75" customHeight="1" thickBot="1">
      <c r="A17" s="98"/>
      <c r="B17" s="110"/>
      <c r="C17" s="211"/>
      <c r="D17" s="211"/>
      <c r="E17" s="211"/>
      <c r="F17" s="211"/>
      <c r="G17" s="211"/>
      <c r="H17" s="211"/>
      <c r="I17" s="211"/>
      <c r="J17" s="211"/>
      <c r="K17" s="211"/>
      <c r="L17" s="211"/>
      <c r="M17" s="211"/>
      <c r="N17" s="211"/>
      <c r="O17" s="211"/>
      <c r="P17" s="457"/>
      <c r="Q17" s="211"/>
      <c r="R17" s="211"/>
      <c r="S17" s="211"/>
    </row>
    <row r="18" spans="1:19" ht="13.5" thickBot="1">
      <c r="A18" s="98">
        <f>+A16+1</f>
        <v>10</v>
      </c>
      <c r="B18" s="110" t="s">
        <v>79</v>
      </c>
      <c r="C18" s="451">
        <v>0</v>
      </c>
      <c r="D18" s="451">
        <v>0</v>
      </c>
      <c r="E18" s="451">
        <v>0</v>
      </c>
      <c r="F18" s="451">
        <v>0</v>
      </c>
      <c r="G18" s="451">
        <v>0</v>
      </c>
      <c r="H18" s="451">
        <v>0</v>
      </c>
      <c r="I18" s="451">
        <v>0</v>
      </c>
      <c r="J18" s="451">
        <v>0</v>
      </c>
      <c r="K18" s="451">
        <v>0</v>
      </c>
      <c r="L18" s="451">
        <v>0</v>
      </c>
      <c r="M18" s="451">
        <v>0</v>
      </c>
      <c r="N18" s="451">
        <v>0</v>
      </c>
      <c r="O18" s="451">
        <v>0</v>
      </c>
      <c r="P18" s="460">
        <f>ROUND(((C18+O18)+(SUM(D18:N18)*2))/24,0)</f>
        <v>0</v>
      </c>
      <c r="Q18" s="211"/>
      <c r="R18" s="461"/>
      <c r="S18" s="211"/>
    </row>
    <row r="19" spans="1:19" ht="6.75" customHeight="1" thickBot="1">
      <c r="A19" s="98"/>
      <c r="B19" s="110"/>
      <c r="C19" s="211"/>
      <c r="D19" s="211"/>
      <c r="E19" s="211"/>
      <c r="F19" s="211"/>
      <c r="G19" s="211"/>
      <c r="H19" s="211"/>
      <c r="I19" s="211"/>
      <c r="J19" s="211"/>
      <c r="K19" s="211"/>
      <c r="L19" s="211"/>
      <c r="M19" s="211"/>
      <c r="N19" s="211"/>
      <c r="O19" s="211"/>
      <c r="P19" s="453"/>
      <c r="Q19" s="211"/>
      <c r="R19" s="211"/>
      <c r="S19" s="211"/>
    </row>
    <row r="20" spans="1:19" ht="13.5" thickBot="1">
      <c r="A20" s="98">
        <f>+A18+1</f>
        <v>11</v>
      </c>
      <c r="B20" s="110" t="s">
        <v>99</v>
      </c>
      <c r="C20" s="462">
        <f aca="true" t="shared" si="2" ref="C20:I20">C44</f>
        <v>3611689187</v>
      </c>
      <c r="D20" s="462">
        <f t="shared" si="2"/>
        <v>3628298554</v>
      </c>
      <c r="E20" s="462">
        <f t="shared" si="2"/>
        <v>3639075612</v>
      </c>
      <c r="F20" s="462">
        <f t="shared" si="2"/>
        <v>3587971514</v>
      </c>
      <c r="G20" s="462">
        <f t="shared" si="2"/>
        <v>3596031078</v>
      </c>
      <c r="H20" s="462">
        <f t="shared" si="2"/>
        <v>3602333667</v>
      </c>
      <c r="I20" s="462">
        <f t="shared" si="2"/>
        <v>3592901708</v>
      </c>
      <c r="J20" s="462">
        <f aca="true" t="shared" si="3" ref="J20:O20">J44</f>
        <v>3609421671</v>
      </c>
      <c r="K20" s="462">
        <f t="shared" si="3"/>
        <v>3639482144</v>
      </c>
      <c r="L20" s="462">
        <f t="shared" si="3"/>
        <v>3672754046</v>
      </c>
      <c r="M20" s="462">
        <f t="shared" si="3"/>
        <v>3720178760</v>
      </c>
      <c r="N20" s="462">
        <f t="shared" si="3"/>
        <v>3757238450</v>
      </c>
      <c r="O20" s="462">
        <f t="shared" si="3"/>
        <v>3700175091</v>
      </c>
      <c r="P20" s="460">
        <f>ROUND(((C20+O20)+(SUM(D20:N20)*2))/24,0)</f>
        <v>3641801612</v>
      </c>
      <c r="Q20" s="211"/>
      <c r="R20" s="211"/>
      <c r="S20" s="211"/>
    </row>
    <row r="21" spans="1:19" ht="6.75" customHeight="1">
      <c r="A21" s="98"/>
      <c r="B21" s="110"/>
      <c r="C21" s="214"/>
      <c r="D21" s="214"/>
      <c r="E21" s="214"/>
      <c r="F21" s="214"/>
      <c r="G21" s="214"/>
      <c r="H21" s="214"/>
      <c r="I21" s="214"/>
      <c r="J21" s="214"/>
      <c r="K21" s="214"/>
      <c r="L21" s="214"/>
      <c r="M21" s="214"/>
      <c r="N21" s="214"/>
      <c r="O21" s="214"/>
      <c r="P21" s="463"/>
      <c r="Q21" s="211"/>
      <c r="R21" s="211"/>
      <c r="S21" s="211"/>
    </row>
    <row r="22" spans="1:19" ht="13.5" thickBot="1">
      <c r="A22" s="98">
        <f>+A20+1</f>
        <v>12</v>
      </c>
      <c r="B22" s="110" t="s">
        <v>83</v>
      </c>
      <c r="C22" s="464">
        <f aca="true" t="shared" si="4" ref="C22:K22">C10+C16+C18+C20</f>
        <v>7453532451</v>
      </c>
      <c r="D22" s="464">
        <f t="shared" si="4"/>
        <v>7470141860</v>
      </c>
      <c r="E22" s="464">
        <f t="shared" si="4"/>
        <v>7460918960</v>
      </c>
      <c r="F22" s="464">
        <f t="shared" si="4"/>
        <v>7429814904</v>
      </c>
      <c r="G22" s="464">
        <f t="shared" si="4"/>
        <v>7447874510</v>
      </c>
      <c r="H22" s="464">
        <f t="shared" si="4"/>
        <v>7436177141</v>
      </c>
      <c r="I22" s="464">
        <f t="shared" si="4"/>
        <v>7502745224</v>
      </c>
      <c r="J22" s="464">
        <f>J10+J16+J18+J20</f>
        <v>7528565228</v>
      </c>
      <c r="K22" s="464">
        <f t="shared" si="4"/>
        <v>7667825743</v>
      </c>
      <c r="L22" s="464">
        <f>L10+L16+L18+L20</f>
        <v>7657197687</v>
      </c>
      <c r="M22" s="464">
        <f>M10+M16+M18+M20</f>
        <v>7567622443</v>
      </c>
      <c r="N22" s="464">
        <f>N10+N16+N18+N20</f>
        <v>7560682175</v>
      </c>
      <c r="O22" s="464">
        <f>O10+O16+O18+O20</f>
        <v>7528618858</v>
      </c>
      <c r="P22" s="465">
        <f>P10+P16+P18+P20</f>
        <v>7518386794</v>
      </c>
      <c r="Q22" s="211"/>
      <c r="R22" s="211"/>
      <c r="S22" s="211"/>
    </row>
    <row r="23" spans="1:19" ht="13.5" thickTop="1">
      <c r="A23" s="98"/>
      <c r="B23" s="110"/>
      <c r="C23" s="152"/>
      <c r="D23" s="152"/>
      <c r="E23" s="152"/>
      <c r="F23" s="152"/>
      <c r="G23" s="152"/>
      <c r="H23" s="152"/>
      <c r="I23" s="152"/>
      <c r="J23" s="152"/>
      <c r="K23" s="152"/>
      <c r="L23" s="152"/>
      <c r="M23" s="152"/>
      <c r="N23" s="152"/>
      <c r="O23" s="152"/>
      <c r="P23" s="466"/>
      <c r="Q23" s="211"/>
      <c r="R23" s="211"/>
      <c r="S23" s="211"/>
    </row>
    <row r="24" spans="1:19" ht="12.75">
      <c r="A24" s="98">
        <f>+A22+1</f>
        <v>13</v>
      </c>
      <c r="B24" s="97" t="s">
        <v>28</v>
      </c>
      <c r="C24" s="467">
        <f aca="true" t="shared" si="5" ref="C24:L24">C10/C$22</f>
        <v>0.009122893801968637</v>
      </c>
      <c r="D24" s="467">
        <f t="shared" si="5"/>
        <v>0.009102609598902583</v>
      </c>
      <c r="E24" s="467">
        <f t="shared" si="5"/>
        <v>0.006433226960020485</v>
      </c>
      <c r="F24" s="467">
        <f t="shared" si="5"/>
        <v>0.009152016016360237</v>
      </c>
      <c r="G24" s="467">
        <f t="shared" si="5"/>
        <v>0.010472489150465024</v>
      </c>
      <c r="H24" s="467">
        <f t="shared" si="5"/>
        <v>0.008068364142268353</v>
      </c>
      <c r="I24" s="467">
        <f t="shared" si="5"/>
        <v>0.018126403195055367</v>
      </c>
      <c r="J24" s="467">
        <f t="shared" si="5"/>
        <v>0.019299531929352635</v>
      </c>
      <c r="K24" s="467">
        <f t="shared" si="5"/>
        <v>0.03319034541601736</v>
      </c>
      <c r="L24" s="467">
        <f t="shared" si="5"/>
        <v>0.027503245130727418</v>
      </c>
      <c r="M24" s="467">
        <f>M10/M$22</f>
        <v>0.009725351066909721</v>
      </c>
      <c r="N24" s="467">
        <f>N10/N$22</f>
        <v>0.003914697684008917</v>
      </c>
      <c r="O24" s="467">
        <f>O10/O$22</f>
        <v>0.007252032016733553</v>
      </c>
      <c r="P24" s="468">
        <f>P10/P$22</f>
        <v>0.013665092501225204</v>
      </c>
      <c r="Q24" s="211"/>
      <c r="R24" s="211"/>
      <c r="S24" s="211"/>
    </row>
    <row r="25" spans="1:19" ht="12.75">
      <c r="A25" s="98">
        <f>+A24+1</f>
        <v>14</v>
      </c>
      <c r="B25" s="97" t="s">
        <v>29</v>
      </c>
      <c r="C25" s="469">
        <f aca="true" t="shared" si="6" ref="C25:L25">C16/C$22</f>
        <v>0.5063163679516393</v>
      </c>
      <c r="D25" s="469">
        <f t="shared" si="6"/>
        <v>0.5051906097269215</v>
      </c>
      <c r="E25" s="469">
        <f t="shared" si="6"/>
        <v>0.5058151124858217</v>
      </c>
      <c r="F25" s="469">
        <f t="shared" si="6"/>
        <v>0.507932654280293</v>
      </c>
      <c r="G25" s="469">
        <f t="shared" si="6"/>
        <v>0.5067010248270147</v>
      </c>
      <c r="H25" s="469">
        <f t="shared" si="6"/>
        <v>0.5074980890641481</v>
      </c>
      <c r="I25" s="469">
        <f t="shared" si="6"/>
        <v>0.502995319490273</v>
      </c>
      <c r="J25" s="469">
        <f t="shared" si="6"/>
        <v>0.5012702497368865</v>
      </c>
      <c r="K25" s="469">
        <f t="shared" si="6"/>
        <v>0.49216635073445225</v>
      </c>
      <c r="L25" s="469">
        <f t="shared" si="6"/>
        <v>0.49284947447641886</v>
      </c>
      <c r="M25" s="469">
        <f>M16/M$22</f>
        <v>0.4986831632292626</v>
      </c>
      <c r="N25" s="469">
        <f>N16/N$22</f>
        <v>0.4991409310231983</v>
      </c>
      <c r="O25" s="469">
        <f>O16/O$22</f>
        <v>0.5012667068395774</v>
      </c>
      <c r="P25" s="470">
        <f>P16/P$22</f>
        <v>0.5019488667451498</v>
      </c>
      <c r="Q25" s="211"/>
      <c r="R25" s="211"/>
      <c r="S25" s="211"/>
    </row>
    <row r="26" spans="1:19" ht="12.75">
      <c r="A26" s="98">
        <f>+A25+1</f>
        <v>15</v>
      </c>
      <c r="B26" s="97" t="s">
        <v>105</v>
      </c>
      <c r="C26" s="467">
        <f aca="true" t="shared" si="7" ref="C26:L26">SUM(C24:C25)</f>
        <v>0.5154392617536079</v>
      </c>
      <c r="D26" s="467">
        <f t="shared" si="7"/>
        <v>0.5142932193258242</v>
      </c>
      <c r="E26" s="467">
        <f t="shared" si="7"/>
        <v>0.5122483394458421</v>
      </c>
      <c r="F26" s="467">
        <f t="shared" si="7"/>
        <v>0.5170846702966533</v>
      </c>
      <c r="G26" s="467">
        <f t="shared" si="7"/>
        <v>0.5171735139774798</v>
      </c>
      <c r="H26" s="467">
        <f t="shared" si="7"/>
        <v>0.5155664532064164</v>
      </c>
      <c r="I26" s="467">
        <f t="shared" si="7"/>
        <v>0.5211217226853283</v>
      </c>
      <c r="J26" s="467">
        <f t="shared" si="7"/>
        <v>0.5205697816662391</v>
      </c>
      <c r="K26" s="467">
        <f t="shared" si="7"/>
        <v>0.5253566961504696</v>
      </c>
      <c r="L26" s="467">
        <f t="shared" si="7"/>
        <v>0.5203527196071462</v>
      </c>
      <c r="M26" s="467">
        <f>SUM(M24:M25)</f>
        <v>0.5084085142961723</v>
      </c>
      <c r="N26" s="467">
        <f>SUM(N24:N25)</f>
        <v>0.5030556287072072</v>
      </c>
      <c r="O26" s="467">
        <f>SUM(O24:O25)</f>
        <v>0.5085187388563109</v>
      </c>
      <c r="P26" s="468">
        <f>SUM(P24:P25)</f>
        <v>0.515613959246375</v>
      </c>
      <c r="Q26" s="211"/>
      <c r="R26" s="211"/>
      <c r="S26" s="211"/>
    </row>
    <row r="27" spans="1:19" ht="12.75">
      <c r="A27" s="98">
        <f>+A26+1</f>
        <v>16</v>
      </c>
      <c r="B27" s="97" t="s">
        <v>106</v>
      </c>
      <c r="C27" s="467">
        <f aca="true" t="shared" si="8" ref="C27:I27">C18/C$22</f>
        <v>0</v>
      </c>
      <c r="D27" s="467">
        <f t="shared" si="8"/>
        <v>0</v>
      </c>
      <c r="E27" s="467">
        <f t="shared" si="8"/>
        <v>0</v>
      </c>
      <c r="F27" s="467">
        <f t="shared" si="8"/>
        <v>0</v>
      </c>
      <c r="G27" s="467">
        <f t="shared" si="8"/>
        <v>0</v>
      </c>
      <c r="H27" s="467">
        <f t="shared" si="8"/>
        <v>0</v>
      </c>
      <c r="I27" s="467">
        <f t="shared" si="8"/>
        <v>0</v>
      </c>
      <c r="J27" s="467">
        <f aca="true" t="shared" si="9" ref="J27:P27">J18/J$22</f>
        <v>0</v>
      </c>
      <c r="K27" s="467">
        <f t="shared" si="9"/>
        <v>0</v>
      </c>
      <c r="L27" s="467">
        <f t="shared" si="9"/>
        <v>0</v>
      </c>
      <c r="M27" s="467">
        <f t="shared" si="9"/>
        <v>0</v>
      </c>
      <c r="N27" s="467">
        <f t="shared" si="9"/>
        <v>0</v>
      </c>
      <c r="O27" s="467">
        <f t="shared" si="9"/>
        <v>0</v>
      </c>
      <c r="P27" s="468">
        <f t="shared" si="9"/>
        <v>0</v>
      </c>
      <c r="Q27" s="211"/>
      <c r="R27" s="211"/>
      <c r="S27" s="211"/>
    </row>
    <row r="28" spans="1:19" ht="12.75">
      <c r="A28" s="98">
        <f>+A27+1</f>
        <v>17</v>
      </c>
      <c r="B28" s="97" t="s">
        <v>107</v>
      </c>
      <c r="C28" s="471">
        <f>C20/C$22</f>
        <v>0.48456073824639206</v>
      </c>
      <c r="D28" s="471">
        <f aca="true" t="shared" si="10" ref="D28:I28">D20/D$22</f>
        <v>0.48570678067417583</v>
      </c>
      <c r="E28" s="471">
        <f t="shared" si="10"/>
        <v>0.4877516605541578</v>
      </c>
      <c r="F28" s="471">
        <f t="shared" si="10"/>
        <v>0.48291532970334683</v>
      </c>
      <c r="G28" s="471">
        <f t="shared" si="10"/>
        <v>0.48282648602252026</v>
      </c>
      <c r="H28" s="471">
        <f t="shared" si="10"/>
        <v>0.4844335467935836</v>
      </c>
      <c r="I28" s="471">
        <f t="shared" si="10"/>
        <v>0.47887827731467164</v>
      </c>
      <c r="J28" s="471">
        <f aca="true" t="shared" si="11" ref="J28:P28">J20/J$22</f>
        <v>0.47943021833376087</v>
      </c>
      <c r="K28" s="471">
        <f t="shared" si="11"/>
        <v>0.47464330384953035</v>
      </c>
      <c r="L28" s="471">
        <f t="shared" si="11"/>
        <v>0.4796472803928537</v>
      </c>
      <c r="M28" s="471">
        <f t="shared" si="11"/>
        <v>0.49159148570382766</v>
      </c>
      <c r="N28" s="471">
        <f t="shared" si="11"/>
        <v>0.4969443712927928</v>
      </c>
      <c r="O28" s="471">
        <f t="shared" si="11"/>
        <v>0.49148126114368906</v>
      </c>
      <c r="P28" s="472">
        <f t="shared" si="11"/>
        <v>0.484386040753625</v>
      </c>
      <c r="Q28" s="211"/>
      <c r="R28" s="211"/>
      <c r="S28" s="211"/>
    </row>
    <row r="29" spans="1:19" ht="12.75">
      <c r="A29" s="151"/>
      <c r="B29" s="97"/>
      <c r="C29" s="473"/>
      <c r="D29" s="474"/>
      <c r="E29" s="474"/>
      <c r="F29" s="475"/>
      <c r="G29" s="474"/>
      <c r="H29" s="474"/>
      <c r="I29" s="475"/>
      <c r="J29" s="474"/>
      <c r="K29" s="474"/>
      <c r="L29" s="475"/>
      <c r="M29" s="474"/>
      <c r="N29" s="474"/>
      <c r="O29" s="473"/>
      <c r="P29" s="476"/>
      <c r="Q29" s="211"/>
      <c r="R29" s="211"/>
      <c r="S29" s="211"/>
    </row>
    <row r="30" spans="1:19" ht="13.5" thickBot="1">
      <c r="A30" s="98">
        <f>+A28+1</f>
        <v>18</v>
      </c>
      <c r="B30" s="97" t="s">
        <v>108</v>
      </c>
      <c r="C30" s="477">
        <f aca="true" t="shared" si="12" ref="C30:I30">SUM(C26:C28)</f>
        <v>1</v>
      </c>
      <c r="D30" s="478">
        <f t="shared" si="12"/>
        <v>1</v>
      </c>
      <c r="E30" s="478">
        <f t="shared" si="12"/>
        <v>1</v>
      </c>
      <c r="F30" s="478">
        <f t="shared" si="12"/>
        <v>1</v>
      </c>
      <c r="G30" s="478">
        <f t="shared" si="12"/>
        <v>1</v>
      </c>
      <c r="H30" s="478">
        <f t="shared" si="12"/>
        <v>1</v>
      </c>
      <c r="I30" s="478">
        <f t="shared" si="12"/>
        <v>1</v>
      </c>
      <c r="J30" s="478">
        <f aca="true" t="shared" si="13" ref="J30:P30">SUM(J26:J28)</f>
        <v>1</v>
      </c>
      <c r="K30" s="478">
        <f t="shared" si="13"/>
        <v>1</v>
      </c>
      <c r="L30" s="478">
        <f t="shared" si="13"/>
        <v>1</v>
      </c>
      <c r="M30" s="478">
        <f t="shared" si="13"/>
        <v>1</v>
      </c>
      <c r="N30" s="478">
        <f t="shared" si="13"/>
        <v>1</v>
      </c>
      <c r="O30" s="477">
        <f t="shared" si="13"/>
        <v>1</v>
      </c>
      <c r="P30" s="479">
        <f t="shared" si="13"/>
        <v>1</v>
      </c>
      <c r="Q30" s="211"/>
      <c r="R30" s="211"/>
      <c r="S30" s="211"/>
    </row>
    <row r="31" spans="1:19" ht="13.5" thickTop="1">
      <c r="A31" s="98"/>
      <c r="B31" s="110"/>
      <c r="C31" s="152"/>
      <c r="D31" s="152"/>
      <c r="E31" s="152"/>
      <c r="F31" s="152"/>
      <c r="G31" s="152"/>
      <c r="H31" s="152"/>
      <c r="I31" s="152"/>
      <c r="J31" s="152"/>
      <c r="K31" s="152"/>
      <c r="L31" s="152"/>
      <c r="M31" s="152"/>
      <c r="N31" s="152"/>
      <c r="O31" s="152"/>
      <c r="P31" s="152"/>
      <c r="Q31" s="211"/>
      <c r="R31" s="211"/>
      <c r="S31" s="211"/>
    </row>
    <row r="32" spans="1:19" ht="12.75">
      <c r="A32" s="98"/>
      <c r="B32" s="110"/>
      <c r="C32" s="480"/>
      <c r="D32" s="480"/>
      <c r="E32" s="480"/>
      <c r="F32" s="480"/>
      <c r="G32" s="480"/>
      <c r="H32" s="480"/>
      <c r="I32" s="480"/>
      <c r="J32" s="480"/>
      <c r="K32" s="480"/>
      <c r="L32" s="480"/>
      <c r="M32" s="480"/>
      <c r="N32" s="480"/>
      <c r="O32" s="480"/>
      <c r="P32" s="152"/>
      <c r="Q32" s="211"/>
      <c r="R32" s="211"/>
      <c r="S32" s="211"/>
    </row>
    <row r="33" spans="1:19" ht="12.75">
      <c r="A33" s="98"/>
      <c r="B33" s="110"/>
      <c r="C33" s="481"/>
      <c r="D33" s="481"/>
      <c r="E33" s="481"/>
      <c r="F33" s="481"/>
      <c r="G33" s="481"/>
      <c r="H33" s="481"/>
      <c r="I33" s="481"/>
      <c r="J33" s="481"/>
      <c r="K33" s="481"/>
      <c r="L33" s="481"/>
      <c r="M33" s="481"/>
      <c r="N33" s="481"/>
      <c r="O33" s="481"/>
      <c r="P33" s="152"/>
      <c r="Q33" s="211"/>
      <c r="R33" s="211"/>
      <c r="S33" s="211"/>
    </row>
    <row r="34" spans="1:16" ht="12.75">
      <c r="A34" s="98">
        <f>+A30+1</f>
        <v>19</v>
      </c>
      <c r="B34" s="110" t="s">
        <v>78</v>
      </c>
      <c r="C34" s="152">
        <v>3267886691</v>
      </c>
      <c r="D34" s="152">
        <v>3294415066</v>
      </c>
      <c r="E34" s="152">
        <v>3323052356</v>
      </c>
      <c r="F34" s="152">
        <v>3287072162</v>
      </c>
      <c r="G34" s="152">
        <v>3316850671</v>
      </c>
      <c r="H34" s="152">
        <v>3316602387</v>
      </c>
      <c r="I34" s="152">
        <v>3338254311</v>
      </c>
      <c r="J34" s="152">
        <v>3371071716</v>
      </c>
      <c r="K34" s="152">
        <v>3388920268</v>
      </c>
      <c r="L34" s="152">
        <v>3404145000</v>
      </c>
      <c r="M34" s="152">
        <v>3469940815</v>
      </c>
      <c r="N34" s="152">
        <v>3525539332</v>
      </c>
      <c r="O34" s="152">
        <v>3483711435</v>
      </c>
      <c r="P34" s="211"/>
    </row>
    <row r="35" spans="1:53" ht="12.75">
      <c r="A35" s="98">
        <f>+A34+1</f>
        <v>20</v>
      </c>
      <c r="B35" s="108" t="s">
        <v>30</v>
      </c>
      <c r="C35" s="474"/>
      <c r="D35" s="474"/>
      <c r="E35" s="474"/>
      <c r="F35" s="474"/>
      <c r="G35" s="474"/>
      <c r="H35" s="474"/>
      <c r="I35" s="474"/>
      <c r="J35" s="474"/>
      <c r="K35" s="474"/>
      <c r="L35" s="474"/>
      <c r="M35" s="474"/>
      <c r="N35" s="474"/>
      <c r="O35" s="474"/>
      <c r="P35" s="482"/>
      <c r="T35" s="70"/>
      <c r="U35" s="108"/>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row>
    <row r="36" spans="1:53" ht="12.75">
      <c r="A36" s="98">
        <f>+A35+1</f>
        <v>21</v>
      </c>
      <c r="B36" s="108" t="s">
        <v>31</v>
      </c>
      <c r="C36" s="214">
        <v>-1138178</v>
      </c>
      <c r="D36" s="214">
        <v>-1138178</v>
      </c>
      <c r="E36" s="214">
        <v>-1138178</v>
      </c>
      <c r="F36" s="214">
        <v>-1313403</v>
      </c>
      <c r="G36" s="214">
        <v>-1313403</v>
      </c>
      <c r="H36" s="214">
        <v>-1313403</v>
      </c>
      <c r="I36" s="214">
        <v>-1671456</v>
      </c>
      <c r="J36" s="214">
        <v>-1671456</v>
      </c>
      <c r="K36" s="214">
        <v>-1671456</v>
      </c>
      <c r="L36" s="214">
        <v>-6923503</v>
      </c>
      <c r="M36" s="214">
        <v>-6923503</v>
      </c>
      <c r="N36" s="214">
        <v>-6923503</v>
      </c>
      <c r="O36" s="214">
        <v>-7336796</v>
      </c>
      <c r="Q36" s="152"/>
      <c r="T36" s="70"/>
      <c r="U36" s="214"/>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row>
    <row r="37" spans="1:53" ht="12.75">
      <c r="A37" s="98"/>
      <c r="B37" s="108"/>
      <c r="C37" s="214"/>
      <c r="D37" s="214"/>
      <c r="E37" s="451"/>
      <c r="F37" s="451"/>
      <c r="G37" s="451"/>
      <c r="H37" s="451"/>
      <c r="I37" s="451"/>
      <c r="J37" s="451"/>
      <c r="K37" s="451"/>
      <c r="L37" s="451"/>
      <c r="M37" s="214"/>
      <c r="N37" s="214"/>
      <c r="O37" s="214"/>
      <c r="Q37" s="152"/>
      <c r="S37" s="483"/>
      <c r="T37" s="483"/>
      <c r="U37" s="214"/>
      <c r="V37" s="483"/>
      <c r="W37" s="483"/>
      <c r="X37" s="483"/>
      <c r="Y37" s="483"/>
      <c r="Z37" s="483"/>
      <c r="AA37" s="483"/>
      <c r="AB37" s="483"/>
      <c r="AC37" s="483"/>
      <c r="AD37" s="483"/>
      <c r="AE37" s="483"/>
      <c r="AF37" s="483"/>
      <c r="AG37" s="483"/>
      <c r="AH37" s="483"/>
      <c r="AI37" s="483"/>
      <c r="AJ37" s="483"/>
      <c r="AK37" s="483"/>
      <c r="AL37" s="483"/>
      <c r="AM37" s="483"/>
      <c r="AN37" s="483"/>
      <c r="AO37" s="483"/>
      <c r="AP37" s="483"/>
      <c r="AQ37" s="483"/>
      <c r="AR37" s="70"/>
      <c r="AS37" s="70"/>
      <c r="AT37" s="70"/>
      <c r="AU37" s="70"/>
      <c r="AV37" s="70"/>
      <c r="AW37" s="70"/>
      <c r="AX37" s="70"/>
      <c r="AY37" s="70"/>
      <c r="AZ37" s="70"/>
      <c r="BA37" s="70"/>
    </row>
    <row r="38" spans="1:53" ht="12.75">
      <c r="A38" s="98">
        <f>A36+1</f>
        <v>22</v>
      </c>
      <c r="B38" s="174" t="s">
        <v>32</v>
      </c>
      <c r="C38" s="240">
        <f aca="true" t="shared" si="14" ref="C38:O38">SUM(C36:C37)</f>
        <v>-1138178</v>
      </c>
      <c r="D38" s="240">
        <f t="shared" si="14"/>
        <v>-1138178</v>
      </c>
      <c r="E38" s="240">
        <f t="shared" si="14"/>
        <v>-1138178</v>
      </c>
      <c r="F38" s="240">
        <f t="shared" si="14"/>
        <v>-1313403</v>
      </c>
      <c r="G38" s="240">
        <f t="shared" si="14"/>
        <v>-1313403</v>
      </c>
      <c r="H38" s="240">
        <f t="shared" si="14"/>
        <v>-1313403</v>
      </c>
      <c r="I38" s="240">
        <f t="shared" si="14"/>
        <v>-1671456</v>
      </c>
      <c r="J38" s="240">
        <f t="shared" si="14"/>
        <v>-1671456</v>
      </c>
      <c r="K38" s="240">
        <f t="shared" si="14"/>
        <v>-1671456</v>
      </c>
      <c r="L38" s="240">
        <f t="shared" si="14"/>
        <v>-6923503</v>
      </c>
      <c r="M38" s="240">
        <f t="shared" si="14"/>
        <v>-6923503</v>
      </c>
      <c r="N38" s="240">
        <f t="shared" si="14"/>
        <v>-6923503</v>
      </c>
      <c r="O38" s="240">
        <f t="shared" si="14"/>
        <v>-7336796</v>
      </c>
      <c r="P38" s="211"/>
      <c r="Q38" s="152"/>
      <c r="T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row>
    <row r="39" spans="1:53" ht="12.75">
      <c r="A39" s="98">
        <f aca="true" t="shared" si="15" ref="A39:A44">+A38+1</f>
        <v>23</v>
      </c>
      <c r="B39" s="175" t="s">
        <v>166</v>
      </c>
      <c r="C39" s="152"/>
      <c r="D39" s="152"/>
      <c r="E39" s="152"/>
      <c r="F39" s="152"/>
      <c r="G39" s="152"/>
      <c r="H39" s="152"/>
      <c r="I39" s="152"/>
      <c r="J39" s="152"/>
      <c r="K39" s="152"/>
      <c r="L39" s="152"/>
      <c r="M39" s="152"/>
      <c r="N39" s="152"/>
      <c r="O39" s="152"/>
      <c r="P39" s="211"/>
      <c r="Q39" s="152"/>
      <c r="T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row>
    <row r="40" spans="1:53" ht="12.75">
      <c r="A40" s="98">
        <f t="shared" si="15"/>
        <v>24</v>
      </c>
      <c r="B40" s="177" t="s">
        <v>167</v>
      </c>
      <c r="C40" s="152">
        <f>-152654000-5849000</f>
        <v>-158503000</v>
      </c>
      <c r="D40" s="152">
        <f>-144435000-5849000</f>
        <v>-150284000</v>
      </c>
      <c r="E40" s="152">
        <f>-128423000-5849000</f>
        <v>-134272000</v>
      </c>
      <c r="F40" s="152">
        <f>-113751000-5849000</f>
        <v>-119600000</v>
      </c>
      <c r="G40" s="152">
        <f>-93668000-5849000</f>
        <v>-99517000</v>
      </c>
      <c r="H40" s="152">
        <f>-101290000-5849000</f>
        <v>-107139000</v>
      </c>
      <c r="I40" s="152">
        <f>-71115000-5849000</f>
        <v>-76964000</v>
      </c>
      <c r="J40" s="152">
        <f>-56661000-5849000</f>
        <v>-62510000</v>
      </c>
      <c r="K40" s="152">
        <f>-70869000-5849000</f>
        <v>-76718000</v>
      </c>
      <c r="L40" s="152">
        <f>-68638000-5849000</f>
        <v>-74487000</v>
      </c>
      <c r="M40" s="152">
        <f>-51545500-5849000</f>
        <v>-57394500</v>
      </c>
      <c r="N40" s="152">
        <f>-34931000-5849000</f>
        <v>-40780000</v>
      </c>
      <c r="O40" s="152">
        <f>-21356000-5849000</f>
        <v>-27205000</v>
      </c>
      <c r="P40" s="211"/>
      <c r="Q40" s="152"/>
      <c r="T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row>
    <row r="41" spans="1:53" ht="12.75">
      <c r="A41" s="98">
        <f t="shared" si="15"/>
        <v>25</v>
      </c>
      <c r="B41" s="177" t="s">
        <v>114</v>
      </c>
      <c r="C41" s="214">
        <v>-17872771</v>
      </c>
      <c r="D41" s="214">
        <v>-16978085</v>
      </c>
      <c r="E41" s="214">
        <v>-15935175</v>
      </c>
      <c r="F41" s="214">
        <v>-14924821</v>
      </c>
      <c r="G41" s="214">
        <v>-14101785</v>
      </c>
      <c r="H41" s="214">
        <v>-13843567</v>
      </c>
      <c r="I41" s="214">
        <v>-13389539</v>
      </c>
      <c r="J41" s="214">
        <v>-12359006</v>
      </c>
      <c r="K41" s="214">
        <v>-11175836</v>
      </c>
      <c r="L41" s="214">
        <v>-11199871</v>
      </c>
      <c r="M41" s="214">
        <v>-11049939</v>
      </c>
      <c r="N41" s="214">
        <v>-10254278</v>
      </c>
      <c r="O41" s="214">
        <v>-9309191</v>
      </c>
      <c r="Q41" s="152"/>
      <c r="T41" s="70"/>
      <c r="U41" s="484"/>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row>
    <row r="42" spans="1:53" ht="12.75">
      <c r="A42" s="98">
        <f t="shared" si="15"/>
        <v>26</v>
      </c>
      <c r="B42" s="177" t="s">
        <v>115</v>
      </c>
      <c r="C42" s="214">
        <v>-166288547</v>
      </c>
      <c r="D42" s="214">
        <v>-165483225</v>
      </c>
      <c r="E42" s="214">
        <v>-164677903</v>
      </c>
      <c r="F42" s="214">
        <v>-165061128</v>
      </c>
      <c r="G42" s="214">
        <v>-164248219</v>
      </c>
      <c r="H42" s="214">
        <v>-163435310</v>
      </c>
      <c r="I42" s="214">
        <v>-162622402</v>
      </c>
      <c r="J42" s="214">
        <v>-161809493</v>
      </c>
      <c r="K42" s="214">
        <v>-160996584</v>
      </c>
      <c r="L42" s="214">
        <v>-175998672</v>
      </c>
      <c r="M42" s="214">
        <v>-174870003</v>
      </c>
      <c r="N42" s="214">
        <v>-173741337</v>
      </c>
      <c r="O42" s="214">
        <v>-172612669</v>
      </c>
      <c r="Q42" s="152"/>
      <c r="T42" s="70"/>
      <c r="U42" s="484"/>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row>
    <row r="43" spans="1:53" ht="12.75">
      <c r="A43" s="98">
        <f t="shared" si="15"/>
        <v>27</v>
      </c>
      <c r="B43" s="178" t="s">
        <v>116</v>
      </c>
      <c r="C43" s="176">
        <f aca="true" t="shared" si="16" ref="C43:L43">SUM(C40:C42)</f>
        <v>-342664318</v>
      </c>
      <c r="D43" s="176">
        <f t="shared" si="16"/>
        <v>-332745310</v>
      </c>
      <c r="E43" s="176">
        <f t="shared" si="16"/>
        <v>-314885078</v>
      </c>
      <c r="F43" s="176">
        <f t="shared" si="16"/>
        <v>-299585949</v>
      </c>
      <c r="G43" s="176">
        <f t="shared" si="16"/>
        <v>-277867004</v>
      </c>
      <c r="H43" s="176">
        <f t="shared" si="16"/>
        <v>-284417877</v>
      </c>
      <c r="I43" s="176">
        <f t="shared" si="16"/>
        <v>-252975941</v>
      </c>
      <c r="J43" s="176">
        <f t="shared" si="16"/>
        <v>-236678499</v>
      </c>
      <c r="K43" s="176">
        <f t="shared" si="16"/>
        <v>-248890420</v>
      </c>
      <c r="L43" s="176">
        <f t="shared" si="16"/>
        <v>-261685543</v>
      </c>
      <c r="M43" s="176">
        <f>SUM(M40:M42)</f>
        <v>-243314442</v>
      </c>
      <c r="N43" s="176">
        <f>SUM(N40:N42)</f>
        <v>-224775615</v>
      </c>
      <c r="O43" s="176">
        <f>SUM(O40:O42)</f>
        <v>-209126860</v>
      </c>
      <c r="P43" s="211"/>
      <c r="Q43" s="152"/>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row>
    <row r="44" spans="1:53" ht="13.5" thickBot="1">
      <c r="A44" s="98">
        <f t="shared" si="15"/>
        <v>28</v>
      </c>
      <c r="B44" s="110" t="s">
        <v>99</v>
      </c>
      <c r="C44" s="464">
        <f aca="true" t="shared" si="17" ref="C44:O44">+C34-C38-C43</f>
        <v>3611689187</v>
      </c>
      <c r="D44" s="464">
        <f t="shared" si="17"/>
        <v>3628298554</v>
      </c>
      <c r="E44" s="464">
        <f t="shared" si="17"/>
        <v>3639075612</v>
      </c>
      <c r="F44" s="464">
        <f t="shared" si="17"/>
        <v>3587971514</v>
      </c>
      <c r="G44" s="464">
        <f t="shared" si="17"/>
        <v>3596031078</v>
      </c>
      <c r="H44" s="464">
        <f t="shared" si="17"/>
        <v>3602333667</v>
      </c>
      <c r="I44" s="464">
        <f t="shared" si="17"/>
        <v>3592901708</v>
      </c>
      <c r="J44" s="464">
        <f t="shared" si="17"/>
        <v>3609421671</v>
      </c>
      <c r="K44" s="464">
        <f t="shared" si="17"/>
        <v>3639482144</v>
      </c>
      <c r="L44" s="464">
        <f t="shared" si="17"/>
        <v>3672754046</v>
      </c>
      <c r="M44" s="464">
        <f t="shared" si="17"/>
        <v>3720178760</v>
      </c>
      <c r="N44" s="464">
        <f t="shared" si="17"/>
        <v>3757238450</v>
      </c>
      <c r="O44" s="464">
        <f t="shared" si="17"/>
        <v>3700175091</v>
      </c>
      <c r="P44" s="485"/>
      <c r="Q44" s="152"/>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row>
    <row r="45" spans="9:53" ht="13.5" thickTop="1">
      <c r="I45" s="152"/>
      <c r="J45" s="152"/>
      <c r="K45" s="152"/>
      <c r="L45" s="152"/>
      <c r="M45" s="152"/>
      <c r="N45" s="152"/>
      <c r="O45" s="152"/>
      <c r="Q45" s="152"/>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row>
    <row r="46" spans="3:53" ht="12.75">
      <c r="C46" s="152"/>
      <c r="D46" s="152"/>
      <c r="E46" s="152"/>
      <c r="F46" s="486"/>
      <c r="G46" s="486"/>
      <c r="H46" s="486"/>
      <c r="I46" s="214"/>
      <c r="J46" s="214"/>
      <c r="K46" s="214"/>
      <c r="L46" s="214"/>
      <c r="M46" s="214"/>
      <c r="N46" s="214"/>
      <c r="O46" s="214"/>
      <c r="Q46" s="152"/>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row>
    <row r="47" spans="3:53" ht="12.75">
      <c r="C47" s="487"/>
      <c r="D47" s="487"/>
      <c r="E47" s="487"/>
      <c r="F47" s="486"/>
      <c r="G47" s="486"/>
      <c r="H47" s="486"/>
      <c r="I47" s="214"/>
      <c r="J47" s="214"/>
      <c r="K47" s="214"/>
      <c r="L47" s="214"/>
      <c r="M47" s="214"/>
      <c r="N47" s="214"/>
      <c r="O47" s="214"/>
      <c r="Q47" s="152"/>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row>
    <row r="48" spans="3:53" ht="12.75">
      <c r="C48" s="214"/>
      <c r="D48" s="214"/>
      <c r="E48" s="214"/>
      <c r="F48" s="486"/>
      <c r="G48" s="486"/>
      <c r="H48" s="486"/>
      <c r="I48" s="214"/>
      <c r="J48" s="214"/>
      <c r="K48" s="214"/>
      <c r="L48" s="214"/>
      <c r="M48" s="214"/>
      <c r="N48" s="214"/>
      <c r="O48" s="214"/>
      <c r="Q48" s="152"/>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row>
    <row r="49" spans="3:53" ht="12.75">
      <c r="C49" s="488"/>
      <c r="D49" s="488"/>
      <c r="E49" s="488"/>
      <c r="F49" s="486"/>
      <c r="G49" s="486"/>
      <c r="H49" s="486"/>
      <c r="I49" s="488"/>
      <c r="J49" s="488"/>
      <c r="K49" s="488"/>
      <c r="L49" s="488"/>
      <c r="M49" s="214"/>
      <c r="N49" s="214"/>
      <c r="O49" s="214"/>
      <c r="Q49" s="152"/>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row>
    <row r="50" spans="3:53" ht="12.75">
      <c r="C50" s="152"/>
      <c r="D50" s="152"/>
      <c r="E50" s="152"/>
      <c r="F50" s="152"/>
      <c r="G50" s="152"/>
      <c r="H50" s="152"/>
      <c r="I50" s="152"/>
      <c r="J50" s="152"/>
      <c r="K50" s="152"/>
      <c r="L50" s="152"/>
      <c r="M50" s="152"/>
      <c r="N50" s="152"/>
      <c r="O50" s="152"/>
      <c r="Q50" s="152"/>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row>
    <row r="51" spans="3:17" ht="12.75">
      <c r="C51" s="152"/>
      <c r="D51" s="152"/>
      <c r="E51" s="152"/>
      <c r="F51" s="152"/>
      <c r="G51" s="152"/>
      <c r="H51" s="152"/>
      <c r="I51" s="152"/>
      <c r="J51" s="152"/>
      <c r="K51" s="152"/>
      <c r="L51" s="152"/>
      <c r="M51" s="152"/>
      <c r="N51" s="152"/>
      <c r="O51" s="152"/>
      <c r="Q51" s="152"/>
    </row>
    <row r="52" spans="3:17" ht="12.75">
      <c r="C52" s="489"/>
      <c r="D52" s="489"/>
      <c r="E52" s="489"/>
      <c r="F52" s="489"/>
      <c r="G52" s="489"/>
      <c r="H52" s="489"/>
      <c r="I52" s="489"/>
      <c r="J52" s="489"/>
      <c r="K52" s="489"/>
      <c r="L52" s="489"/>
      <c r="M52" s="489"/>
      <c r="N52" s="489"/>
      <c r="O52" s="489"/>
      <c r="Q52" s="152"/>
    </row>
    <row r="53" spans="3:17" ht="12.75">
      <c r="C53" s="489"/>
      <c r="D53" s="489"/>
      <c r="E53" s="489"/>
      <c r="F53" s="490"/>
      <c r="G53" s="490"/>
      <c r="H53" s="490"/>
      <c r="I53" s="490"/>
      <c r="J53" s="490"/>
      <c r="K53" s="490"/>
      <c r="L53" s="490"/>
      <c r="M53" s="490"/>
      <c r="N53" s="490"/>
      <c r="O53" s="490"/>
      <c r="Q53" s="152"/>
    </row>
    <row r="54" ht="12.75">
      <c r="Q54" s="152"/>
    </row>
    <row r="55" ht="12.75">
      <c r="Q55" s="152"/>
    </row>
    <row r="56" ht="12.75">
      <c r="Q56" s="152"/>
    </row>
    <row r="57" ht="12.75">
      <c r="Q57" s="152"/>
    </row>
    <row r="58" ht="12.75">
      <c r="Q58" s="152"/>
    </row>
    <row r="59" ht="12.75">
      <c r="Q59" s="152"/>
    </row>
    <row r="60" ht="12.75">
      <c r="Q60" s="152"/>
    </row>
    <row r="61" ht="12.75">
      <c r="Q61" s="152"/>
    </row>
  </sheetData>
  <sheetProtection/>
  <mergeCells count="4">
    <mergeCell ref="B4:P4"/>
    <mergeCell ref="A1:P1"/>
    <mergeCell ref="A2:P2"/>
    <mergeCell ref="A3:P3"/>
  </mergeCells>
  <printOptions horizontalCentered="1" verticalCentered="1"/>
  <pageMargins left="0.2" right="0.2" top="0.28" bottom="0.4" header="0.26" footer="0.22"/>
  <pageSetup fitToHeight="1" fitToWidth="1" horizontalDpi="600" verticalDpi="600" orientation="landscape" scale="95"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G108"/>
  <sheetViews>
    <sheetView workbookViewId="0" topLeftCell="A1">
      <selection activeCell="A4" sqref="A4"/>
    </sheetView>
  </sheetViews>
  <sheetFormatPr defaultColWidth="11.5" defaultRowHeight="11.25"/>
  <cols>
    <col min="1" max="1" width="8.33203125" style="48" customWidth="1"/>
    <col min="2" max="2" width="46" style="48" customWidth="1"/>
    <col min="3" max="3" width="17.16015625" style="48" customWidth="1"/>
    <col min="4" max="4" width="11.5" style="48" customWidth="1"/>
    <col min="5" max="5" width="14.33203125" style="48" customWidth="1"/>
    <col min="6" max="6" width="13.5" style="48" customWidth="1"/>
    <col min="7" max="7" width="12.83203125" style="48" customWidth="1"/>
    <col min="8" max="8" width="11.83203125" style="48" customWidth="1"/>
    <col min="9" max="253" width="8.83203125" style="48" customWidth="1"/>
    <col min="254" max="16384" width="11.5" style="48" customWidth="1"/>
  </cols>
  <sheetData>
    <row r="1" spans="1:6" ht="12.75">
      <c r="A1" s="559" t="s">
        <v>23</v>
      </c>
      <c r="B1" s="559"/>
      <c r="C1" s="559"/>
      <c r="D1" s="559"/>
      <c r="E1" s="559"/>
      <c r="F1" s="559"/>
    </row>
    <row r="2" spans="1:6" ht="12.75">
      <c r="A2" s="559" t="s">
        <v>35</v>
      </c>
      <c r="B2" s="559"/>
      <c r="C2" s="559"/>
      <c r="D2" s="559"/>
      <c r="E2" s="559"/>
      <c r="F2" s="559"/>
    </row>
    <row r="3" spans="1:6" ht="15.75" customHeight="1">
      <c r="A3" s="560">
        <f>+'Pg 1 CofCap'!A5</f>
        <v>41364</v>
      </c>
      <c r="B3" s="560"/>
      <c r="C3" s="560"/>
      <c r="D3" s="560"/>
      <c r="E3" s="560"/>
      <c r="F3" s="560"/>
    </row>
    <row r="4" spans="2:6" ht="12.75" customHeight="1">
      <c r="B4" s="539"/>
      <c r="C4" s="539"/>
      <c r="D4" s="540"/>
      <c r="E4" s="540"/>
      <c r="F4" s="540"/>
    </row>
    <row r="5" ht="12.75">
      <c r="A5" s="54" t="s">
        <v>1</v>
      </c>
    </row>
    <row r="6" spans="1:3" ht="12.75">
      <c r="A6" s="54" t="s">
        <v>1</v>
      </c>
      <c r="C6" s="48" t="s">
        <v>1</v>
      </c>
    </row>
    <row r="7" spans="1:6" ht="12.75">
      <c r="A7" s="54">
        <v>1</v>
      </c>
      <c r="B7" s="50" t="s">
        <v>3</v>
      </c>
      <c r="C7" s="50" t="s">
        <v>25</v>
      </c>
      <c r="D7" s="50" t="s">
        <v>50</v>
      </c>
      <c r="E7" s="50" t="s">
        <v>61</v>
      </c>
      <c r="F7" s="50" t="s">
        <v>62</v>
      </c>
    </row>
    <row r="8" spans="1:6" ht="12.75">
      <c r="A8" s="54">
        <f aca="true" t="shared" si="0" ref="A8:A29">A7+1</f>
        <v>2</v>
      </c>
      <c r="B8" s="49"/>
      <c r="C8" s="50"/>
      <c r="D8" s="49"/>
      <c r="E8" s="49"/>
      <c r="F8" s="49"/>
    </row>
    <row r="9" spans="1:6" ht="12.75">
      <c r="A9" s="54">
        <f t="shared" si="0"/>
        <v>3</v>
      </c>
      <c r="B9" s="49"/>
      <c r="C9" s="50" t="s">
        <v>51</v>
      </c>
      <c r="D9" s="50" t="s">
        <v>36</v>
      </c>
      <c r="E9" s="50" t="s">
        <v>16</v>
      </c>
      <c r="F9" s="50" t="s">
        <v>9</v>
      </c>
    </row>
    <row r="10" spans="1:6" ht="12.75">
      <c r="A10" s="54">
        <f t="shared" si="0"/>
        <v>4</v>
      </c>
      <c r="B10" s="51" t="s">
        <v>7</v>
      </c>
      <c r="C10" s="51" t="s">
        <v>75</v>
      </c>
      <c r="D10" s="51" t="s">
        <v>17</v>
      </c>
      <c r="E10" s="51" t="s">
        <v>18</v>
      </c>
      <c r="F10" s="51" t="s">
        <v>17</v>
      </c>
    </row>
    <row r="11" spans="1:6" ht="12.75">
      <c r="A11" s="54">
        <f t="shared" si="0"/>
        <v>5</v>
      </c>
      <c r="B11" s="52"/>
      <c r="C11" s="53"/>
      <c r="D11" s="53"/>
      <c r="E11" s="54"/>
      <c r="F11" s="53"/>
    </row>
    <row r="12" spans="1:7" ht="12.75">
      <c r="A12" s="54">
        <f t="shared" si="0"/>
        <v>6</v>
      </c>
      <c r="B12" s="52" t="s">
        <v>34</v>
      </c>
      <c r="C12" s="57">
        <f>'Pg 4 STD OS &amp; Comm Fees'!C11</f>
        <v>54883287.65</v>
      </c>
      <c r="D12" s="491">
        <f aca="true" t="shared" si="1" ref="D12:D18">IF(E12=0,"NA",(E12/C12))</f>
        <v>0.004535117895766217</v>
      </c>
      <c r="E12" s="57">
        <f>'Pg 4 STD OS &amp; Comm Fees'!D11</f>
        <v>248902.18</v>
      </c>
      <c r="F12" s="55"/>
      <c r="G12" s="56"/>
    </row>
    <row r="13" spans="1:7" ht="12.75">
      <c r="A13" s="54">
        <f t="shared" si="0"/>
        <v>7</v>
      </c>
      <c r="B13" s="48" t="s">
        <v>111</v>
      </c>
      <c r="C13" s="58">
        <f>'Pg 4 STD OS &amp; Comm Fees'!C12</f>
        <v>29816370.705737714</v>
      </c>
      <c r="D13" s="491">
        <f t="shared" si="1"/>
        <v>0.006043471260280625</v>
      </c>
      <c r="E13" s="57">
        <f>'Pg 4 STD OS &amp; Comm Fees'!D12</f>
        <v>180194.37944599902</v>
      </c>
      <c r="F13" s="55"/>
      <c r="G13" s="56"/>
    </row>
    <row r="14" spans="1:7" ht="12.75">
      <c r="A14" s="54">
        <f t="shared" si="0"/>
        <v>8</v>
      </c>
      <c r="B14" s="48" t="s">
        <v>269</v>
      </c>
      <c r="C14" s="58">
        <f>'Pg 4 STD OS &amp; Comm Fees'!C13</f>
        <v>312328.77</v>
      </c>
      <c r="D14" s="491">
        <f t="shared" si="1"/>
        <v>0.007769441156509532</v>
      </c>
      <c r="E14" s="57">
        <f>'Pg 4 STD OS &amp; Comm Fees'!D13</f>
        <v>2426.62</v>
      </c>
      <c r="F14" s="55"/>
      <c r="G14" s="56"/>
    </row>
    <row r="15" spans="1:7" ht="12.75">
      <c r="A15" s="54">
        <f t="shared" si="0"/>
        <v>9</v>
      </c>
      <c r="B15" s="48" t="s">
        <v>145</v>
      </c>
      <c r="C15" s="58">
        <f>'Pg 4 STD OS &amp; Comm Fees'!C14</f>
        <v>13923288</v>
      </c>
      <c r="D15" s="491">
        <f t="shared" si="1"/>
        <v>0.010888963871177555</v>
      </c>
      <c r="E15" s="57">
        <f>'Pg 4 STD OS &amp; Comm Fees'!D14</f>
        <v>151610.18</v>
      </c>
      <c r="F15" s="55"/>
      <c r="G15" s="56"/>
    </row>
    <row r="16" spans="1:7" ht="12.75">
      <c r="A16" s="54">
        <v>9</v>
      </c>
      <c r="B16" s="48" t="s">
        <v>146</v>
      </c>
      <c r="C16" s="58">
        <f>'Pg 4 STD OS &amp; Comm Fees'!C15</f>
        <v>0</v>
      </c>
      <c r="D16" s="496" t="str">
        <f t="shared" si="1"/>
        <v>NA</v>
      </c>
      <c r="E16" s="57">
        <f>'Pg 4 STD OS &amp; Comm Fees'!D15</f>
        <v>0</v>
      </c>
      <c r="F16" s="55"/>
      <c r="G16" s="56"/>
    </row>
    <row r="17" spans="1:7" ht="12.75">
      <c r="A17" s="54">
        <v>10</v>
      </c>
      <c r="B17" s="48" t="s">
        <v>259</v>
      </c>
      <c r="C17" s="58">
        <f>'Pg 4 STD OS &amp; Comm Fees'!C16</f>
        <v>0</v>
      </c>
      <c r="D17" s="496" t="str">
        <f t="shared" si="1"/>
        <v>NA</v>
      </c>
      <c r="E17" s="57">
        <f>'Pg 4 STD OS &amp; Comm Fees'!D16</f>
        <v>0</v>
      </c>
      <c r="F17" s="55"/>
      <c r="G17" s="56"/>
    </row>
    <row r="18" spans="1:7" ht="12.75">
      <c r="A18" s="54">
        <f t="shared" si="0"/>
        <v>11</v>
      </c>
      <c r="B18" s="244" t="s">
        <v>153</v>
      </c>
      <c r="C18" s="492">
        <f>SUM(C12:C17)</f>
        <v>98935275.12573771</v>
      </c>
      <c r="D18" s="493">
        <f t="shared" si="1"/>
        <v>0.005894089430740346</v>
      </c>
      <c r="E18" s="245">
        <f>SUM(E12:E17)</f>
        <v>583133.3594459989</v>
      </c>
      <c r="F18" s="55"/>
      <c r="G18" s="56"/>
    </row>
    <row r="19" spans="1:7" ht="12.75">
      <c r="A19" s="54">
        <f t="shared" si="0"/>
        <v>12</v>
      </c>
      <c r="C19" s="494"/>
      <c r="D19" s="495"/>
      <c r="E19" s="58"/>
      <c r="G19" s="56"/>
    </row>
    <row r="20" spans="1:7" ht="12.75">
      <c r="A20" s="54">
        <f t="shared" si="0"/>
        <v>13</v>
      </c>
      <c r="B20" s="52" t="s">
        <v>52</v>
      </c>
      <c r="C20" s="59"/>
      <c r="D20" s="60"/>
      <c r="E20" s="260">
        <f>'Pg 4 STD OS &amp; Comm Fees'!F18</f>
        <v>2110662.1981793335</v>
      </c>
      <c r="F20" s="147" t="s">
        <v>74</v>
      </c>
      <c r="G20" s="56"/>
    </row>
    <row r="21" spans="1:7" ht="12.75">
      <c r="A21" s="54">
        <f t="shared" si="0"/>
        <v>14</v>
      </c>
      <c r="B21" s="52"/>
      <c r="C21" s="59"/>
      <c r="D21" s="60"/>
      <c r="E21" s="260"/>
      <c r="F21" s="55"/>
      <c r="G21" s="56"/>
    </row>
    <row r="22" spans="1:7" ht="12.75">
      <c r="A22" s="54">
        <f t="shared" si="0"/>
        <v>15</v>
      </c>
      <c r="B22" s="52" t="s">
        <v>53</v>
      </c>
      <c r="C22" s="59"/>
      <c r="D22" s="60"/>
      <c r="E22" s="260">
        <f>-'Pg 5 STD Amort'!F28</f>
        <v>2987282.2600000002</v>
      </c>
      <c r="F22" s="147" t="s">
        <v>94</v>
      </c>
      <c r="G22" s="56"/>
    </row>
    <row r="23" spans="1:5" ht="13.5" thickBot="1">
      <c r="A23" s="54">
        <f t="shared" si="0"/>
        <v>16</v>
      </c>
      <c r="C23" s="58"/>
      <c r="D23" s="57"/>
      <c r="E23" s="57"/>
    </row>
    <row r="24" spans="1:7" ht="13.5" thickBot="1">
      <c r="A24" s="54">
        <f t="shared" si="0"/>
        <v>17</v>
      </c>
      <c r="B24" s="61" t="s">
        <v>37</v>
      </c>
      <c r="C24" s="62">
        <f>C18</f>
        <v>98935275.12573771</v>
      </c>
      <c r="D24" s="63"/>
      <c r="E24" s="62">
        <f>SUM(E18:E23)</f>
        <v>5681077.817625333</v>
      </c>
      <c r="F24" s="168">
        <f>E24/C24</f>
        <v>0.0574221662638043</v>
      </c>
      <c r="G24" s="56"/>
    </row>
    <row r="25" spans="1:7" ht="12.75">
      <c r="A25" s="54">
        <f t="shared" si="0"/>
        <v>18</v>
      </c>
      <c r="G25" s="56"/>
    </row>
    <row r="26" spans="1:7" ht="12.75">
      <c r="A26" s="54">
        <f t="shared" si="0"/>
        <v>19</v>
      </c>
      <c r="E26" s="56"/>
      <c r="F26" s="55"/>
      <c r="G26" s="56"/>
    </row>
    <row r="27" spans="1:7" ht="12.75">
      <c r="A27" s="54">
        <f t="shared" si="0"/>
        <v>20</v>
      </c>
      <c r="B27" s="99" t="s">
        <v>171</v>
      </c>
      <c r="C27" s="405"/>
      <c r="D27" s="405"/>
      <c r="E27" s="405"/>
      <c r="F27" s="52"/>
      <c r="G27" s="56"/>
    </row>
    <row r="28" spans="1:7" ht="12.75">
      <c r="A28" s="54">
        <f t="shared" si="0"/>
        <v>21</v>
      </c>
      <c r="B28" s="99" t="s">
        <v>143</v>
      </c>
      <c r="C28" s="405"/>
      <c r="D28" s="405"/>
      <c r="E28" s="405"/>
      <c r="F28" s="52"/>
      <c r="G28" s="56"/>
    </row>
    <row r="29" spans="1:7" ht="12.75">
      <c r="A29" s="54">
        <f t="shared" si="0"/>
        <v>22</v>
      </c>
      <c r="B29" s="99" t="s">
        <v>170</v>
      </c>
      <c r="C29" s="52"/>
      <c r="D29" s="52"/>
      <c r="E29" s="52"/>
      <c r="F29" s="52"/>
      <c r="G29" s="56"/>
    </row>
    <row r="30" spans="1:7" ht="12.75">
      <c r="A30" s="54"/>
      <c r="B30" s="99"/>
      <c r="E30" s="56"/>
      <c r="F30" s="55"/>
      <c r="G30" s="56"/>
    </row>
    <row r="31" spans="1:2" ht="12.75">
      <c r="A31" s="54"/>
      <c r="B31" s="99"/>
    </row>
    <row r="32" spans="1:2" ht="12.75">
      <c r="A32" s="54"/>
      <c r="B32" s="52"/>
    </row>
    <row r="33" spans="1:2" ht="12.75">
      <c r="A33" s="54"/>
      <c r="B33" s="52"/>
    </row>
    <row r="34" ht="12.75">
      <c r="A34" s="54" t="s">
        <v>1</v>
      </c>
    </row>
    <row r="35" ht="12.75" customHeight="1">
      <c r="A35" s="541"/>
    </row>
    <row r="36" spans="1:7" ht="12.75">
      <c r="A36" s="54" t="s">
        <v>1</v>
      </c>
      <c r="E36" s="56"/>
      <c r="F36" s="55"/>
      <c r="G36" s="56"/>
    </row>
    <row r="37" spans="1:7" ht="12.75">
      <c r="A37" s="54" t="s">
        <v>1</v>
      </c>
      <c r="E37" s="56"/>
      <c r="F37" s="55"/>
      <c r="G37" s="56"/>
    </row>
    <row r="38" spans="5:7" ht="12.75">
      <c r="E38" s="56"/>
      <c r="F38" s="55"/>
      <c r="G38" s="56"/>
    </row>
    <row r="42" spans="4:7" ht="12.75">
      <c r="D42" s="542"/>
      <c r="E42" s="56"/>
      <c r="F42" s="55"/>
      <c r="G42" s="56"/>
    </row>
    <row r="43" spans="4:7" ht="12.75">
      <c r="D43" s="542"/>
      <c r="E43" s="56"/>
      <c r="F43" s="55"/>
      <c r="G43" s="56"/>
    </row>
    <row r="44" spans="4:7" ht="12.75">
      <c r="D44" s="542"/>
      <c r="E44" s="56"/>
      <c r="F44" s="55"/>
      <c r="G44" s="56"/>
    </row>
    <row r="45" spans="4:7" ht="12.75">
      <c r="D45" s="542"/>
      <c r="E45" s="56"/>
      <c r="F45" s="55"/>
      <c r="G45" s="56"/>
    </row>
    <row r="46" ht="12.75">
      <c r="E46" s="56"/>
    </row>
    <row r="47" spans="5:7" ht="12.75">
      <c r="E47" s="56"/>
      <c r="G47" s="56"/>
    </row>
    <row r="56" ht="12.75">
      <c r="B56" s="542"/>
    </row>
    <row r="57" ht="12.75">
      <c r="B57" s="52"/>
    </row>
    <row r="74" ht="12.75">
      <c r="F74" s="55"/>
    </row>
    <row r="85" ht="12.75">
      <c r="D85" s="542"/>
    </row>
    <row r="87" ht="12.75">
      <c r="D87" s="542"/>
    </row>
    <row r="90" ht="12.75">
      <c r="D90" s="542"/>
    </row>
    <row r="91" ht="12.75">
      <c r="D91" s="542"/>
    </row>
    <row r="96" ht="12.75">
      <c r="D96" s="542"/>
    </row>
    <row r="97" ht="12.75">
      <c r="D97" s="542"/>
    </row>
    <row r="104" ht="12.75">
      <c r="C104" s="543"/>
    </row>
    <row r="105" ht="12.75">
      <c r="C105" s="491"/>
    </row>
    <row r="107" ht="12.75">
      <c r="C107" s="543"/>
    </row>
    <row r="108" ht="12.75">
      <c r="C108" s="55"/>
    </row>
  </sheetData>
  <sheetProtection/>
  <mergeCells count="3">
    <mergeCell ref="A1:F1"/>
    <mergeCell ref="A2:F2"/>
    <mergeCell ref="A3:F3"/>
  </mergeCells>
  <printOptions horizontalCentered="1" verticalCentered="1"/>
  <pageMargins left="0.75" right="0.75" top="0.65" bottom="0.63" header="0.5" footer="0.31"/>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O40"/>
  <sheetViews>
    <sheetView workbookViewId="0" topLeftCell="A1">
      <selection activeCell="A3" sqref="A3:K3"/>
    </sheetView>
  </sheetViews>
  <sheetFormatPr defaultColWidth="9.33203125" defaultRowHeight="11.25"/>
  <cols>
    <col min="1" max="1" width="5.16015625" style="497" customWidth="1"/>
    <col min="2" max="2" width="38.16015625" style="497" customWidth="1"/>
    <col min="3" max="3" width="16.16015625" style="497" customWidth="1"/>
    <col min="4" max="4" width="15.16015625" style="497" customWidth="1"/>
    <col min="5" max="5" width="11.83203125" style="497" customWidth="1"/>
    <col min="6" max="7" width="15" style="497" customWidth="1"/>
    <col min="8" max="8" width="14.83203125" style="497" customWidth="1"/>
    <col min="9" max="10" width="12.83203125" style="497" customWidth="1"/>
    <col min="11" max="11" width="5.83203125" style="497" customWidth="1"/>
    <col min="12" max="12" width="8.5" style="497" customWidth="1"/>
    <col min="13" max="13" width="10" style="497" customWidth="1"/>
    <col min="14" max="14" width="11.16015625" style="497" customWidth="1"/>
    <col min="15" max="15" width="11.5" style="497" customWidth="1"/>
    <col min="16" max="16384" width="9.33203125" style="497" customWidth="1"/>
  </cols>
  <sheetData>
    <row r="1" spans="1:15" ht="12">
      <c r="A1" s="568" t="s">
        <v>23</v>
      </c>
      <c r="B1" s="568"/>
      <c r="C1" s="568"/>
      <c r="D1" s="568"/>
      <c r="E1" s="568"/>
      <c r="F1" s="568"/>
      <c r="G1" s="568"/>
      <c r="H1" s="568"/>
      <c r="I1" s="568"/>
      <c r="J1" s="568"/>
      <c r="K1" s="568"/>
      <c r="L1" s="31"/>
      <c r="M1" s="31"/>
      <c r="N1" s="31"/>
      <c r="O1" s="31"/>
    </row>
    <row r="2" spans="1:15" ht="12">
      <c r="A2" s="568" t="s">
        <v>276</v>
      </c>
      <c r="B2" s="568"/>
      <c r="C2" s="568"/>
      <c r="D2" s="568"/>
      <c r="E2" s="568"/>
      <c r="F2" s="568"/>
      <c r="G2" s="568"/>
      <c r="H2" s="568"/>
      <c r="I2" s="568"/>
      <c r="J2" s="568"/>
      <c r="K2" s="568"/>
      <c r="L2" s="31"/>
      <c r="N2" s="31"/>
      <c r="O2" s="31"/>
    </row>
    <row r="3" spans="1:15" ht="12" customHeight="1">
      <c r="A3" s="569">
        <f>'Pg 1 CofCap'!A5</f>
        <v>41364</v>
      </c>
      <c r="B3" s="569"/>
      <c r="C3" s="569"/>
      <c r="D3" s="569"/>
      <c r="E3" s="569"/>
      <c r="F3" s="569"/>
      <c r="G3" s="569"/>
      <c r="H3" s="569"/>
      <c r="I3" s="569"/>
      <c r="J3" s="569"/>
      <c r="K3" s="569"/>
      <c r="L3" s="31"/>
      <c r="N3" s="31"/>
      <c r="O3" s="31"/>
    </row>
    <row r="4" spans="1:15" ht="12">
      <c r="A4" s="31"/>
      <c r="B4" s="32"/>
      <c r="C4" s="39"/>
      <c r="D4" s="31"/>
      <c r="E4" s="31"/>
      <c r="F4" s="31"/>
      <c r="G4" s="31"/>
      <c r="H4" s="31"/>
      <c r="I4" s="31"/>
      <c r="J4" s="31"/>
      <c r="K4" s="31"/>
      <c r="L4" s="31"/>
      <c r="N4" s="31"/>
      <c r="O4" s="31"/>
    </row>
    <row r="5" spans="1:15" ht="13.5" thickBot="1">
      <c r="A5" s="498">
        <v>1</v>
      </c>
      <c r="B5" s="262" t="s">
        <v>3</v>
      </c>
      <c r="C5" s="262" t="s">
        <v>25</v>
      </c>
      <c r="D5" s="262" t="s">
        <v>50</v>
      </c>
      <c r="E5" s="262" t="s">
        <v>61</v>
      </c>
      <c r="F5" s="262" t="s">
        <v>62</v>
      </c>
      <c r="G5" s="262" t="s">
        <v>63</v>
      </c>
      <c r="H5" s="262" t="s">
        <v>64</v>
      </c>
      <c r="I5" s="262" t="s">
        <v>65</v>
      </c>
      <c r="J5" s="262" t="s">
        <v>66</v>
      </c>
      <c r="K5" s="50"/>
      <c r="L5" s="50"/>
      <c r="N5" s="31"/>
      <c r="O5" s="31"/>
    </row>
    <row r="6" spans="1:15" ht="12">
      <c r="A6" s="498">
        <f>+A5+1</f>
        <v>2</v>
      </c>
      <c r="B6" s="263" t="s">
        <v>117</v>
      </c>
      <c r="C6" s="264"/>
      <c r="D6" s="264"/>
      <c r="E6" s="264"/>
      <c r="F6" s="264"/>
      <c r="G6" s="264"/>
      <c r="H6" s="499"/>
      <c r="I6" s="499"/>
      <c r="J6" s="499"/>
      <c r="K6" s="500"/>
      <c r="M6" s="31"/>
      <c r="N6" s="31"/>
      <c r="O6" s="31"/>
    </row>
    <row r="7" spans="1:15" ht="12">
      <c r="A7" s="498">
        <f>+A6+1</f>
        <v>3</v>
      </c>
      <c r="B7" s="157"/>
      <c r="C7" s="158"/>
      <c r="D7" s="158"/>
      <c r="E7" s="158"/>
      <c r="F7" s="158" t="s">
        <v>1</v>
      </c>
      <c r="G7" s="34" t="s">
        <v>1</v>
      </c>
      <c r="H7" s="34"/>
      <c r="I7" s="34"/>
      <c r="J7" s="34"/>
      <c r="K7" s="266" t="s">
        <v>1</v>
      </c>
      <c r="L7" s="31"/>
      <c r="M7" s="31"/>
      <c r="N7" s="31"/>
      <c r="O7" s="31"/>
    </row>
    <row r="8" spans="1:15" ht="12">
      <c r="A8" s="498">
        <f>A7+1</f>
        <v>4</v>
      </c>
      <c r="B8" s="157"/>
      <c r="C8" s="165" t="s">
        <v>48</v>
      </c>
      <c r="D8" s="165" t="s">
        <v>110</v>
      </c>
      <c r="E8" s="165" t="s">
        <v>48</v>
      </c>
      <c r="F8" s="165" t="s">
        <v>127</v>
      </c>
      <c r="G8" s="34"/>
      <c r="H8" s="34"/>
      <c r="I8" s="34"/>
      <c r="J8" s="34"/>
      <c r="K8" s="266"/>
      <c r="L8" s="156"/>
      <c r="M8" s="31"/>
      <c r="N8" s="31"/>
      <c r="O8" s="31"/>
    </row>
    <row r="9" spans="1:15" ht="12">
      <c r="A9" s="498">
        <f>A8+1</f>
        <v>5</v>
      </c>
      <c r="B9" s="157"/>
      <c r="C9" s="166" t="s">
        <v>147</v>
      </c>
      <c r="D9" s="166" t="s">
        <v>36</v>
      </c>
      <c r="E9" s="166" t="s">
        <v>95</v>
      </c>
      <c r="F9" s="166" t="s">
        <v>148</v>
      </c>
      <c r="G9" s="36"/>
      <c r="H9" s="36"/>
      <c r="I9" s="34"/>
      <c r="J9" s="34"/>
      <c r="K9" s="266"/>
      <c r="L9" s="156"/>
      <c r="M9" s="184"/>
      <c r="N9" s="31"/>
      <c r="O9" s="31"/>
    </row>
    <row r="10" spans="1:15" ht="12">
      <c r="A10" s="498">
        <f>A9+1</f>
        <v>6</v>
      </c>
      <c r="B10" s="157"/>
      <c r="C10" s="501"/>
      <c r="D10" s="501"/>
      <c r="E10" s="501"/>
      <c r="F10" s="502"/>
      <c r="G10" s="34"/>
      <c r="H10" s="34"/>
      <c r="I10" s="34"/>
      <c r="J10" s="34"/>
      <c r="K10" s="266"/>
      <c r="L10" s="31"/>
      <c r="M10" s="31"/>
      <c r="O10" s="31"/>
    </row>
    <row r="11" spans="1:15" ht="12">
      <c r="A11" s="498">
        <f aca="true" t="shared" si="0" ref="A11:A40">A10+1</f>
        <v>7</v>
      </c>
      <c r="B11" s="157" t="s">
        <v>34</v>
      </c>
      <c r="C11" s="200">
        <v>54883287.65</v>
      </c>
      <c r="D11" s="200">
        <v>248902.18</v>
      </c>
      <c r="E11" s="208">
        <f aca="true" t="shared" si="1" ref="E11:E16">IF(C11=0,"NA",(D11/C11))</f>
        <v>0.004535117895766217</v>
      </c>
      <c r="F11" s="408">
        <v>0</v>
      </c>
      <c r="G11" s="503"/>
      <c r="I11" s="34"/>
      <c r="J11" s="34"/>
      <c r="K11" s="266"/>
      <c r="L11" s="31"/>
      <c r="M11" s="276"/>
      <c r="O11" s="31"/>
    </row>
    <row r="12" spans="1:15" ht="12">
      <c r="A12" s="498">
        <f t="shared" si="0"/>
        <v>8</v>
      </c>
      <c r="B12" s="157" t="s">
        <v>111</v>
      </c>
      <c r="C12" s="200">
        <v>29816370.705737714</v>
      </c>
      <c r="D12" s="200">
        <v>180194.37944599902</v>
      </c>
      <c r="E12" s="208">
        <f t="shared" si="1"/>
        <v>0.006043471260280625</v>
      </c>
      <c r="F12" s="408">
        <v>0</v>
      </c>
      <c r="G12" s="503"/>
      <c r="H12" s="413"/>
      <c r="I12" s="34"/>
      <c r="J12" s="34"/>
      <c r="K12" s="266"/>
      <c r="L12" s="31"/>
      <c r="M12" s="276"/>
      <c r="O12" s="31"/>
    </row>
    <row r="13" spans="1:15" ht="12">
      <c r="A13" s="498">
        <f t="shared" si="0"/>
        <v>9</v>
      </c>
      <c r="B13" s="157" t="s">
        <v>271</v>
      </c>
      <c r="C13" s="200">
        <v>312328.77</v>
      </c>
      <c r="D13" s="200">
        <v>2426.62</v>
      </c>
      <c r="E13" s="208">
        <f t="shared" si="1"/>
        <v>0.007769441156509532</v>
      </c>
      <c r="F13" s="162">
        <f>J25</f>
        <v>5075.279909</v>
      </c>
      <c r="G13" s="503"/>
      <c r="H13" s="413"/>
      <c r="I13" s="34"/>
      <c r="J13" s="34"/>
      <c r="K13" s="266"/>
      <c r="L13" s="31"/>
      <c r="M13" s="276"/>
      <c r="O13" s="31"/>
    </row>
    <row r="14" spans="1:15" ht="12">
      <c r="A14" s="498">
        <f t="shared" si="0"/>
        <v>10</v>
      </c>
      <c r="B14" s="157" t="s">
        <v>145</v>
      </c>
      <c r="C14" s="200">
        <v>13923288</v>
      </c>
      <c r="D14" s="200">
        <v>151610.18</v>
      </c>
      <c r="E14" s="208">
        <f t="shared" si="1"/>
        <v>0.010888963871177555</v>
      </c>
      <c r="F14" s="162">
        <f>J26</f>
        <v>827908.246187</v>
      </c>
      <c r="G14" s="503"/>
      <c r="H14" s="504"/>
      <c r="I14" s="34"/>
      <c r="J14" s="34"/>
      <c r="K14" s="266"/>
      <c r="L14" s="31"/>
      <c r="M14" s="276"/>
      <c r="O14" s="31"/>
    </row>
    <row r="15" spans="1:15" ht="12">
      <c r="A15" s="498">
        <f t="shared" si="0"/>
        <v>11</v>
      </c>
      <c r="B15" s="157" t="s">
        <v>146</v>
      </c>
      <c r="C15" s="200">
        <v>0</v>
      </c>
      <c r="D15" s="200">
        <v>0</v>
      </c>
      <c r="E15" s="208" t="str">
        <f t="shared" si="1"/>
        <v>NA</v>
      </c>
      <c r="F15" s="162">
        <f>J27</f>
        <v>884000</v>
      </c>
      <c r="G15" s="503"/>
      <c r="H15" s="504"/>
      <c r="I15" s="34"/>
      <c r="J15" s="34"/>
      <c r="K15" s="266"/>
      <c r="L15" s="31"/>
      <c r="M15" s="276"/>
      <c r="O15" s="31"/>
    </row>
    <row r="16" spans="1:15" ht="12">
      <c r="A16" s="498">
        <f t="shared" si="0"/>
        <v>12</v>
      </c>
      <c r="B16" s="157" t="s">
        <v>259</v>
      </c>
      <c r="C16" s="200">
        <v>0</v>
      </c>
      <c r="D16" s="200">
        <v>0</v>
      </c>
      <c r="E16" s="208" t="str">
        <f t="shared" si="1"/>
        <v>NA</v>
      </c>
      <c r="F16" s="162">
        <f>J28</f>
        <v>224501.62</v>
      </c>
      <c r="G16" s="503"/>
      <c r="H16" s="504"/>
      <c r="I16" s="34"/>
      <c r="J16" s="34"/>
      <c r="K16" s="266"/>
      <c r="L16" s="31"/>
      <c r="M16" s="276"/>
      <c r="O16" s="31"/>
    </row>
    <row r="17" spans="1:15" ht="12">
      <c r="A17" s="498">
        <f t="shared" si="0"/>
        <v>13</v>
      </c>
      <c r="B17" s="157" t="s">
        <v>155</v>
      </c>
      <c r="C17" s="200"/>
      <c r="D17" s="200"/>
      <c r="E17" s="208"/>
      <c r="F17" s="162">
        <f>J37</f>
        <v>169177.05208333334</v>
      </c>
      <c r="G17" s="503"/>
      <c r="H17" s="413"/>
      <c r="I17" s="34"/>
      <c r="J17" s="34"/>
      <c r="K17" s="266"/>
      <c r="L17" s="31"/>
      <c r="M17" s="155"/>
      <c r="N17" s="31"/>
      <c r="O17" s="31"/>
    </row>
    <row r="18" spans="1:15" ht="12.75" thickBot="1">
      <c r="A18" s="498">
        <f t="shared" si="0"/>
        <v>14</v>
      </c>
      <c r="B18" s="249" t="s">
        <v>159</v>
      </c>
      <c r="C18" s="281">
        <f>SUM(C10:C17)</f>
        <v>98935275.12573771</v>
      </c>
      <c r="D18" s="283">
        <f>SUM(D10:D17)</f>
        <v>583133.3594459989</v>
      </c>
      <c r="E18" s="282">
        <f>D18/C18</f>
        <v>0.005894089430740346</v>
      </c>
      <c r="F18" s="283">
        <f>SUM(F10:F17)</f>
        <v>2110662.1981793335</v>
      </c>
      <c r="G18" s="34"/>
      <c r="H18" s="34"/>
      <c r="I18" s="34"/>
      <c r="J18" s="34"/>
      <c r="K18" s="266"/>
      <c r="L18" s="31"/>
      <c r="M18" s="31"/>
      <c r="N18" s="31"/>
      <c r="O18" s="31"/>
    </row>
    <row r="19" spans="1:15" ht="12.75" thickTop="1">
      <c r="A19" s="498">
        <f t="shared" si="0"/>
        <v>15</v>
      </c>
      <c r="B19" s="157"/>
      <c r="C19" s="505"/>
      <c r="D19" s="506"/>
      <c r="E19" s="158"/>
      <c r="F19" s="505"/>
      <c r="G19" s="34"/>
      <c r="H19" s="34"/>
      <c r="I19" s="34"/>
      <c r="J19" s="34"/>
      <c r="K19" s="266"/>
      <c r="L19" s="31"/>
      <c r="M19" s="31"/>
      <c r="N19" s="31"/>
      <c r="O19" s="31"/>
    </row>
    <row r="20" spans="1:15" ht="12.75" thickBot="1">
      <c r="A20" s="498">
        <f t="shared" si="0"/>
        <v>16</v>
      </c>
      <c r="B20" s="259"/>
      <c r="C20" s="161"/>
      <c r="D20" s="161"/>
      <c r="E20" s="161"/>
      <c r="F20" s="161"/>
      <c r="G20" s="267"/>
      <c r="H20" s="267"/>
      <c r="I20" s="267"/>
      <c r="J20" s="267"/>
      <c r="K20" s="268"/>
      <c r="L20" s="34"/>
      <c r="M20" s="31"/>
      <c r="N20" s="31"/>
      <c r="O20" s="31"/>
    </row>
    <row r="21" spans="1:15" ht="12">
      <c r="A21" s="498">
        <f t="shared" si="0"/>
        <v>17</v>
      </c>
      <c r="B21" s="563" t="s">
        <v>93</v>
      </c>
      <c r="C21" s="564"/>
      <c r="D21" s="499"/>
      <c r="E21" s="499"/>
      <c r="F21" s="499"/>
      <c r="G21" s="499"/>
      <c r="H21" s="140"/>
      <c r="I21" s="140"/>
      <c r="J21" s="140"/>
      <c r="K21" s="111"/>
      <c r="L21" s="34" t="s">
        <v>1</v>
      </c>
      <c r="M21" s="31"/>
      <c r="N21" s="31"/>
      <c r="O21" s="31"/>
    </row>
    <row r="22" spans="1:15" ht="12">
      <c r="A22" s="498">
        <f t="shared" si="0"/>
        <v>18</v>
      </c>
      <c r="B22" s="561" t="s">
        <v>102</v>
      </c>
      <c r="C22" s="562"/>
      <c r="D22" s="34"/>
      <c r="E22" s="34"/>
      <c r="F22" s="34"/>
      <c r="G22" s="185" t="s">
        <v>261</v>
      </c>
      <c r="H22" s="185" t="s">
        <v>261</v>
      </c>
      <c r="I22" s="38"/>
      <c r="J22" s="38"/>
      <c r="K22" s="507"/>
      <c r="L22" s="34"/>
      <c r="M22" s="31"/>
      <c r="N22" s="31"/>
      <c r="O22" s="31"/>
    </row>
    <row r="23" spans="1:15" ht="12">
      <c r="A23" s="498">
        <f t="shared" si="0"/>
        <v>19</v>
      </c>
      <c r="B23" s="141"/>
      <c r="C23" s="139"/>
      <c r="D23" s="34"/>
      <c r="E23" s="34"/>
      <c r="F23" s="34"/>
      <c r="G23" s="169" t="s">
        <v>150</v>
      </c>
      <c r="H23" s="169" t="s">
        <v>151</v>
      </c>
      <c r="I23" s="38"/>
      <c r="J23" s="38"/>
      <c r="K23" s="507"/>
      <c r="L23" s="34"/>
      <c r="M23" s="31"/>
      <c r="N23" s="31"/>
      <c r="O23" s="31"/>
    </row>
    <row r="24" spans="1:15" ht="12">
      <c r="A24" s="498">
        <f t="shared" si="0"/>
        <v>20</v>
      </c>
      <c r="B24" s="508"/>
      <c r="C24" s="35" t="s">
        <v>46</v>
      </c>
      <c r="D24" s="35" t="s">
        <v>47</v>
      </c>
      <c r="E24" s="36" t="s">
        <v>49</v>
      </c>
      <c r="F24" s="36" t="s">
        <v>127</v>
      </c>
      <c r="G24" s="36" t="s">
        <v>149</v>
      </c>
      <c r="H24" s="36" t="s">
        <v>127</v>
      </c>
      <c r="I24" s="36" t="s">
        <v>58</v>
      </c>
      <c r="J24" s="36" t="s">
        <v>59</v>
      </c>
      <c r="K24" s="142"/>
      <c r="L24" s="34"/>
      <c r="M24" s="31"/>
      <c r="N24" s="31"/>
      <c r="O24" s="31"/>
    </row>
    <row r="25" spans="1:15" ht="12">
      <c r="A25" s="498">
        <f t="shared" si="0"/>
        <v>21</v>
      </c>
      <c r="B25" s="157" t="s">
        <v>271</v>
      </c>
      <c r="C25" s="413">
        <v>41000</v>
      </c>
      <c r="D25" s="413">
        <v>41002</v>
      </c>
      <c r="E25" s="258">
        <f>D25-C25+1</f>
        <v>3</v>
      </c>
      <c r="F25" s="414">
        <v>500000000</v>
      </c>
      <c r="G25" s="200">
        <f>C13+H34</f>
        <v>12773128.77</v>
      </c>
      <c r="H25" s="200">
        <f>F25-G25</f>
        <v>487226871.23</v>
      </c>
      <c r="I25" s="208">
        <v>0.00125</v>
      </c>
      <c r="J25" s="162">
        <f>ROUND(E25*H25*I25/360,6)</f>
        <v>5075.279909</v>
      </c>
      <c r="K25" s="142"/>
      <c r="L25" s="34"/>
      <c r="M25" s="31"/>
      <c r="N25" s="31"/>
      <c r="O25" s="31"/>
    </row>
    <row r="26" spans="1:15" ht="12">
      <c r="A26" s="498">
        <f t="shared" si="0"/>
        <v>22</v>
      </c>
      <c r="B26" s="157" t="s">
        <v>145</v>
      </c>
      <c r="C26" s="413">
        <v>41003</v>
      </c>
      <c r="D26" s="413">
        <v>41308</v>
      </c>
      <c r="E26" s="258">
        <f>D26-C26+1</f>
        <v>306</v>
      </c>
      <c r="F26" s="414">
        <v>400000000</v>
      </c>
      <c r="G26" s="200">
        <f>C14+H35</f>
        <v>25380884.078431375</v>
      </c>
      <c r="H26" s="200">
        <f>F26-G26</f>
        <v>374619115.92156863</v>
      </c>
      <c r="I26" s="208">
        <v>0.0026</v>
      </c>
      <c r="J26" s="162">
        <f>ROUND(E26*H26*I26/360,6)</f>
        <v>827908.246187</v>
      </c>
      <c r="K26" s="507"/>
      <c r="L26" s="34"/>
      <c r="M26" s="31"/>
      <c r="N26" s="31"/>
      <c r="O26" s="31"/>
    </row>
    <row r="27" spans="1:15" ht="12">
      <c r="A27" s="498">
        <f t="shared" si="0"/>
        <v>23</v>
      </c>
      <c r="B27" s="157" t="s">
        <v>146</v>
      </c>
      <c r="C27" s="413">
        <v>41003</v>
      </c>
      <c r="D27" s="413">
        <v>41308</v>
      </c>
      <c r="E27" s="258">
        <f>D27-C27+1</f>
        <v>306</v>
      </c>
      <c r="F27" s="414">
        <v>400000000</v>
      </c>
      <c r="G27" s="200">
        <f>C15</f>
        <v>0</v>
      </c>
      <c r="H27" s="200">
        <f>F27-G27</f>
        <v>400000000</v>
      </c>
      <c r="I27" s="208">
        <v>0.0026</v>
      </c>
      <c r="J27" s="162">
        <f>ROUND(E27*H27*I27/360,6)</f>
        <v>884000</v>
      </c>
      <c r="K27" s="507"/>
      <c r="L27" s="34"/>
      <c r="M27" s="31"/>
      <c r="N27" s="31"/>
      <c r="O27" s="31"/>
    </row>
    <row r="28" spans="1:15" ht="12">
      <c r="A28" s="498">
        <f t="shared" si="0"/>
        <v>24</v>
      </c>
      <c r="B28" s="157" t="s">
        <v>259</v>
      </c>
      <c r="C28" s="413">
        <v>41309</v>
      </c>
      <c r="D28" s="413">
        <v>41364</v>
      </c>
      <c r="E28" s="258">
        <f>D28-C28+1</f>
        <v>56</v>
      </c>
      <c r="F28" s="414">
        <v>650000000</v>
      </c>
      <c r="G28" s="200">
        <f>C16+H36</f>
        <v>8566800</v>
      </c>
      <c r="H28" s="200">
        <f>F28-G28</f>
        <v>641433200</v>
      </c>
      <c r="I28" s="208">
        <v>0.00225</v>
      </c>
      <c r="J28" s="162">
        <f>ROUND(E28*H28*I28/360,6)</f>
        <v>224501.62</v>
      </c>
      <c r="K28" s="507"/>
      <c r="L28" s="34"/>
      <c r="M28" s="31"/>
      <c r="N28" s="31"/>
      <c r="O28" s="31"/>
    </row>
    <row r="29" spans="1:15" ht="12.75" thickBot="1">
      <c r="A29" s="498">
        <f t="shared" si="0"/>
        <v>25</v>
      </c>
      <c r="B29" s="204" t="s">
        <v>126</v>
      </c>
      <c r="C29" s="37"/>
      <c r="D29" s="502"/>
      <c r="E29" s="258"/>
      <c r="F29" s="415"/>
      <c r="I29" s="502"/>
      <c r="J29" s="280">
        <f>SUM(J26:J28)</f>
        <v>1936409.8661870002</v>
      </c>
      <c r="K29" s="143"/>
      <c r="L29" s="34"/>
      <c r="M29" s="31"/>
      <c r="N29" s="31"/>
      <c r="O29" s="31"/>
    </row>
    <row r="30" spans="1:15" ht="12.75" thickTop="1">
      <c r="A30" s="498">
        <f t="shared" si="0"/>
        <v>26</v>
      </c>
      <c r="B30" s="204"/>
      <c r="C30" s="37"/>
      <c r="D30" s="502"/>
      <c r="E30" s="258"/>
      <c r="F30" s="415"/>
      <c r="I30" s="502"/>
      <c r="J30" s="277"/>
      <c r="K30" s="143"/>
      <c r="L30" s="34"/>
      <c r="M30" s="31"/>
      <c r="N30" s="31"/>
      <c r="O30" s="31"/>
    </row>
    <row r="31" spans="1:15" ht="12">
      <c r="A31" s="498">
        <f t="shared" si="0"/>
        <v>27</v>
      </c>
      <c r="B31" s="188"/>
      <c r="C31" s="37"/>
      <c r="D31" s="502"/>
      <c r="E31" s="258"/>
      <c r="F31" s="258"/>
      <c r="G31" s="502"/>
      <c r="H31" s="418"/>
      <c r="I31" s="418"/>
      <c r="J31" s="418"/>
      <c r="K31" s="143"/>
      <c r="L31" s="34"/>
      <c r="M31" s="31"/>
      <c r="N31" s="31"/>
      <c r="O31" s="31"/>
    </row>
    <row r="32" spans="1:15" ht="12">
      <c r="A32" s="498">
        <f t="shared" si="0"/>
        <v>28</v>
      </c>
      <c r="B32" s="203" t="s">
        <v>128</v>
      </c>
      <c r="C32" s="37"/>
      <c r="F32" s="36" t="s">
        <v>172</v>
      </c>
      <c r="G32" s="36" t="s">
        <v>49</v>
      </c>
      <c r="H32" s="36" t="s">
        <v>156</v>
      </c>
      <c r="I32" s="502"/>
      <c r="J32" s="418"/>
      <c r="K32" s="143"/>
      <c r="L32" s="34"/>
      <c r="M32" s="31"/>
      <c r="N32" s="31"/>
      <c r="O32" s="31"/>
    </row>
    <row r="33" spans="1:15" ht="12">
      <c r="A33" s="498">
        <f t="shared" si="0"/>
        <v>29</v>
      </c>
      <c r="B33" s="204" t="s">
        <v>157</v>
      </c>
      <c r="F33" s="299" t="s">
        <v>176</v>
      </c>
      <c r="G33" s="258">
        <v>365</v>
      </c>
      <c r="H33" s="200">
        <v>5019567.575342466</v>
      </c>
      <c r="I33" s="419">
        <v>0.01</v>
      </c>
      <c r="J33" s="200">
        <f>(I33*H33)*(G33/360)</f>
        <v>50892.83791666667</v>
      </c>
      <c r="K33" s="143"/>
      <c r="L33" s="34"/>
      <c r="M33" s="31"/>
      <c r="N33" s="31"/>
      <c r="O33" s="31"/>
    </row>
    <row r="34" spans="1:15" ht="12">
      <c r="A34" s="498"/>
      <c r="B34" s="204" t="s">
        <v>174</v>
      </c>
      <c r="F34" s="299" t="s">
        <v>270</v>
      </c>
      <c r="G34" s="258">
        <v>3</v>
      </c>
      <c r="H34" s="200">
        <v>12460800</v>
      </c>
      <c r="I34" s="208">
        <v>0.006500000000000001</v>
      </c>
      <c r="J34" s="200">
        <f>(I34*H34)*(G34/360)</f>
        <v>674.96</v>
      </c>
      <c r="K34" s="143"/>
      <c r="L34" s="34"/>
      <c r="M34" s="31"/>
      <c r="N34" s="31"/>
      <c r="O34" s="31"/>
    </row>
    <row r="35" spans="1:15" ht="12">
      <c r="A35" s="498">
        <f>A33+1</f>
        <v>30</v>
      </c>
      <c r="B35" s="204" t="s">
        <v>174</v>
      </c>
      <c r="F35" s="299" t="s">
        <v>175</v>
      </c>
      <c r="G35" s="258">
        <v>306</v>
      </c>
      <c r="H35" s="200">
        <v>11457596.078431373</v>
      </c>
      <c r="I35" s="208">
        <v>0.00975</v>
      </c>
      <c r="J35" s="200">
        <f>(I35*H35)*(G35/360)</f>
        <v>94954.82750000001</v>
      </c>
      <c r="K35" s="143"/>
      <c r="L35" s="34"/>
      <c r="M35" s="31"/>
      <c r="N35" s="31"/>
      <c r="O35" s="31"/>
    </row>
    <row r="36" spans="1:15" ht="12.75" customHeight="1">
      <c r="A36" s="498">
        <f t="shared" si="0"/>
        <v>31</v>
      </c>
      <c r="B36" s="204" t="s">
        <v>174</v>
      </c>
      <c r="F36" s="299" t="s">
        <v>260</v>
      </c>
      <c r="G36" s="258">
        <v>56</v>
      </c>
      <c r="H36" s="200">
        <v>8566800</v>
      </c>
      <c r="I36" s="208">
        <v>0.017</v>
      </c>
      <c r="J36" s="200">
        <f>(I36*H36)*(G36/360)</f>
        <v>22654.426666666666</v>
      </c>
      <c r="K36" s="507"/>
      <c r="L36" s="34"/>
      <c r="M36" s="31"/>
      <c r="N36" s="31"/>
      <c r="O36" s="31"/>
    </row>
    <row r="37" spans="1:15" ht="12.75" customHeight="1" thickBot="1">
      <c r="A37" s="498">
        <f t="shared" si="0"/>
        <v>32</v>
      </c>
      <c r="B37" s="248" t="s">
        <v>158</v>
      </c>
      <c r="E37" s="509"/>
      <c r="F37" s="414"/>
      <c r="G37" s="258"/>
      <c r="H37" s="38"/>
      <c r="I37" s="38"/>
      <c r="J37" s="280">
        <f>SUM(J33:J36)</f>
        <v>169177.05208333334</v>
      </c>
      <c r="K37" s="507"/>
      <c r="L37" s="34"/>
      <c r="M37" s="31"/>
      <c r="N37" s="31"/>
      <c r="O37" s="31"/>
    </row>
    <row r="38" spans="1:15" ht="12.75" customHeight="1" thickTop="1">
      <c r="A38" s="498">
        <f t="shared" si="0"/>
        <v>33</v>
      </c>
      <c r="B38" s="204"/>
      <c r="F38" s="510"/>
      <c r="G38" s="419"/>
      <c r="H38" s="38"/>
      <c r="I38" s="38"/>
      <c r="J38" s="38"/>
      <c r="K38" s="507"/>
      <c r="L38" s="34"/>
      <c r="M38" s="31"/>
      <c r="N38" s="31"/>
      <c r="O38" s="31"/>
    </row>
    <row r="39" spans="1:11" ht="12">
      <c r="A39" s="498">
        <f t="shared" si="0"/>
        <v>34</v>
      </c>
      <c r="B39" s="141"/>
      <c r="C39" s="139"/>
      <c r="D39" s="139"/>
      <c r="E39" s="501"/>
      <c r="F39" s="501"/>
      <c r="G39" s="501"/>
      <c r="H39" s="112"/>
      <c r="I39" s="112"/>
      <c r="J39" s="112"/>
      <c r="K39" s="507"/>
    </row>
    <row r="40" spans="1:11" ht="38.25" customHeight="1" thickBot="1">
      <c r="A40" s="498">
        <f t="shared" si="0"/>
        <v>35</v>
      </c>
      <c r="B40" s="565" t="s">
        <v>272</v>
      </c>
      <c r="C40" s="566"/>
      <c r="D40" s="566"/>
      <c r="E40" s="566"/>
      <c r="F40" s="566"/>
      <c r="G40" s="566"/>
      <c r="H40" s="566"/>
      <c r="I40" s="566"/>
      <c r="J40" s="566"/>
      <c r="K40" s="567"/>
    </row>
  </sheetData>
  <sheetProtection/>
  <mergeCells count="6">
    <mergeCell ref="B22:C22"/>
    <mergeCell ref="B21:C21"/>
    <mergeCell ref="B40:K40"/>
    <mergeCell ref="A2:K2"/>
    <mergeCell ref="A1:K1"/>
    <mergeCell ref="A3:K3"/>
  </mergeCells>
  <printOptions horizontalCentered="1" verticalCentered="1"/>
  <pageMargins left="0.5" right="0.5" top="0.51" bottom="0.96" header="0.29" footer="0.28"/>
  <pageSetup fitToHeight="1" fitToWidth="1" horizontalDpi="600" verticalDpi="600" orientation="landscape" scale="98" r:id="rId3"/>
  <legacyDrawing r:id="rId2"/>
</worksheet>
</file>

<file path=xl/worksheets/sheet6.xml><?xml version="1.0" encoding="utf-8"?>
<worksheet xmlns="http://schemas.openxmlformats.org/spreadsheetml/2006/main" xmlns:r="http://schemas.openxmlformats.org/officeDocument/2006/relationships">
  <dimension ref="A1:I51"/>
  <sheetViews>
    <sheetView workbookViewId="0" topLeftCell="A1">
      <selection activeCell="P26" sqref="P26"/>
    </sheetView>
  </sheetViews>
  <sheetFormatPr defaultColWidth="9.33203125" defaultRowHeight="11.25"/>
  <cols>
    <col min="1" max="1" width="4.83203125" style="497" customWidth="1"/>
    <col min="2" max="2" width="44.5" style="497" customWidth="1"/>
    <col min="3" max="3" width="21.16015625" style="497" customWidth="1"/>
    <col min="4" max="4" width="21" style="497" customWidth="1"/>
    <col min="5" max="5" width="15.66015625" style="497" customWidth="1"/>
    <col min="6" max="6" width="15.83203125" style="497" customWidth="1"/>
    <col min="7" max="8" width="12" style="511" customWidth="1"/>
    <col min="9" max="16384" width="9.33203125" style="497" customWidth="1"/>
  </cols>
  <sheetData>
    <row r="1" spans="1:6" ht="11.25" customHeight="1">
      <c r="A1" s="568" t="s">
        <v>23</v>
      </c>
      <c r="B1" s="568"/>
      <c r="C1" s="568"/>
      <c r="D1" s="568"/>
      <c r="E1" s="568"/>
      <c r="F1" s="568"/>
    </row>
    <row r="2" spans="1:6" ht="11.25" customHeight="1">
      <c r="A2" s="570" t="s">
        <v>275</v>
      </c>
      <c r="B2" s="570"/>
      <c r="C2" s="570"/>
      <c r="D2" s="570"/>
      <c r="E2" s="570"/>
      <c r="F2" s="570"/>
    </row>
    <row r="3" spans="1:6" ht="11.25" customHeight="1">
      <c r="A3" s="571">
        <f>'Pg 1 CofCap'!A5</f>
        <v>41364</v>
      </c>
      <c r="B3" s="571"/>
      <c r="C3" s="571"/>
      <c r="D3" s="571"/>
      <c r="E3" s="571"/>
      <c r="F3" s="571"/>
    </row>
    <row r="4" spans="1:6" ht="12">
      <c r="A4" s="34"/>
      <c r="B4" s="32"/>
      <c r="C4" s="31"/>
      <c r="D4" s="31"/>
      <c r="E4" s="31"/>
      <c r="F4" s="31"/>
    </row>
    <row r="5" spans="1:6" ht="12">
      <c r="A5" s="285" t="s">
        <v>3</v>
      </c>
      <c r="B5" s="285" t="s">
        <v>25</v>
      </c>
      <c r="C5" s="285" t="s">
        <v>50</v>
      </c>
      <c r="D5" s="285" t="s">
        <v>61</v>
      </c>
      <c r="E5" s="285" t="s">
        <v>62</v>
      </c>
      <c r="F5" s="285" t="s">
        <v>63</v>
      </c>
    </row>
    <row r="6" spans="1:6" ht="11.25" customHeight="1">
      <c r="A6" s="31"/>
      <c r="B6" s="286"/>
      <c r="C6" s="286"/>
      <c r="D6" s="286"/>
      <c r="E6" s="286"/>
      <c r="F6" s="286"/>
    </row>
    <row r="7" spans="1:5" ht="11.25" customHeight="1">
      <c r="A7" s="498"/>
      <c r="B7" s="123"/>
      <c r="C7" s="512"/>
      <c r="D7" s="512"/>
      <c r="E7" s="512"/>
    </row>
    <row r="8" spans="1:6" ht="11.25" customHeight="1">
      <c r="A8" s="498">
        <v>1</v>
      </c>
      <c r="B8" s="287" t="s">
        <v>7</v>
      </c>
      <c r="C8" s="288" t="s">
        <v>160</v>
      </c>
      <c r="D8" s="288" t="s">
        <v>160</v>
      </c>
      <c r="E8" s="288" t="s">
        <v>262</v>
      </c>
      <c r="F8" s="31"/>
    </row>
    <row r="9" spans="1:6" ht="11.25" customHeight="1">
      <c r="A9" s="498">
        <f>A8+1</f>
        <v>2</v>
      </c>
      <c r="B9" s="287"/>
      <c r="C9" s="289" t="s">
        <v>161</v>
      </c>
      <c r="D9" s="289" t="s">
        <v>162</v>
      </c>
      <c r="E9" s="289" t="s">
        <v>263</v>
      </c>
      <c r="F9" s="290" t="s">
        <v>163</v>
      </c>
    </row>
    <row r="10" spans="1:6" ht="11.25" customHeight="1">
      <c r="A10" s="498">
        <f aca="true" t="shared" si="0" ref="A10:A28">A9+1</f>
        <v>3</v>
      </c>
      <c r="B10" s="95" t="s">
        <v>144</v>
      </c>
      <c r="C10" s="291" t="s">
        <v>265</v>
      </c>
      <c r="D10" s="291" t="s">
        <v>264</v>
      </c>
      <c r="E10" s="291">
        <v>18100673</v>
      </c>
      <c r="F10" s="291" t="s">
        <v>164</v>
      </c>
    </row>
    <row r="11" spans="1:6" ht="11.25" customHeight="1">
      <c r="A11" s="498">
        <f t="shared" si="0"/>
        <v>4</v>
      </c>
      <c r="B11" s="95"/>
      <c r="C11" s="292"/>
      <c r="D11" s="31"/>
      <c r="E11" s="31"/>
      <c r="F11" s="31"/>
    </row>
    <row r="12" spans="1:6" ht="12">
      <c r="A12" s="498">
        <f t="shared" si="0"/>
        <v>5</v>
      </c>
      <c r="B12" s="158" t="s">
        <v>60</v>
      </c>
      <c r="C12" s="31"/>
      <c r="D12" s="31"/>
      <c r="E12" s="31"/>
      <c r="F12" s="293"/>
    </row>
    <row r="13" spans="1:6" ht="12">
      <c r="A13" s="498">
        <f t="shared" si="0"/>
        <v>6</v>
      </c>
      <c r="B13" s="31" t="s">
        <v>273</v>
      </c>
      <c r="C13" s="200">
        <v>3054941.94</v>
      </c>
      <c r="D13" s="200">
        <v>3054966.93</v>
      </c>
      <c r="E13" s="200">
        <v>0</v>
      </c>
      <c r="F13" s="293"/>
    </row>
    <row r="14" spans="1:6" ht="12">
      <c r="A14" s="498">
        <f t="shared" si="0"/>
        <v>7</v>
      </c>
      <c r="B14" s="31"/>
      <c r="C14" s="513"/>
      <c r="D14" s="513"/>
      <c r="E14" s="513"/>
      <c r="F14" s="293"/>
    </row>
    <row r="15" spans="1:6" ht="12">
      <c r="A15" s="498">
        <f t="shared" si="0"/>
        <v>8</v>
      </c>
      <c r="B15" s="294">
        <v>41029</v>
      </c>
      <c r="C15" s="513">
        <v>-138860.45</v>
      </c>
      <c r="D15" s="513">
        <v>-138861.6</v>
      </c>
      <c r="E15" s="513">
        <v>0</v>
      </c>
      <c r="F15" s="293"/>
    </row>
    <row r="16" spans="1:9" ht="12">
      <c r="A16" s="498">
        <f t="shared" si="0"/>
        <v>9</v>
      </c>
      <c r="B16" s="294">
        <v>41060</v>
      </c>
      <c r="C16" s="513">
        <v>-138860.45</v>
      </c>
      <c r="D16" s="513">
        <v>-138861.6</v>
      </c>
      <c r="E16" s="513">
        <v>0</v>
      </c>
      <c r="F16" s="293"/>
      <c r="I16" s="514"/>
    </row>
    <row r="17" spans="1:6" ht="12">
      <c r="A17" s="498">
        <f t="shared" si="0"/>
        <v>10</v>
      </c>
      <c r="B17" s="294">
        <v>41090</v>
      </c>
      <c r="C17" s="513">
        <v>-138860.45</v>
      </c>
      <c r="D17" s="513">
        <v>-138861.6</v>
      </c>
      <c r="E17" s="513">
        <v>0</v>
      </c>
      <c r="F17" s="293"/>
    </row>
    <row r="18" spans="1:6" ht="12">
      <c r="A18" s="498">
        <f t="shared" si="0"/>
        <v>11</v>
      </c>
      <c r="B18" s="294">
        <v>41121</v>
      </c>
      <c r="C18" s="513">
        <v>-138860.45</v>
      </c>
      <c r="D18" s="513">
        <v>-138861.6</v>
      </c>
      <c r="E18" s="513">
        <v>0</v>
      </c>
      <c r="F18" s="293"/>
    </row>
    <row r="19" spans="1:6" ht="12">
      <c r="A19" s="498">
        <f t="shared" si="0"/>
        <v>12</v>
      </c>
      <c r="B19" s="294">
        <v>41152</v>
      </c>
      <c r="C19" s="513">
        <v>-138860.45</v>
      </c>
      <c r="D19" s="513">
        <v>-138861.6</v>
      </c>
      <c r="E19" s="513">
        <v>0</v>
      </c>
      <c r="F19" s="293"/>
    </row>
    <row r="20" spans="1:6" ht="12">
      <c r="A20" s="498">
        <f t="shared" si="0"/>
        <v>13</v>
      </c>
      <c r="B20" s="294">
        <v>41182</v>
      </c>
      <c r="C20" s="513">
        <v>-138860.45</v>
      </c>
      <c r="D20" s="513">
        <v>-138861.6</v>
      </c>
      <c r="E20" s="513">
        <v>0</v>
      </c>
      <c r="F20" s="293"/>
    </row>
    <row r="21" spans="1:6" ht="12">
      <c r="A21" s="498">
        <f t="shared" si="0"/>
        <v>14</v>
      </c>
      <c r="B21" s="294">
        <v>41213</v>
      </c>
      <c r="C21" s="513">
        <v>-138860.45</v>
      </c>
      <c r="D21" s="513">
        <v>-138861.6</v>
      </c>
      <c r="E21" s="513">
        <v>0</v>
      </c>
      <c r="F21" s="293"/>
    </row>
    <row r="22" spans="1:6" ht="12">
      <c r="A22" s="498">
        <f t="shared" si="0"/>
        <v>15</v>
      </c>
      <c r="B22" s="294">
        <v>41243</v>
      </c>
      <c r="C22" s="513">
        <v>-138860.45</v>
      </c>
      <c r="D22" s="513">
        <v>-138861.6</v>
      </c>
      <c r="E22" s="513">
        <v>0</v>
      </c>
      <c r="F22" s="293"/>
    </row>
    <row r="23" spans="1:6" ht="12">
      <c r="A23" s="498">
        <f t="shared" si="0"/>
        <v>16</v>
      </c>
      <c r="B23" s="294">
        <v>41274</v>
      </c>
      <c r="C23" s="513">
        <v>-138860.45</v>
      </c>
      <c r="D23" s="513">
        <v>-138861.6</v>
      </c>
      <c r="E23" s="513">
        <v>0</v>
      </c>
      <c r="F23" s="293"/>
    </row>
    <row r="24" spans="1:6" ht="12">
      <c r="A24" s="498">
        <f t="shared" si="0"/>
        <v>17</v>
      </c>
      <c r="B24" s="294">
        <v>41305</v>
      </c>
      <c r="C24" s="513">
        <v>-138860.45</v>
      </c>
      <c r="D24" s="513">
        <v>-138861.6</v>
      </c>
      <c r="E24" s="513">
        <v>0</v>
      </c>
      <c r="F24" s="293"/>
    </row>
    <row r="25" spans="1:6" ht="12">
      <c r="A25" s="498">
        <f t="shared" si="0"/>
        <v>18</v>
      </c>
      <c r="B25" s="294">
        <v>41333</v>
      </c>
      <c r="C25" s="513">
        <f>-13886.05-22950.71</f>
        <v>-36836.759999999995</v>
      </c>
      <c r="D25" s="513">
        <f>-13866.16-22950.9</f>
        <v>-36817.06</v>
      </c>
      <c r="E25" s="513">
        <v>-40540.94</v>
      </c>
      <c r="F25" s="293"/>
    </row>
    <row r="26" spans="1:6" ht="12">
      <c r="A26" s="498">
        <f t="shared" si="0"/>
        <v>19</v>
      </c>
      <c r="B26" s="294">
        <v>41364</v>
      </c>
      <c r="C26" s="513">
        <v>-27618.66</v>
      </c>
      <c r="D26" s="513">
        <v>-27619.22</v>
      </c>
      <c r="E26" s="513">
        <v>-40629.12</v>
      </c>
      <c r="F26" s="293"/>
    </row>
    <row r="27" spans="1:6" ht="12.75" thickBot="1">
      <c r="A27" s="498">
        <f t="shared" si="0"/>
        <v>20</v>
      </c>
      <c r="B27" s="294"/>
      <c r="C27" s="513"/>
      <c r="D27" s="513"/>
      <c r="E27" s="513"/>
      <c r="F27" s="293"/>
    </row>
    <row r="28" spans="1:6" ht="12.75" thickBot="1">
      <c r="A28" s="498">
        <f t="shared" si="0"/>
        <v>21</v>
      </c>
      <c r="B28" s="295" t="s">
        <v>169</v>
      </c>
      <c r="C28" s="297">
        <f>SUM(C15:C27)</f>
        <v>-1453059.9199999997</v>
      </c>
      <c r="D28" s="297">
        <f>SUM(D15:D27)</f>
        <v>-1453052.2800000003</v>
      </c>
      <c r="E28" s="297">
        <f>SUM(E15:E27)</f>
        <v>-81170.06</v>
      </c>
      <c r="F28" s="298">
        <f>SUM(C28:E28)</f>
        <v>-2987282.2600000002</v>
      </c>
    </row>
    <row r="29" spans="1:6" ht="12">
      <c r="A29" s="498"/>
      <c r="B29" s="31"/>
      <c r="C29" s="293"/>
      <c r="D29" s="293"/>
      <c r="E29" s="293"/>
      <c r="F29" s="31"/>
    </row>
    <row r="30" spans="1:6" ht="12">
      <c r="A30" s="498"/>
      <c r="B30" s="31"/>
      <c r="C30" s="296"/>
      <c r="D30" s="296"/>
      <c r="E30" s="296"/>
      <c r="F30" s="31"/>
    </row>
    <row r="31" spans="1:6" ht="12">
      <c r="A31" s="498"/>
      <c r="B31" s="31"/>
      <c r="C31" s="31"/>
      <c r="D31" s="31"/>
      <c r="E31" s="31"/>
      <c r="F31" s="31"/>
    </row>
    <row r="32" ht="11.25">
      <c r="A32" s="498"/>
    </row>
    <row r="33" ht="11.25">
      <c r="A33" s="498"/>
    </row>
    <row r="34" spans="1:2" ht="11.25">
      <c r="A34" s="498"/>
      <c r="B34" s="515"/>
    </row>
    <row r="35" ht="11.25">
      <c r="A35" s="498"/>
    </row>
    <row r="36" ht="11.25">
      <c r="A36" s="498"/>
    </row>
    <row r="37" ht="11.25">
      <c r="A37" s="498"/>
    </row>
    <row r="38" ht="11.25">
      <c r="A38" s="498"/>
    </row>
    <row r="39" ht="409.5">
      <c r="A39" s="498"/>
    </row>
    <row r="40" ht="409.5">
      <c r="A40" s="498"/>
    </row>
    <row r="41" ht="409.5">
      <c r="A41" s="498"/>
    </row>
    <row r="42" spans="1:2" ht="409.5">
      <c r="A42" s="498"/>
      <c r="B42" s="172"/>
    </row>
    <row r="43" ht="409.5">
      <c r="A43" s="498"/>
    </row>
    <row r="44" ht="11.25">
      <c r="A44" s="498"/>
    </row>
    <row r="45" ht="11.25">
      <c r="A45" s="498"/>
    </row>
    <row r="46" ht="11.25">
      <c r="A46" s="498"/>
    </row>
    <row r="47" ht="11.25">
      <c r="A47" s="498"/>
    </row>
    <row r="48" ht="11.25">
      <c r="A48" s="498"/>
    </row>
    <row r="49" spans="1:2" ht="11.25">
      <c r="A49" s="498"/>
      <c r="B49" s="516"/>
    </row>
    <row r="50" spans="1:2" ht="11.25">
      <c r="A50" s="498"/>
      <c r="B50" s="516"/>
    </row>
    <row r="51" spans="1:2" ht="11.25">
      <c r="A51" s="498"/>
      <c r="B51" s="172"/>
    </row>
  </sheetData>
  <sheetProtection/>
  <mergeCells count="3">
    <mergeCell ref="A1:F1"/>
    <mergeCell ref="A2:F2"/>
    <mergeCell ref="A3:F3"/>
  </mergeCells>
  <printOptions horizontalCentered="1" verticalCentered="1"/>
  <pageMargins left="0.79" right="0.67" top="0.44" bottom="0.44" header="0.23" footer="0.17"/>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BA62"/>
  <sheetViews>
    <sheetView workbookViewId="0" topLeftCell="A1">
      <selection activeCell="A1" sqref="A1:IV16384"/>
    </sheetView>
  </sheetViews>
  <sheetFormatPr defaultColWidth="8.83203125" defaultRowHeight="11.25" outlineLevelCol="1"/>
  <cols>
    <col min="1" max="1" width="3.83203125" style="23" customWidth="1"/>
    <col min="2" max="2" width="7" style="21" customWidth="1"/>
    <col min="3" max="3" width="8.33203125" style="21" customWidth="1"/>
    <col min="4" max="5" width="7.16015625" style="21" customWidth="1"/>
    <col min="6" max="6" width="10" style="24" customWidth="1"/>
    <col min="7" max="7" width="9.83203125" style="21" customWidth="1"/>
    <col min="8" max="8" width="8" style="21" customWidth="1"/>
    <col min="9" max="9" width="7.83203125" style="24" customWidth="1"/>
    <col min="10" max="10" width="10.5" style="21" customWidth="1"/>
    <col min="11" max="14" width="9.16015625" style="21" customWidth="1"/>
    <col min="15" max="15" width="9.83203125" style="21" customWidth="1"/>
    <col min="16" max="16" width="9.16015625" style="21" customWidth="1"/>
    <col min="17" max="17" width="9.83203125" style="21" customWidth="1"/>
    <col min="18" max="22" width="8.83203125" style="21" customWidth="1"/>
    <col min="23" max="24" width="6" style="21" customWidth="1"/>
    <col min="25" max="27" width="8.83203125" style="21" hidden="1" customWidth="1" outlineLevel="1"/>
    <col min="28" max="28" width="8.83203125" style="21" customWidth="1" collapsed="1"/>
    <col min="29" max="16384" width="8.83203125" style="21" customWidth="1"/>
  </cols>
  <sheetData>
    <row r="1" spans="1:22" ht="12.75" customHeight="1">
      <c r="A1" s="572" t="s">
        <v>23</v>
      </c>
      <c r="B1" s="572"/>
      <c r="C1" s="572"/>
      <c r="D1" s="572"/>
      <c r="E1" s="572"/>
      <c r="F1" s="572"/>
      <c r="G1" s="572"/>
      <c r="H1" s="572"/>
      <c r="I1" s="572"/>
      <c r="J1" s="572"/>
      <c r="K1" s="572"/>
      <c r="L1" s="572"/>
      <c r="M1" s="572"/>
      <c r="N1" s="572"/>
      <c r="O1" s="572"/>
      <c r="P1" s="572"/>
      <c r="Q1" s="572"/>
      <c r="R1" s="572"/>
      <c r="S1" s="572"/>
      <c r="T1" s="572"/>
      <c r="U1" s="572"/>
      <c r="V1" s="572"/>
    </row>
    <row r="2" spans="1:22" ht="12.75" customHeight="1">
      <c r="A2" s="572" t="s">
        <v>274</v>
      </c>
      <c r="B2" s="572"/>
      <c r="C2" s="572"/>
      <c r="D2" s="572"/>
      <c r="E2" s="572"/>
      <c r="F2" s="572"/>
      <c r="G2" s="572"/>
      <c r="H2" s="572"/>
      <c r="I2" s="572"/>
      <c r="J2" s="572"/>
      <c r="K2" s="572"/>
      <c r="L2" s="572"/>
      <c r="M2" s="572"/>
      <c r="N2" s="572"/>
      <c r="O2" s="572"/>
      <c r="P2" s="572"/>
      <c r="Q2" s="572"/>
      <c r="R2" s="572"/>
      <c r="S2" s="572"/>
      <c r="T2" s="572"/>
      <c r="U2" s="572"/>
      <c r="V2" s="572"/>
    </row>
    <row r="3" spans="1:22" s="40" customFormat="1" ht="12.75" customHeight="1">
      <c r="A3" s="573">
        <f>'Pg 1 CofCap'!A5</f>
        <v>41364</v>
      </c>
      <c r="B3" s="573"/>
      <c r="C3" s="573"/>
      <c r="D3" s="573"/>
      <c r="E3" s="573"/>
      <c r="F3" s="573"/>
      <c r="G3" s="573"/>
      <c r="H3" s="573"/>
      <c r="I3" s="573"/>
      <c r="J3" s="573"/>
      <c r="K3" s="573"/>
      <c r="L3" s="573"/>
      <c r="M3" s="573"/>
      <c r="N3" s="573"/>
      <c r="O3" s="573"/>
      <c r="P3" s="573"/>
      <c r="Q3" s="573"/>
      <c r="R3" s="573"/>
      <c r="S3" s="573"/>
      <c r="T3" s="573"/>
      <c r="U3" s="573"/>
      <c r="V3" s="573"/>
    </row>
    <row r="4" spans="1:22" s="40" customFormat="1" ht="12.75" customHeight="1">
      <c r="A4" s="207"/>
      <c r="B4" s="118"/>
      <c r="C4" s="118"/>
      <c r="D4" s="118"/>
      <c r="E4" s="119"/>
      <c r="F4" s="118"/>
      <c r="G4" s="120"/>
      <c r="H4" s="119"/>
      <c r="I4" s="118"/>
      <c r="J4" s="448"/>
      <c r="K4" s="448"/>
      <c r="L4" s="448"/>
      <c r="M4" s="448"/>
      <c r="N4" s="448"/>
      <c r="O4" s="448"/>
      <c r="P4" s="448"/>
      <c r="Q4" s="448"/>
      <c r="R4" s="448"/>
      <c r="S4" s="448"/>
      <c r="T4" s="448"/>
      <c r="U4" s="448"/>
      <c r="V4" s="448"/>
    </row>
    <row r="5" spans="1:25" ht="10.5" customHeight="1">
      <c r="A5" s="136" t="s">
        <v>3</v>
      </c>
      <c r="B5" s="136" t="s">
        <v>25</v>
      </c>
      <c r="C5" s="136" t="s">
        <v>50</v>
      </c>
      <c r="D5" s="136" t="s">
        <v>61</v>
      </c>
      <c r="E5" s="136" t="s">
        <v>62</v>
      </c>
      <c r="F5" s="136" t="s">
        <v>63</v>
      </c>
      <c r="G5" s="136" t="s">
        <v>64</v>
      </c>
      <c r="H5" s="136" t="s">
        <v>65</v>
      </c>
      <c r="I5" s="136" t="s">
        <v>66</v>
      </c>
      <c r="J5" s="136" t="s">
        <v>68</v>
      </c>
      <c r="K5" s="136" t="s">
        <v>69</v>
      </c>
      <c r="L5" s="136" t="s">
        <v>70</v>
      </c>
      <c r="M5" s="136" t="s">
        <v>71</v>
      </c>
      <c r="N5" s="136" t="s">
        <v>72</v>
      </c>
      <c r="O5" s="136" t="s">
        <v>73</v>
      </c>
      <c r="P5" s="136" t="s">
        <v>84</v>
      </c>
      <c r="Q5" s="136" t="s">
        <v>85</v>
      </c>
      <c r="R5" s="136" t="s">
        <v>86</v>
      </c>
      <c r="S5" s="136" t="s">
        <v>87</v>
      </c>
      <c r="T5" s="136" t="s">
        <v>88</v>
      </c>
      <c r="U5" s="136" t="s">
        <v>89</v>
      </c>
      <c r="V5" s="136" t="s">
        <v>165</v>
      </c>
      <c r="Y5" s="365" t="s">
        <v>196</v>
      </c>
    </row>
    <row r="6" spans="1:26" ht="33.75">
      <c r="A6" s="271">
        <v>1</v>
      </c>
      <c r="B6" s="272" t="s">
        <v>123</v>
      </c>
      <c r="C6" s="272" t="s">
        <v>96</v>
      </c>
      <c r="D6" s="272" t="s">
        <v>55</v>
      </c>
      <c r="E6" s="272" t="s">
        <v>100</v>
      </c>
      <c r="F6" s="272" t="s">
        <v>113</v>
      </c>
      <c r="G6" s="272" t="s">
        <v>81</v>
      </c>
      <c r="H6" s="272" t="s">
        <v>91</v>
      </c>
      <c r="I6" s="272" t="s">
        <v>77</v>
      </c>
      <c r="J6" s="273">
        <f>'Pg 2 CapStructure'!C6</f>
        <v>40999</v>
      </c>
      <c r="K6" s="273">
        <f>'Pg 2 CapStructure'!D6</f>
        <v>41029</v>
      </c>
      <c r="L6" s="273">
        <f>'Pg 2 CapStructure'!E6</f>
        <v>41060</v>
      </c>
      <c r="M6" s="273">
        <f>'Pg 2 CapStructure'!F6</f>
        <v>41090</v>
      </c>
      <c r="N6" s="273">
        <f>'Pg 2 CapStructure'!G6</f>
        <v>41121</v>
      </c>
      <c r="O6" s="273">
        <f>'Pg 2 CapStructure'!H6</f>
        <v>41152</v>
      </c>
      <c r="P6" s="273">
        <f>'Pg 2 CapStructure'!I6</f>
        <v>41182</v>
      </c>
      <c r="Q6" s="273">
        <f>'Pg 2 CapStructure'!J6</f>
        <v>41213</v>
      </c>
      <c r="R6" s="273">
        <f>'Pg 2 CapStructure'!K6</f>
        <v>41243</v>
      </c>
      <c r="S6" s="273">
        <f>'Pg 2 CapStructure'!L6</f>
        <v>41274</v>
      </c>
      <c r="T6" s="273">
        <f>'Pg 2 CapStructure'!M6</f>
        <v>41305</v>
      </c>
      <c r="U6" s="273">
        <f>'Pg 2 CapStructure'!N6</f>
        <v>41333</v>
      </c>
      <c r="V6" s="273">
        <f>'Pg 2 CapStructure'!O6</f>
        <v>41364</v>
      </c>
      <c r="Y6" s="366" t="s">
        <v>36</v>
      </c>
      <c r="Z6" s="366" t="s">
        <v>197</v>
      </c>
    </row>
    <row r="7" spans="1:25" ht="12.75">
      <c r="A7" s="100">
        <f>A6+1</f>
        <v>2</v>
      </c>
      <c r="B7" s="104" t="s">
        <v>20</v>
      </c>
      <c r="C7" s="219">
        <v>0.0683</v>
      </c>
      <c r="D7" s="220">
        <v>34199</v>
      </c>
      <c r="E7" s="220">
        <v>41505</v>
      </c>
      <c r="F7" s="211">
        <f aca="true" t="shared" si="0" ref="F7:F24">ROUND(((+J7+V7)+(SUM(K7:U7)*2))/24,0)</f>
        <v>3000000</v>
      </c>
      <c r="G7" s="221">
        <v>98.81392</v>
      </c>
      <c r="H7" s="138">
        <f aca="true" t="shared" si="1" ref="H7:H17">ROUND(YIELD(D7,E7,C7,G7,100,2,2),4)</f>
        <v>0.0694</v>
      </c>
      <c r="I7" s="211">
        <f aca="true" t="shared" si="2" ref="I7:I17">ROUND(+H7*F7,0)</f>
        <v>208200</v>
      </c>
      <c r="J7" s="211">
        <v>3000000</v>
      </c>
      <c r="K7" s="211">
        <v>3000000</v>
      </c>
      <c r="L7" s="211">
        <v>3000000</v>
      </c>
      <c r="M7" s="211">
        <v>3000000</v>
      </c>
      <c r="N7" s="211">
        <v>3000000</v>
      </c>
      <c r="O7" s="211">
        <v>3000000</v>
      </c>
      <c r="P7" s="211">
        <v>3000000</v>
      </c>
      <c r="Q7" s="211">
        <v>3000000</v>
      </c>
      <c r="R7" s="211">
        <v>3000000</v>
      </c>
      <c r="S7" s="211">
        <v>3000000</v>
      </c>
      <c r="T7" s="211">
        <v>3000000</v>
      </c>
      <c r="U7" s="211">
        <v>3000000</v>
      </c>
      <c r="V7" s="211">
        <v>3000000</v>
      </c>
      <c r="Y7" s="211">
        <f aca="true" t="shared" si="3" ref="Y7:Y29">H7*V7</f>
        <v>208200</v>
      </c>
    </row>
    <row r="8" spans="1:25" ht="12.75">
      <c r="A8" s="100">
        <f>A7+1</f>
        <v>3</v>
      </c>
      <c r="B8" s="104" t="s">
        <v>20</v>
      </c>
      <c r="C8" s="219">
        <v>0.069</v>
      </c>
      <c r="D8" s="220">
        <v>34242</v>
      </c>
      <c r="E8" s="220">
        <v>41548</v>
      </c>
      <c r="F8" s="211">
        <f t="shared" si="0"/>
        <v>10000000</v>
      </c>
      <c r="G8" s="221">
        <v>98.82208</v>
      </c>
      <c r="H8" s="138">
        <f t="shared" si="1"/>
        <v>0.0701</v>
      </c>
      <c r="I8" s="211">
        <f t="shared" si="2"/>
        <v>701000</v>
      </c>
      <c r="J8" s="211">
        <v>10000000</v>
      </c>
      <c r="K8" s="211">
        <v>10000000</v>
      </c>
      <c r="L8" s="211">
        <v>10000000</v>
      </c>
      <c r="M8" s="211">
        <v>10000000</v>
      </c>
      <c r="N8" s="211">
        <v>10000000</v>
      </c>
      <c r="O8" s="211">
        <v>10000000</v>
      </c>
      <c r="P8" s="211">
        <v>10000000</v>
      </c>
      <c r="Q8" s="211">
        <v>10000000</v>
      </c>
      <c r="R8" s="211">
        <v>10000000</v>
      </c>
      <c r="S8" s="211">
        <v>10000000</v>
      </c>
      <c r="T8" s="211">
        <v>10000000</v>
      </c>
      <c r="U8" s="211">
        <v>10000000</v>
      </c>
      <c r="V8" s="211">
        <v>10000000</v>
      </c>
      <c r="Y8" s="211">
        <f t="shared" si="3"/>
        <v>701000</v>
      </c>
    </row>
    <row r="9" spans="1:25" ht="12.75">
      <c r="A9" s="100">
        <f>A8+1</f>
        <v>4</v>
      </c>
      <c r="B9" s="104" t="s">
        <v>21</v>
      </c>
      <c r="C9" s="219">
        <v>0.0735</v>
      </c>
      <c r="D9" s="220">
        <v>34953</v>
      </c>
      <c r="E9" s="220">
        <v>42258</v>
      </c>
      <c r="F9" s="211">
        <f t="shared" si="0"/>
        <v>10000000</v>
      </c>
      <c r="G9" s="221">
        <v>98.84387199999999</v>
      </c>
      <c r="H9" s="138">
        <f t="shared" si="1"/>
        <v>0.0746</v>
      </c>
      <c r="I9" s="211">
        <f t="shared" si="2"/>
        <v>746000</v>
      </c>
      <c r="J9" s="211">
        <v>10000000</v>
      </c>
      <c r="K9" s="211">
        <v>10000000</v>
      </c>
      <c r="L9" s="211">
        <v>10000000</v>
      </c>
      <c r="M9" s="211">
        <v>10000000</v>
      </c>
      <c r="N9" s="211">
        <v>10000000</v>
      </c>
      <c r="O9" s="211">
        <v>10000000</v>
      </c>
      <c r="P9" s="211">
        <v>10000000</v>
      </c>
      <c r="Q9" s="211">
        <v>10000000</v>
      </c>
      <c r="R9" s="211">
        <v>10000000</v>
      </c>
      <c r="S9" s="211">
        <v>10000000</v>
      </c>
      <c r="T9" s="211">
        <v>10000000</v>
      </c>
      <c r="U9" s="211">
        <v>10000000</v>
      </c>
      <c r="V9" s="211">
        <v>10000000</v>
      </c>
      <c r="Y9" s="211">
        <f t="shared" si="3"/>
        <v>746000</v>
      </c>
    </row>
    <row r="10" spans="1:25" ht="12.75">
      <c r="A10" s="100">
        <f>A9+1</f>
        <v>5</v>
      </c>
      <c r="B10" s="104" t="s">
        <v>21</v>
      </c>
      <c r="C10" s="219">
        <v>0.0736</v>
      </c>
      <c r="D10" s="220">
        <v>34953</v>
      </c>
      <c r="E10" s="220">
        <v>42262</v>
      </c>
      <c r="F10" s="211">
        <f t="shared" si="0"/>
        <v>2000000</v>
      </c>
      <c r="G10" s="221">
        <v>98.84392</v>
      </c>
      <c r="H10" s="138">
        <f t="shared" si="1"/>
        <v>0.0747</v>
      </c>
      <c r="I10" s="211">
        <f t="shared" si="2"/>
        <v>149400</v>
      </c>
      <c r="J10" s="211">
        <v>2000000</v>
      </c>
      <c r="K10" s="211">
        <v>2000000</v>
      </c>
      <c r="L10" s="211">
        <v>2000000</v>
      </c>
      <c r="M10" s="211">
        <v>2000000</v>
      </c>
      <c r="N10" s="211">
        <v>2000000</v>
      </c>
      <c r="O10" s="211">
        <v>2000000</v>
      </c>
      <c r="P10" s="211">
        <v>2000000</v>
      </c>
      <c r="Q10" s="211">
        <v>2000000</v>
      </c>
      <c r="R10" s="211">
        <v>2000000</v>
      </c>
      <c r="S10" s="211">
        <v>2000000</v>
      </c>
      <c r="T10" s="211">
        <v>2000000</v>
      </c>
      <c r="U10" s="211">
        <v>2000000</v>
      </c>
      <c r="V10" s="211">
        <v>2000000</v>
      </c>
      <c r="Y10" s="211">
        <f t="shared" si="3"/>
        <v>149400</v>
      </c>
    </row>
    <row r="11" spans="1:25" ht="12.75">
      <c r="A11" s="100">
        <f>A10+1</f>
        <v>6</v>
      </c>
      <c r="B11" s="104" t="s">
        <v>92</v>
      </c>
      <c r="C11" s="219">
        <v>0.05197</v>
      </c>
      <c r="D11" s="220">
        <v>38637</v>
      </c>
      <c r="E11" s="220">
        <v>42278</v>
      </c>
      <c r="F11" s="211">
        <f>ROUND(((+J11+V11)+(SUM(K11:U11)*2))/24,0)</f>
        <v>150000000</v>
      </c>
      <c r="G11" s="221">
        <v>99.19303999333334</v>
      </c>
      <c r="H11" s="138">
        <f t="shared" si="1"/>
        <v>0.053</v>
      </c>
      <c r="I11" s="211">
        <f>ROUND(+H11*F11,0)</f>
        <v>7950000</v>
      </c>
      <c r="J11" s="211">
        <v>150000000</v>
      </c>
      <c r="K11" s="211">
        <v>150000000</v>
      </c>
      <c r="L11" s="211">
        <v>150000000</v>
      </c>
      <c r="M11" s="211">
        <v>150000000</v>
      </c>
      <c r="N11" s="211">
        <v>150000000</v>
      </c>
      <c r="O11" s="211">
        <v>150000000</v>
      </c>
      <c r="P11" s="211">
        <v>150000000</v>
      </c>
      <c r="Q11" s="211">
        <v>150000000</v>
      </c>
      <c r="R11" s="211">
        <v>150000000</v>
      </c>
      <c r="S11" s="211">
        <v>150000000</v>
      </c>
      <c r="T11" s="211">
        <v>150000000</v>
      </c>
      <c r="U11" s="211">
        <v>150000000</v>
      </c>
      <c r="V11" s="211">
        <v>150000000</v>
      </c>
      <c r="Y11" s="211">
        <f t="shared" si="3"/>
        <v>7950000</v>
      </c>
    </row>
    <row r="12" spans="1:25" ht="12.75">
      <c r="A12" s="100">
        <f aca="true" t="shared" si="4" ref="A12:A36">A11+1</f>
        <v>7</v>
      </c>
      <c r="B12" s="104" t="s">
        <v>92</v>
      </c>
      <c r="C12" s="219">
        <v>0.0675</v>
      </c>
      <c r="D12" s="220">
        <v>39836</v>
      </c>
      <c r="E12" s="220">
        <v>42384</v>
      </c>
      <c r="F12" s="211">
        <f>ROUND(((+J12+V12)+(SUM(K12:U12)*2))/24,0)</f>
        <v>250000000</v>
      </c>
      <c r="G12" s="221">
        <v>99.2399</v>
      </c>
      <c r="H12" s="138">
        <f t="shared" si="1"/>
        <v>0.0689</v>
      </c>
      <c r="I12" s="211">
        <f>ROUND(+H12*F12,0)</f>
        <v>17225000</v>
      </c>
      <c r="J12" s="211">
        <v>250000000</v>
      </c>
      <c r="K12" s="211">
        <v>250000000</v>
      </c>
      <c r="L12" s="211">
        <v>250000000</v>
      </c>
      <c r="M12" s="211">
        <v>250000000</v>
      </c>
      <c r="N12" s="211">
        <v>250000000</v>
      </c>
      <c r="O12" s="211">
        <v>250000000</v>
      </c>
      <c r="P12" s="211">
        <v>250000000</v>
      </c>
      <c r="Q12" s="211">
        <v>250000000</v>
      </c>
      <c r="R12" s="211">
        <v>250000000</v>
      </c>
      <c r="S12" s="211">
        <v>250000000</v>
      </c>
      <c r="T12" s="211">
        <v>250000000</v>
      </c>
      <c r="U12" s="211">
        <v>250000000</v>
      </c>
      <c r="V12" s="211">
        <v>250000000</v>
      </c>
      <c r="Y12" s="211">
        <f t="shared" si="3"/>
        <v>17225000</v>
      </c>
    </row>
    <row r="13" spans="1:25" ht="12.75">
      <c r="A13" s="100">
        <f t="shared" si="4"/>
        <v>8</v>
      </c>
      <c r="B13" s="104" t="s">
        <v>19</v>
      </c>
      <c r="C13" s="219">
        <v>0.0674</v>
      </c>
      <c r="D13" s="220">
        <v>35961</v>
      </c>
      <c r="E13" s="220">
        <v>43266</v>
      </c>
      <c r="F13" s="211">
        <f t="shared" si="0"/>
        <v>200000000</v>
      </c>
      <c r="G13" s="221">
        <v>98.98509159000001</v>
      </c>
      <c r="H13" s="138">
        <f t="shared" si="1"/>
        <v>0.0683</v>
      </c>
      <c r="I13" s="211">
        <f t="shared" si="2"/>
        <v>13660000</v>
      </c>
      <c r="J13" s="211">
        <v>200000000</v>
      </c>
      <c r="K13" s="211">
        <v>200000000</v>
      </c>
      <c r="L13" s="211">
        <v>200000000</v>
      </c>
      <c r="M13" s="211">
        <v>200000000</v>
      </c>
      <c r="N13" s="211">
        <v>200000000</v>
      </c>
      <c r="O13" s="211">
        <v>200000000</v>
      </c>
      <c r="P13" s="211">
        <v>200000000</v>
      </c>
      <c r="Q13" s="211">
        <v>200000000</v>
      </c>
      <c r="R13" s="211">
        <v>200000000</v>
      </c>
      <c r="S13" s="211">
        <v>200000000</v>
      </c>
      <c r="T13" s="211">
        <v>200000000</v>
      </c>
      <c r="U13" s="211">
        <v>200000000</v>
      </c>
      <c r="V13" s="211">
        <v>200000000</v>
      </c>
      <c r="Y13" s="211">
        <f t="shared" si="3"/>
        <v>13660000</v>
      </c>
    </row>
    <row r="14" spans="1:26" s="231" customFormat="1" ht="12.75">
      <c r="A14" s="100">
        <f>A13+1</f>
        <v>9</v>
      </c>
      <c r="B14" s="104" t="s">
        <v>21</v>
      </c>
      <c r="C14" s="219">
        <v>0.0715</v>
      </c>
      <c r="D14" s="220">
        <v>35053</v>
      </c>
      <c r="E14" s="220">
        <v>46010</v>
      </c>
      <c r="F14" s="211">
        <f t="shared" si="0"/>
        <v>15000000</v>
      </c>
      <c r="G14" s="221">
        <v>99.211912</v>
      </c>
      <c r="H14" s="138">
        <f t="shared" si="1"/>
        <v>0.0721</v>
      </c>
      <c r="I14" s="211">
        <f t="shared" si="2"/>
        <v>1081500</v>
      </c>
      <c r="J14" s="211">
        <v>15000000</v>
      </c>
      <c r="K14" s="211">
        <v>15000000</v>
      </c>
      <c r="L14" s="211">
        <v>15000000</v>
      </c>
      <c r="M14" s="211">
        <v>15000000</v>
      </c>
      <c r="N14" s="211">
        <v>15000000</v>
      </c>
      <c r="O14" s="211">
        <v>15000000</v>
      </c>
      <c r="P14" s="211">
        <v>15000000</v>
      </c>
      <c r="Q14" s="211">
        <v>15000000</v>
      </c>
      <c r="R14" s="211">
        <v>15000000</v>
      </c>
      <c r="S14" s="211">
        <v>15000000</v>
      </c>
      <c r="T14" s="211">
        <v>15000000</v>
      </c>
      <c r="U14" s="211">
        <v>15000000</v>
      </c>
      <c r="V14" s="211">
        <v>15000000</v>
      </c>
      <c r="Y14" s="211">
        <f t="shared" si="3"/>
        <v>1081500</v>
      </c>
      <c r="Z14" s="21"/>
    </row>
    <row r="15" spans="1:25" s="231" customFormat="1" ht="12.75">
      <c r="A15" s="100">
        <f t="shared" si="4"/>
        <v>10</v>
      </c>
      <c r="B15" s="104" t="s">
        <v>21</v>
      </c>
      <c r="C15" s="219">
        <v>0.072</v>
      </c>
      <c r="D15" s="220">
        <v>35054</v>
      </c>
      <c r="E15" s="220">
        <v>46013</v>
      </c>
      <c r="F15" s="211">
        <f t="shared" si="0"/>
        <v>2000000</v>
      </c>
      <c r="G15" s="221">
        <v>99.2116</v>
      </c>
      <c r="H15" s="138">
        <f t="shared" si="1"/>
        <v>0.0726</v>
      </c>
      <c r="I15" s="211">
        <f t="shared" si="2"/>
        <v>145200</v>
      </c>
      <c r="J15" s="211">
        <v>2000000</v>
      </c>
      <c r="K15" s="211">
        <v>2000000</v>
      </c>
      <c r="L15" s="211">
        <v>2000000</v>
      </c>
      <c r="M15" s="211">
        <v>2000000</v>
      </c>
      <c r="N15" s="211">
        <v>2000000</v>
      </c>
      <c r="O15" s="211">
        <v>2000000</v>
      </c>
      <c r="P15" s="211">
        <v>2000000</v>
      </c>
      <c r="Q15" s="211">
        <v>2000000</v>
      </c>
      <c r="R15" s="211">
        <v>2000000</v>
      </c>
      <c r="S15" s="211">
        <v>2000000</v>
      </c>
      <c r="T15" s="211">
        <v>2000000</v>
      </c>
      <c r="U15" s="211">
        <v>2000000</v>
      </c>
      <c r="V15" s="211">
        <v>2000000</v>
      </c>
      <c r="Y15" s="211">
        <f t="shared" si="3"/>
        <v>145200</v>
      </c>
    </row>
    <row r="16" spans="1:25" s="231" customFormat="1" ht="12.75">
      <c r="A16" s="100">
        <f t="shared" si="4"/>
        <v>11</v>
      </c>
      <c r="B16" s="104" t="s">
        <v>19</v>
      </c>
      <c r="C16" s="219">
        <v>0.0702</v>
      </c>
      <c r="D16" s="220">
        <v>35786</v>
      </c>
      <c r="E16" s="220">
        <v>46722</v>
      </c>
      <c r="F16" s="211">
        <f t="shared" si="0"/>
        <v>300000000</v>
      </c>
      <c r="G16" s="221">
        <v>98.98573577666666</v>
      </c>
      <c r="H16" s="138">
        <f t="shared" si="1"/>
        <v>0.071</v>
      </c>
      <c r="I16" s="211">
        <f t="shared" si="2"/>
        <v>21300000</v>
      </c>
      <c r="J16" s="211">
        <v>300000000</v>
      </c>
      <c r="K16" s="211">
        <v>300000000</v>
      </c>
      <c r="L16" s="211">
        <v>300000000</v>
      </c>
      <c r="M16" s="211">
        <v>300000000</v>
      </c>
      <c r="N16" s="211">
        <v>300000000</v>
      </c>
      <c r="O16" s="211">
        <v>300000000</v>
      </c>
      <c r="P16" s="211">
        <v>300000000</v>
      </c>
      <c r="Q16" s="211">
        <v>300000000</v>
      </c>
      <c r="R16" s="211">
        <v>300000000</v>
      </c>
      <c r="S16" s="211">
        <v>300000000</v>
      </c>
      <c r="T16" s="211">
        <v>300000000</v>
      </c>
      <c r="U16" s="211">
        <v>300000000</v>
      </c>
      <c r="V16" s="211">
        <v>300000000</v>
      </c>
      <c r="Y16" s="211">
        <f t="shared" si="3"/>
        <v>21299999.999999996</v>
      </c>
    </row>
    <row r="17" spans="1:26" ht="12.75">
      <c r="A17" s="100">
        <f t="shared" si="4"/>
        <v>12</v>
      </c>
      <c r="B17" s="104" t="s">
        <v>20</v>
      </c>
      <c r="C17" s="219">
        <v>0.07</v>
      </c>
      <c r="D17" s="220">
        <v>36228</v>
      </c>
      <c r="E17" s="220">
        <v>47186</v>
      </c>
      <c r="F17" s="211">
        <f t="shared" si="0"/>
        <v>100000000</v>
      </c>
      <c r="G17" s="221">
        <v>99.04287054999999</v>
      </c>
      <c r="H17" s="138">
        <f t="shared" si="1"/>
        <v>0.0708</v>
      </c>
      <c r="I17" s="211">
        <f t="shared" si="2"/>
        <v>7080000</v>
      </c>
      <c r="J17" s="211">
        <v>100000000</v>
      </c>
      <c r="K17" s="211">
        <v>100000000</v>
      </c>
      <c r="L17" s="211">
        <v>100000000</v>
      </c>
      <c r="M17" s="211">
        <v>100000000</v>
      </c>
      <c r="N17" s="211">
        <v>100000000</v>
      </c>
      <c r="O17" s="211">
        <v>100000000</v>
      </c>
      <c r="P17" s="211">
        <v>100000000</v>
      </c>
      <c r="Q17" s="211">
        <v>100000000</v>
      </c>
      <c r="R17" s="211">
        <v>100000000</v>
      </c>
      <c r="S17" s="211">
        <v>100000000</v>
      </c>
      <c r="T17" s="211">
        <v>100000000</v>
      </c>
      <c r="U17" s="211">
        <v>100000000</v>
      </c>
      <c r="V17" s="211">
        <v>100000000</v>
      </c>
      <c r="Y17" s="211">
        <f t="shared" si="3"/>
        <v>7080000</v>
      </c>
      <c r="Z17" s="231"/>
    </row>
    <row r="18" spans="1:26" ht="12.75">
      <c r="A18" s="100">
        <f t="shared" si="4"/>
        <v>13</v>
      </c>
      <c r="B18" s="222" t="s">
        <v>22</v>
      </c>
      <c r="C18" s="219">
        <v>0.05</v>
      </c>
      <c r="D18" s="223">
        <v>37691</v>
      </c>
      <c r="E18" s="224">
        <v>47908</v>
      </c>
      <c r="F18" s="211">
        <f t="shared" si="0"/>
        <v>138460000</v>
      </c>
      <c r="G18" s="221">
        <v>95.54894488660986</v>
      </c>
      <c r="H18" s="202">
        <f>ROUND(YIELD(D18,E18,C18,G18,100,2,2),4)+(309557/132297070)</f>
        <v>0.055439862855617285</v>
      </c>
      <c r="I18" s="211">
        <f aca="true" t="shared" si="5" ref="I18:I24">ROUND(+H18*F18,0)</f>
        <v>7676203</v>
      </c>
      <c r="J18" s="211">
        <v>138460000</v>
      </c>
      <c r="K18" s="211">
        <v>138460000</v>
      </c>
      <c r="L18" s="211">
        <v>138460000</v>
      </c>
      <c r="M18" s="211">
        <v>138460000</v>
      </c>
      <c r="N18" s="211">
        <v>138460000</v>
      </c>
      <c r="O18" s="211">
        <v>138460000</v>
      </c>
      <c r="P18" s="211">
        <v>138460000</v>
      </c>
      <c r="Q18" s="211">
        <v>138460000</v>
      </c>
      <c r="R18" s="211">
        <v>138460000</v>
      </c>
      <c r="S18" s="211">
        <v>138460000</v>
      </c>
      <c r="T18" s="211">
        <v>138460000</v>
      </c>
      <c r="U18" s="211">
        <v>138460000</v>
      </c>
      <c r="V18" s="211">
        <v>138460000</v>
      </c>
      <c r="Y18" s="211">
        <f t="shared" si="3"/>
        <v>7676203.4109887695</v>
      </c>
      <c r="Z18" s="231"/>
    </row>
    <row r="19" spans="1:25" ht="12.75">
      <c r="A19" s="100">
        <f t="shared" si="4"/>
        <v>14</v>
      </c>
      <c r="B19" s="222" t="s">
        <v>22</v>
      </c>
      <c r="C19" s="219">
        <v>0.051</v>
      </c>
      <c r="D19" s="223">
        <v>37691</v>
      </c>
      <c r="E19" s="224">
        <v>47908</v>
      </c>
      <c r="F19" s="211">
        <f t="shared" si="0"/>
        <v>23400000</v>
      </c>
      <c r="G19" s="221">
        <v>95.54894568376068</v>
      </c>
      <c r="H19" s="202">
        <f>ROUND(YIELD(D19,E19,C19,G19,100,2,2),4)+(54628/22358453)</f>
        <v>0.0565432817422565</v>
      </c>
      <c r="I19" s="211">
        <f t="shared" si="5"/>
        <v>1323113</v>
      </c>
      <c r="J19" s="211">
        <v>23400000</v>
      </c>
      <c r="K19" s="211">
        <v>23400000</v>
      </c>
      <c r="L19" s="211">
        <v>23400000</v>
      </c>
      <c r="M19" s="211">
        <v>23400000</v>
      </c>
      <c r="N19" s="211">
        <v>23400000</v>
      </c>
      <c r="O19" s="211">
        <v>23400000</v>
      </c>
      <c r="P19" s="211">
        <v>23400000</v>
      </c>
      <c r="Q19" s="211">
        <v>23400000</v>
      </c>
      <c r="R19" s="211">
        <v>23400000</v>
      </c>
      <c r="S19" s="211">
        <v>23400000</v>
      </c>
      <c r="T19" s="211">
        <v>23400000</v>
      </c>
      <c r="U19" s="211">
        <v>23400000</v>
      </c>
      <c r="V19" s="211">
        <v>23400000</v>
      </c>
      <c r="Y19" s="211">
        <f t="shared" si="3"/>
        <v>1323112.792768802</v>
      </c>
    </row>
    <row r="20" spans="1:25" ht="12.75">
      <c r="A20" s="100">
        <f t="shared" si="4"/>
        <v>15</v>
      </c>
      <c r="B20" s="104" t="s">
        <v>92</v>
      </c>
      <c r="C20" s="219">
        <v>0.05483</v>
      </c>
      <c r="D20" s="220">
        <v>38499</v>
      </c>
      <c r="E20" s="220">
        <v>49461</v>
      </c>
      <c r="F20" s="211">
        <f t="shared" si="0"/>
        <v>250000000</v>
      </c>
      <c r="G20" s="221">
        <v>84.886606836</v>
      </c>
      <c r="H20" s="138">
        <f aca="true" t="shared" si="6" ref="H20:H29">ROUND(YIELD(D20,E20,C20,G20,100,2,2),4)</f>
        <v>0.0665</v>
      </c>
      <c r="I20" s="214">
        <f t="shared" si="5"/>
        <v>16625000</v>
      </c>
      <c r="J20" s="214">
        <v>250000000</v>
      </c>
      <c r="K20" s="214">
        <v>250000000</v>
      </c>
      <c r="L20" s="214">
        <v>250000000</v>
      </c>
      <c r="M20" s="214">
        <v>250000000</v>
      </c>
      <c r="N20" s="214">
        <v>250000000</v>
      </c>
      <c r="O20" s="214">
        <v>250000000</v>
      </c>
      <c r="P20" s="214">
        <v>250000000</v>
      </c>
      <c r="Q20" s="214">
        <v>250000000</v>
      </c>
      <c r="R20" s="214">
        <v>250000000</v>
      </c>
      <c r="S20" s="214">
        <v>250000000</v>
      </c>
      <c r="T20" s="214">
        <v>250000000</v>
      </c>
      <c r="U20" s="214">
        <v>250000000</v>
      </c>
      <c r="V20" s="214">
        <v>250000000</v>
      </c>
      <c r="Y20" s="211">
        <f t="shared" si="3"/>
        <v>16625000</v>
      </c>
    </row>
    <row r="21" spans="1:25" ht="12.75">
      <c r="A21" s="100">
        <f t="shared" si="4"/>
        <v>16</v>
      </c>
      <c r="B21" s="104" t="s">
        <v>92</v>
      </c>
      <c r="C21" s="219">
        <v>0.06724</v>
      </c>
      <c r="D21" s="220">
        <v>38898</v>
      </c>
      <c r="E21" s="220">
        <v>49841</v>
      </c>
      <c r="F21" s="211">
        <f>ROUND(((+J21+V21)+(SUM(K21:U21)*2))/24,0)</f>
        <v>250000000</v>
      </c>
      <c r="G21" s="221">
        <v>107.515271756</v>
      </c>
      <c r="H21" s="138">
        <f t="shared" si="6"/>
        <v>0.0617</v>
      </c>
      <c r="I21" s="214">
        <f t="shared" si="5"/>
        <v>15425000</v>
      </c>
      <c r="J21" s="214">
        <v>250000000</v>
      </c>
      <c r="K21" s="214">
        <v>250000000</v>
      </c>
      <c r="L21" s="214">
        <v>250000000</v>
      </c>
      <c r="M21" s="214">
        <v>250000000</v>
      </c>
      <c r="N21" s="214">
        <v>250000000</v>
      </c>
      <c r="O21" s="214">
        <v>250000000</v>
      </c>
      <c r="P21" s="214">
        <v>250000000</v>
      </c>
      <c r="Q21" s="214">
        <v>250000000</v>
      </c>
      <c r="R21" s="214">
        <v>250000000</v>
      </c>
      <c r="S21" s="214">
        <v>250000000</v>
      </c>
      <c r="T21" s="214">
        <v>250000000</v>
      </c>
      <c r="U21" s="214">
        <v>250000000</v>
      </c>
      <c r="V21" s="214">
        <v>250000000</v>
      </c>
      <c r="Y21" s="211">
        <f t="shared" si="3"/>
        <v>15425000</v>
      </c>
    </row>
    <row r="22" spans="1:25" ht="12.75">
      <c r="A22" s="100">
        <f t="shared" si="4"/>
        <v>17</v>
      </c>
      <c r="B22" s="104" t="s">
        <v>92</v>
      </c>
      <c r="C22" s="219">
        <v>0.06274</v>
      </c>
      <c r="D22" s="220">
        <v>38978</v>
      </c>
      <c r="E22" s="220">
        <v>50114</v>
      </c>
      <c r="F22" s="211">
        <f t="shared" si="0"/>
        <v>300000000</v>
      </c>
      <c r="G22" s="221">
        <v>98.8127</v>
      </c>
      <c r="H22" s="138">
        <f t="shared" si="6"/>
        <v>0.0636</v>
      </c>
      <c r="I22" s="214">
        <f t="shared" si="5"/>
        <v>19080000</v>
      </c>
      <c r="J22" s="214">
        <v>300000000</v>
      </c>
      <c r="K22" s="214">
        <v>300000000</v>
      </c>
      <c r="L22" s="214">
        <v>300000000</v>
      </c>
      <c r="M22" s="214">
        <v>300000000</v>
      </c>
      <c r="N22" s="214">
        <v>300000000</v>
      </c>
      <c r="O22" s="214">
        <v>300000000</v>
      </c>
      <c r="P22" s="214">
        <v>300000000</v>
      </c>
      <c r="Q22" s="214">
        <v>300000000</v>
      </c>
      <c r="R22" s="214">
        <v>300000000</v>
      </c>
      <c r="S22" s="214">
        <v>300000000</v>
      </c>
      <c r="T22" s="214">
        <v>300000000</v>
      </c>
      <c r="U22" s="214">
        <v>300000000</v>
      </c>
      <c r="V22" s="214">
        <v>300000000</v>
      </c>
      <c r="Y22" s="211">
        <f t="shared" si="3"/>
        <v>19080000</v>
      </c>
    </row>
    <row r="23" spans="1:25" ht="12.75">
      <c r="A23" s="100">
        <f t="shared" si="4"/>
        <v>18</v>
      </c>
      <c r="B23" s="104" t="s">
        <v>92</v>
      </c>
      <c r="C23" s="219">
        <v>0.05757</v>
      </c>
      <c r="D23" s="220">
        <v>40067</v>
      </c>
      <c r="E23" s="220">
        <v>51058</v>
      </c>
      <c r="F23" s="211">
        <f t="shared" si="0"/>
        <v>350000000</v>
      </c>
      <c r="G23" s="221">
        <v>98.9836</v>
      </c>
      <c r="H23" s="138">
        <f t="shared" si="6"/>
        <v>0.0583</v>
      </c>
      <c r="I23" s="214">
        <f t="shared" si="5"/>
        <v>20405000</v>
      </c>
      <c r="J23" s="214">
        <v>350000000</v>
      </c>
      <c r="K23" s="214">
        <v>350000000</v>
      </c>
      <c r="L23" s="214">
        <v>350000000</v>
      </c>
      <c r="M23" s="214">
        <v>350000000</v>
      </c>
      <c r="N23" s="214">
        <v>350000000</v>
      </c>
      <c r="O23" s="214">
        <v>350000000</v>
      </c>
      <c r="P23" s="214">
        <v>350000000</v>
      </c>
      <c r="Q23" s="214">
        <v>350000000</v>
      </c>
      <c r="R23" s="214">
        <v>350000000</v>
      </c>
      <c r="S23" s="214">
        <v>350000000</v>
      </c>
      <c r="T23" s="214">
        <v>350000000</v>
      </c>
      <c r="U23" s="214">
        <v>350000000</v>
      </c>
      <c r="V23" s="214">
        <v>350000000</v>
      </c>
      <c r="Y23" s="211">
        <f t="shared" si="3"/>
        <v>20405000</v>
      </c>
    </row>
    <row r="24" spans="1:25" ht="12.75">
      <c r="A24" s="100">
        <f t="shared" si="4"/>
        <v>19</v>
      </c>
      <c r="B24" s="104" t="s">
        <v>92</v>
      </c>
      <c r="C24" s="219">
        <v>0.05795</v>
      </c>
      <c r="D24" s="220">
        <v>40245</v>
      </c>
      <c r="E24" s="220">
        <v>51210</v>
      </c>
      <c r="F24" s="211">
        <f t="shared" si="0"/>
        <v>325000000</v>
      </c>
      <c r="G24" s="221">
        <v>98.9588</v>
      </c>
      <c r="H24" s="138">
        <f t="shared" si="6"/>
        <v>0.0587</v>
      </c>
      <c r="I24" s="214">
        <f t="shared" si="5"/>
        <v>19077500</v>
      </c>
      <c r="J24" s="214">
        <v>325000000</v>
      </c>
      <c r="K24" s="214">
        <v>325000000</v>
      </c>
      <c r="L24" s="214">
        <v>325000000</v>
      </c>
      <c r="M24" s="214">
        <v>325000000</v>
      </c>
      <c r="N24" s="214">
        <v>325000000</v>
      </c>
      <c r="O24" s="214">
        <v>325000000</v>
      </c>
      <c r="P24" s="214">
        <v>325000000</v>
      </c>
      <c r="Q24" s="214">
        <v>325000000</v>
      </c>
      <c r="R24" s="214">
        <v>325000000</v>
      </c>
      <c r="S24" s="214">
        <v>325000000</v>
      </c>
      <c r="T24" s="214">
        <v>325000000</v>
      </c>
      <c r="U24" s="214">
        <v>325000000</v>
      </c>
      <c r="V24" s="214">
        <v>325000000</v>
      </c>
      <c r="Y24" s="211">
        <f t="shared" si="3"/>
        <v>19077500</v>
      </c>
    </row>
    <row r="25" spans="1:25" ht="12.75">
      <c r="A25" s="100">
        <f t="shared" si="4"/>
        <v>20</v>
      </c>
      <c r="B25" s="104" t="s">
        <v>92</v>
      </c>
      <c r="C25" s="219">
        <v>0.05764</v>
      </c>
      <c r="D25" s="220">
        <v>40358</v>
      </c>
      <c r="E25" s="220">
        <v>51332</v>
      </c>
      <c r="F25" s="211">
        <f>ROUND(((+J25+V25)+(SUM(K25:U25)*2))/24,0)</f>
        <v>250000000</v>
      </c>
      <c r="G25" s="221">
        <v>98.9652</v>
      </c>
      <c r="H25" s="138">
        <f t="shared" si="6"/>
        <v>0.0584</v>
      </c>
      <c r="I25" s="214">
        <f>ROUND(+H25*F25,0)</f>
        <v>14600000</v>
      </c>
      <c r="J25" s="214">
        <v>250000000</v>
      </c>
      <c r="K25" s="214">
        <v>250000000</v>
      </c>
      <c r="L25" s="214">
        <v>250000000</v>
      </c>
      <c r="M25" s="214">
        <v>250000000</v>
      </c>
      <c r="N25" s="214">
        <v>250000000</v>
      </c>
      <c r="O25" s="214">
        <v>250000000</v>
      </c>
      <c r="P25" s="214">
        <v>250000000</v>
      </c>
      <c r="Q25" s="214">
        <v>250000000</v>
      </c>
      <c r="R25" s="214">
        <v>250000000</v>
      </c>
      <c r="S25" s="214">
        <v>250000000</v>
      </c>
      <c r="T25" s="214">
        <v>250000000</v>
      </c>
      <c r="U25" s="214">
        <v>250000000</v>
      </c>
      <c r="V25" s="214">
        <v>250000000</v>
      </c>
      <c r="Y25" s="211">
        <f t="shared" si="3"/>
        <v>14600000</v>
      </c>
    </row>
    <row r="26" spans="1:25" ht="12.75">
      <c r="A26" s="100">
        <f t="shared" si="4"/>
        <v>21</v>
      </c>
      <c r="B26" s="104" t="s">
        <v>92</v>
      </c>
      <c r="C26" s="219">
        <v>0.05638</v>
      </c>
      <c r="D26" s="220">
        <v>40627</v>
      </c>
      <c r="E26" s="220">
        <v>51606</v>
      </c>
      <c r="F26" s="211">
        <f>ROUND(((+J26+V26)+(SUM(K26:U26)*2))/24,0)</f>
        <v>300000000</v>
      </c>
      <c r="G26" s="221">
        <v>98.971</v>
      </c>
      <c r="H26" s="138">
        <f t="shared" si="6"/>
        <v>0.0571</v>
      </c>
      <c r="I26" s="214">
        <f>ROUND(+H26*F26,0)</f>
        <v>17130000</v>
      </c>
      <c r="J26" s="214">
        <v>300000000</v>
      </c>
      <c r="K26" s="214">
        <v>300000000</v>
      </c>
      <c r="L26" s="214">
        <v>300000000</v>
      </c>
      <c r="M26" s="214">
        <v>300000000</v>
      </c>
      <c r="N26" s="214">
        <v>300000000</v>
      </c>
      <c r="O26" s="214">
        <v>300000000</v>
      </c>
      <c r="P26" s="214">
        <v>300000000</v>
      </c>
      <c r="Q26" s="214">
        <v>300000000</v>
      </c>
      <c r="R26" s="214">
        <v>300000000</v>
      </c>
      <c r="S26" s="214">
        <v>300000000</v>
      </c>
      <c r="T26" s="214">
        <v>300000000</v>
      </c>
      <c r="U26" s="214">
        <v>300000000</v>
      </c>
      <c r="V26" s="214">
        <v>300000000</v>
      </c>
      <c r="Y26" s="211">
        <f t="shared" si="3"/>
        <v>17130000</v>
      </c>
    </row>
    <row r="27" spans="1:25" ht="12.75">
      <c r="A27" s="100">
        <f t="shared" si="4"/>
        <v>22</v>
      </c>
      <c r="B27" s="104" t="s">
        <v>92</v>
      </c>
      <c r="C27" s="219">
        <v>0.04434</v>
      </c>
      <c r="D27" s="220">
        <v>40863</v>
      </c>
      <c r="E27" s="220">
        <v>51820</v>
      </c>
      <c r="F27" s="211">
        <f>ROUND(((+J27+V27)+(SUM(K27:U27)*2))/24,0)</f>
        <v>250000000</v>
      </c>
      <c r="G27" s="221">
        <v>98.963</v>
      </c>
      <c r="H27" s="138">
        <f t="shared" si="6"/>
        <v>0.045</v>
      </c>
      <c r="I27" s="214">
        <f>ROUND(+H27*F27,0)</f>
        <v>11250000</v>
      </c>
      <c r="J27" s="214">
        <v>250000000</v>
      </c>
      <c r="K27" s="214">
        <v>250000000</v>
      </c>
      <c r="L27" s="214">
        <v>250000000</v>
      </c>
      <c r="M27" s="214">
        <v>250000000</v>
      </c>
      <c r="N27" s="214">
        <v>250000000</v>
      </c>
      <c r="O27" s="214">
        <v>250000000</v>
      </c>
      <c r="P27" s="214">
        <v>250000000</v>
      </c>
      <c r="Q27" s="214">
        <v>250000000</v>
      </c>
      <c r="R27" s="214">
        <v>250000000</v>
      </c>
      <c r="S27" s="214">
        <v>250000000</v>
      </c>
      <c r="T27" s="214">
        <v>250000000</v>
      </c>
      <c r="U27" s="214">
        <v>250000000</v>
      </c>
      <c r="V27" s="214">
        <v>250000000</v>
      </c>
      <c r="Y27" s="211">
        <f t="shared" si="3"/>
        <v>11250000</v>
      </c>
    </row>
    <row r="28" spans="1:25" ht="12.75">
      <c r="A28" s="100">
        <f t="shared" si="4"/>
        <v>23</v>
      </c>
      <c r="B28" s="104" t="s">
        <v>92</v>
      </c>
      <c r="C28" s="219">
        <v>0.047</v>
      </c>
      <c r="D28" s="220">
        <v>40869</v>
      </c>
      <c r="E28" s="220">
        <v>55472</v>
      </c>
      <c r="F28" s="211">
        <f>ROUND(((+J28+V28)+(SUM(K28:U28)*2))/24,0)</f>
        <v>45000000</v>
      </c>
      <c r="G28" s="221">
        <v>98.8639</v>
      </c>
      <c r="H28" s="138">
        <f t="shared" si="6"/>
        <v>0.0476</v>
      </c>
      <c r="I28" s="214">
        <f>ROUND(+H28*F28,0)</f>
        <v>2142000</v>
      </c>
      <c r="J28" s="214">
        <v>45000000</v>
      </c>
      <c r="K28" s="214">
        <v>45000000</v>
      </c>
      <c r="L28" s="214">
        <v>45000000</v>
      </c>
      <c r="M28" s="214">
        <v>45000000</v>
      </c>
      <c r="N28" s="214">
        <v>45000000</v>
      </c>
      <c r="O28" s="214">
        <v>45000000</v>
      </c>
      <c r="P28" s="214">
        <v>45000000</v>
      </c>
      <c r="Q28" s="214">
        <v>45000000</v>
      </c>
      <c r="R28" s="214">
        <v>45000000</v>
      </c>
      <c r="S28" s="214">
        <v>45000000</v>
      </c>
      <c r="T28" s="214">
        <v>45000000</v>
      </c>
      <c r="U28" s="214">
        <v>45000000</v>
      </c>
      <c r="V28" s="214">
        <v>45000000</v>
      </c>
      <c r="Y28" s="211">
        <f t="shared" si="3"/>
        <v>2142000</v>
      </c>
    </row>
    <row r="29" spans="1:25" ht="12.75">
      <c r="A29" s="100">
        <f t="shared" si="4"/>
        <v>24</v>
      </c>
      <c r="B29" s="104" t="s">
        <v>122</v>
      </c>
      <c r="C29" s="219">
        <v>0.06974</v>
      </c>
      <c r="D29" s="220">
        <v>39237</v>
      </c>
      <c r="E29" s="220">
        <v>42887</v>
      </c>
      <c r="F29" s="211">
        <f>ROUND(((+J29+V29)+(SUM(K29:U29)*2))/24,0)</f>
        <v>250000000</v>
      </c>
      <c r="G29" s="221">
        <v>98.2262</v>
      </c>
      <c r="H29" s="138">
        <f t="shared" si="6"/>
        <v>0.0723</v>
      </c>
      <c r="I29" s="214">
        <f>ROUND(+H29*F29,0)</f>
        <v>18075000</v>
      </c>
      <c r="J29" s="211">
        <v>250000000</v>
      </c>
      <c r="K29" s="211">
        <v>250000000</v>
      </c>
      <c r="L29" s="211">
        <v>250000000</v>
      </c>
      <c r="M29" s="211">
        <v>250000000</v>
      </c>
      <c r="N29" s="211">
        <v>250000000</v>
      </c>
      <c r="O29" s="211">
        <v>250000000</v>
      </c>
      <c r="P29" s="211">
        <v>250000000</v>
      </c>
      <c r="Q29" s="211">
        <v>250000000</v>
      </c>
      <c r="R29" s="211">
        <v>250000000</v>
      </c>
      <c r="S29" s="211">
        <v>250000000</v>
      </c>
      <c r="T29" s="211">
        <v>250000000</v>
      </c>
      <c r="U29" s="211">
        <v>250000000</v>
      </c>
      <c r="V29" s="211">
        <v>250000000</v>
      </c>
      <c r="Y29" s="211">
        <f t="shared" si="3"/>
        <v>18075000</v>
      </c>
    </row>
    <row r="30" spans="1:25" ht="12.75">
      <c r="A30" s="100">
        <f t="shared" si="4"/>
        <v>25</v>
      </c>
      <c r="B30" s="104"/>
      <c r="C30" s="219"/>
      <c r="D30" s="220"/>
      <c r="E30" s="220"/>
      <c r="F30" s="211"/>
      <c r="G30" s="229"/>
      <c r="H30" s="138"/>
      <c r="I30" s="214"/>
      <c r="J30" s="211"/>
      <c r="K30" s="211"/>
      <c r="L30" s="211"/>
      <c r="M30" s="211"/>
      <c r="N30" s="211"/>
      <c r="O30" s="211"/>
      <c r="P30" s="211"/>
      <c r="Q30" s="211"/>
      <c r="R30" s="211"/>
      <c r="S30" s="211"/>
      <c r="T30" s="211"/>
      <c r="U30" s="211"/>
      <c r="V30" s="211"/>
      <c r="Y30" s="226">
        <f>SUM(Y7:Y29)</f>
        <v>233055116.20375758</v>
      </c>
    </row>
    <row r="31" spans="1:25" ht="13.5" thickBot="1">
      <c r="A31" s="100">
        <f t="shared" si="4"/>
        <v>26</v>
      </c>
      <c r="B31" s="104"/>
      <c r="C31" s="106" t="s">
        <v>112</v>
      </c>
      <c r="D31" s="220"/>
      <c r="E31" s="220"/>
      <c r="F31" s="211"/>
      <c r="G31" s="225"/>
      <c r="H31" s="138"/>
      <c r="I31" s="226">
        <f>'Pg 7 Reacquired Debt'!I27</f>
        <v>1587107.0800000003</v>
      </c>
      <c r="J31" s="176"/>
      <c r="K31" s="176"/>
      <c r="L31" s="176"/>
      <c r="M31" s="176"/>
      <c r="N31" s="176"/>
      <c r="O31" s="176"/>
      <c r="P31" s="176"/>
      <c r="Q31" s="176"/>
      <c r="R31" s="176"/>
      <c r="S31" s="176"/>
      <c r="T31" s="176"/>
      <c r="U31" s="176"/>
      <c r="V31" s="176"/>
      <c r="Y31" s="226">
        <f>I31</f>
        <v>1587107.0800000003</v>
      </c>
    </row>
    <row r="32" spans="1:26" ht="13.5" thickBot="1">
      <c r="A32" s="100">
        <f t="shared" si="4"/>
        <v>27</v>
      </c>
      <c r="B32" s="106" t="s">
        <v>125</v>
      </c>
      <c r="C32" s="219"/>
      <c r="D32" s="220"/>
      <c r="E32" s="220"/>
      <c r="F32" s="226">
        <f>SUM(F7:F31)</f>
        <v>3773860000</v>
      </c>
      <c r="G32" s="227"/>
      <c r="H32" s="167">
        <f>ROUND(+I32/F32,4)</f>
        <v>0.0622</v>
      </c>
      <c r="I32" s="230">
        <f aca="true" t="shared" si="7" ref="I32:V32">SUM(I7:I31)</f>
        <v>234642223.08</v>
      </c>
      <c r="J32" s="230">
        <f t="shared" si="7"/>
        <v>3773860000</v>
      </c>
      <c r="K32" s="230">
        <f t="shared" si="7"/>
        <v>3773860000</v>
      </c>
      <c r="L32" s="230">
        <f t="shared" si="7"/>
        <v>3773860000</v>
      </c>
      <c r="M32" s="230">
        <f t="shared" si="7"/>
        <v>3773860000</v>
      </c>
      <c r="N32" s="230">
        <f t="shared" si="7"/>
        <v>3773860000</v>
      </c>
      <c r="O32" s="230">
        <f t="shared" si="7"/>
        <v>3773860000</v>
      </c>
      <c r="P32" s="230">
        <f t="shared" si="7"/>
        <v>3773860000</v>
      </c>
      <c r="Q32" s="230">
        <f t="shared" si="7"/>
        <v>3773860000</v>
      </c>
      <c r="R32" s="230">
        <f t="shared" si="7"/>
        <v>3773860000</v>
      </c>
      <c r="S32" s="230">
        <f t="shared" si="7"/>
        <v>3773860000</v>
      </c>
      <c r="T32" s="230">
        <f t="shared" si="7"/>
        <v>3773860000</v>
      </c>
      <c r="U32" s="230">
        <f t="shared" si="7"/>
        <v>3773860000</v>
      </c>
      <c r="V32" s="230">
        <f t="shared" si="7"/>
        <v>3773860000</v>
      </c>
      <c r="Y32" s="230">
        <f>SUM(Y30:Y31)</f>
        <v>234642223.2837576</v>
      </c>
      <c r="Z32" s="367">
        <f>Y32/V32</f>
        <v>0.062175656564832184</v>
      </c>
    </row>
    <row r="33" spans="1:25" ht="12.75">
      <c r="A33" s="100">
        <f t="shared" si="4"/>
        <v>28</v>
      </c>
      <c r="B33" s="104"/>
      <c r="C33" s="219"/>
      <c r="D33" s="220"/>
      <c r="E33" s="220"/>
      <c r="F33" s="228"/>
      <c r="G33" s="225"/>
      <c r="H33" s="190"/>
      <c r="I33" s="228"/>
      <c r="J33" s="517"/>
      <c r="K33" s="517"/>
      <c r="L33" s="517"/>
      <c r="M33" s="517"/>
      <c r="N33" s="517"/>
      <c r="O33" s="517"/>
      <c r="P33" s="517"/>
      <c r="Q33" s="517"/>
      <c r="R33" s="517"/>
      <c r="S33" s="517"/>
      <c r="T33" s="517"/>
      <c r="U33" s="517"/>
      <c r="V33" s="517"/>
      <c r="Y33" s="212">
        <f>H33*V33</f>
        <v>0</v>
      </c>
    </row>
    <row r="34" spans="1:25" ht="12.75">
      <c r="A34" s="100">
        <f t="shared" si="4"/>
        <v>29</v>
      </c>
      <c r="B34" s="106"/>
      <c r="C34" s="103"/>
      <c r="D34" s="103"/>
      <c r="E34" s="103"/>
      <c r="F34" s="228"/>
      <c r="G34" s="23"/>
      <c r="H34" s="190"/>
      <c r="I34" s="228"/>
      <c r="J34" s="214"/>
      <c r="K34" s="214"/>
      <c r="L34" s="214"/>
      <c r="M34" s="214"/>
      <c r="N34" s="214"/>
      <c r="O34" s="214"/>
      <c r="P34" s="214"/>
      <c r="Q34" s="214"/>
      <c r="R34" s="214"/>
      <c r="S34" s="214"/>
      <c r="T34" s="214"/>
      <c r="U34" s="214"/>
      <c r="V34" s="214"/>
      <c r="Y34" s="211">
        <f>I34</f>
        <v>0</v>
      </c>
    </row>
    <row r="35" spans="1:26" ht="12.75">
      <c r="A35" s="100">
        <f t="shared" si="4"/>
        <v>30</v>
      </c>
      <c r="B35" s="102" t="s">
        <v>82</v>
      </c>
      <c r="C35" s="103"/>
      <c r="D35" s="103"/>
      <c r="E35" s="103"/>
      <c r="F35" s="103"/>
      <c r="G35" s="103"/>
      <c r="H35" s="103"/>
      <c r="I35" s="103"/>
      <c r="Y35" s="228"/>
      <c r="Z35" s="190"/>
    </row>
    <row r="36" spans="1:9" ht="12.75">
      <c r="A36" s="100">
        <f t="shared" si="4"/>
        <v>31</v>
      </c>
      <c r="B36" s="102" t="s">
        <v>90</v>
      </c>
      <c r="C36" s="103"/>
      <c r="D36" s="103"/>
      <c r="E36" s="103"/>
      <c r="F36" s="103"/>
      <c r="G36" s="105"/>
      <c r="H36" s="103"/>
      <c r="I36" s="103"/>
    </row>
    <row r="37" spans="1:9" ht="12.75">
      <c r="A37" s="100"/>
      <c r="B37" s="102"/>
      <c r="C37" s="103"/>
      <c r="D37" s="103"/>
      <c r="E37" s="103"/>
      <c r="F37" s="103"/>
      <c r="G37" s="105"/>
      <c r="H37" s="103"/>
      <c r="I37" s="103"/>
    </row>
    <row r="38" spans="1:53" ht="12.75">
      <c r="A38" s="100"/>
      <c r="B38" s="101"/>
      <c r="C38" s="101"/>
      <c r="D38" s="101"/>
      <c r="E38" s="518"/>
      <c r="G38" s="101"/>
      <c r="H38" s="103"/>
      <c r="I38" s="135"/>
      <c r="J38" s="211"/>
      <c r="K38" s="211"/>
      <c r="L38" s="211"/>
      <c r="M38" s="211"/>
      <c r="N38" s="211"/>
      <c r="O38" s="211"/>
      <c r="P38" s="211"/>
      <c r="Q38" s="211"/>
      <c r="R38" s="211"/>
      <c r="S38" s="211"/>
      <c r="T38" s="211"/>
      <c r="U38" s="211"/>
      <c r="V38" s="211"/>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row>
    <row r="39" spans="1:22" ht="12.75">
      <c r="A39" s="519"/>
      <c r="B39" s="231"/>
      <c r="C39" s="231"/>
      <c r="D39" s="231"/>
      <c r="E39" s="231"/>
      <c r="F39" s="210"/>
      <c r="G39" s="231"/>
      <c r="H39" s="103"/>
      <c r="I39" s="135"/>
      <c r="J39" s="232"/>
      <c r="K39" s="232"/>
      <c r="L39" s="232"/>
      <c r="M39" s="232"/>
      <c r="N39" s="104"/>
      <c r="O39" s="104"/>
      <c r="P39" s="104"/>
      <c r="Q39" s="104"/>
      <c r="R39" s="104"/>
      <c r="S39" s="104"/>
      <c r="T39" s="104"/>
      <c r="U39" s="104"/>
      <c r="V39" s="104"/>
    </row>
    <row r="40" spans="1:22" ht="12.75">
      <c r="A40" s="519"/>
      <c r="B40" s="231"/>
      <c r="C40" s="231"/>
      <c r="D40" s="231"/>
      <c r="E40" s="231"/>
      <c r="F40" s="209"/>
      <c r="G40" s="231"/>
      <c r="H40" s="101"/>
      <c r="I40" s="135"/>
      <c r="J40" s="212"/>
      <c r="K40" s="212"/>
      <c r="L40" s="212"/>
      <c r="M40" s="212"/>
      <c r="N40" s="212"/>
      <c r="O40" s="212"/>
      <c r="P40" s="212"/>
      <c r="Q40" s="212"/>
      <c r="R40" s="212"/>
      <c r="S40" s="212"/>
      <c r="T40" s="212"/>
      <c r="U40" s="212"/>
      <c r="V40" s="212"/>
    </row>
    <row r="41" spans="1:22" ht="12.75">
      <c r="A41" s="519"/>
      <c r="B41" s="231"/>
      <c r="C41" s="231"/>
      <c r="D41" s="231"/>
      <c r="E41" s="231"/>
      <c r="F41" s="210"/>
      <c r="G41" s="231"/>
      <c r="H41" s="231"/>
      <c r="I41" s="210"/>
      <c r="J41" s="23">
        <f aca="true" t="shared" si="8" ref="J41:V41">IF(J40&lt;&gt;0,"ERROR","")</f>
      </c>
      <c r="K41" s="23">
        <f t="shared" si="8"/>
      </c>
      <c r="L41" s="23">
        <f t="shared" si="8"/>
      </c>
      <c r="M41" s="23">
        <f t="shared" si="8"/>
      </c>
      <c r="N41" s="23">
        <f t="shared" si="8"/>
      </c>
      <c r="O41" s="23">
        <f t="shared" si="8"/>
      </c>
      <c r="P41" s="23">
        <f t="shared" si="8"/>
      </c>
      <c r="Q41" s="23">
        <f t="shared" si="8"/>
      </c>
      <c r="R41" s="23">
        <f t="shared" si="8"/>
      </c>
      <c r="S41" s="23">
        <f t="shared" si="8"/>
      </c>
      <c r="T41" s="23">
        <f t="shared" si="8"/>
      </c>
      <c r="U41" s="23">
        <f t="shared" si="8"/>
      </c>
      <c r="V41" s="519">
        <f t="shared" si="8"/>
      </c>
    </row>
    <row r="42" spans="1:8" ht="12.75">
      <c r="A42" s="519"/>
      <c r="B42" s="231"/>
      <c r="C42" s="231"/>
      <c r="D42" s="231"/>
      <c r="E42" s="231"/>
      <c r="F42" s="210"/>
      <c r="G42" s="231"/>
      <c r="H42" s="138"/>
    </row>
    <row r="43" spans="1:9" ht="12.75">
      <c r="A43" s="520"/>
      <c r="B43" s="521"/>
      <c r="C43" s="522"/>
      <c r="D43" s="523"/>
      <c r="E43" s="523"/>
      <c r="F43" s="484"/>
      <c r="G43" s="524"/>
      <c r="H43" s="138"/>
      <c r="I43" s="211"/>
    </row>
    <row r="44" spans="1:9" ht="12.75">
      <c r="A44" s="520"/>
      <c r="B44" s="521"/>
      <c r="C44" s="522"/>
      <c r="D44" s="523"/>
      <c r="E44" s="523"/>
      <c r="F44" s="525"/>
      <c r="G44" s="524"/>
      <c r="H44" s="526"/>
      <c r="I44" s="527"/>
    </row>
    <row r="45" spans="1:9" ht="12.75">
      <c r="A45" s="520"/>
      <c r="B45" s="521"/>
      <c r="C45" s="522"/>
      <c r="D45" s="523"/>
      <c r="E45" s="523"/>
      <c r="F45" s="525"/>
      <c r="G45" s="524"/>
      <c r="H45" s="526"/>
      <c r="I45" s="527"/>
    </row>
    <row r="46" spans="1:9" ht="12.75" hidden="1">
      <c r="A46" s="528"/>
      <c r="B46" s="231"/>
      <c r="C46" s="231"/>
      <c r="D46" s="231"/>
      <c r="E46" s="231"/>
      <c r="F46" s="210"/>
      <c r="G46" s="231"/>
      <c r="H46" s="529"/>
      <c r="I46" s="210"/>
    </row>
    <row r="47" spans="1:9" ht="12.75" hidden="1">
      <c r="A47" s="528"/>
      <c r="B47" s="231"/>
      <c r="C47" s="231"/>
      <c r="D47" s="231"/>
      <c r="E47" s="231"/>
      <c r="F47" s="210"/>
      <c r="G47" s="231"/>
      <c r="H47" s="530"/>
      <c r="I47" s="210"/>
    </row>
    <row r="48" spans="1:9" ht="12.75" hidden="1">
      <c r="A48" s="528"/>
      <c r="B48" s="231"/>
      <c r="C48" s="231"/>
      <c r="D48" s="231"/>
      <c r="E48" s="231"/>
      <c r="F48" s="210"/>
      <c r="G48" s="231"/>
      <c r="H48" s="231"/>
      <c r="I48" s="210"/>
    </row>
    <row r="49" spans="1:9" ht="12.75">
      <c r="A49" s="520"/>
      <c r="B49" s="521"/>
      <c r="C49" s="522"/>
      <c r="D49" s="523"/>
      <c r="E49" s="523"/>
      <c r="F49" s="525"/>
      <c r="G49" s="524"/>
      <c r="H49" s="526"/>
      <c r="I49" s="527"/>
    </row>
    <row r="50" spans="1:9" ht="12.75">
      <c r="A50" s="520"/>
      <c r="B50" s="521"/>
      <c r="C50" s="522"/>
      <c r="D50" s="523"/>
      <c r="E50" s="523"/>
      <c r="F50" s="525"/>
      <c r="G50" s="524"/>
      <c r="H50" s="526"/>
      <c r="I50" s="527"/>
    </row>
    <row r="51" spans="1:9" ht="12.75">
      <c r="A51" s="528"/>
      <c r="B51" s="231"/>
      <c r="C51" s="231"/>
      <c r="D51" s="231"/>
      <c r="E51" s="231"/>
      <c r="F51" s="210"/>
      <c r="G51" s="231"/>
      <c r="H51" s="231"/>
      <c r="I51" s="210"/>
    </row>
    <row r="52" spans="1:9" ht="12.75">
      <c r="A52" s="528"/>
      <c r="B52" s="231"/>
      <c r="C52" s="231"/>
      <c r="D52" s="231"/>
      <c r="E52" s="231"/>
      <c r="F52" s="210"/>
      <c r="G52" s="231"/>
      <c r="H52" s="231"/>
      <c r="I52" s="210"/>
    </row>
    <row r="53" spans="1:9" ht="12.75">
      <c r="A53" s="528"/>
      <c r="B53" s="231"/>
      <c r="C53" s="231"/>
      <c r="D53" s="231"/>
      <c r="E53" s="231"/>
      <c r="F53" s="210"/>
      <c r="G53" s="231"/>
      <c r="H53" s="231"/>
      <c r="I53" s="210"/>
    </row>
    <row r="54" spans="1:9" ht="12.75">
      <c r="A54" s="528"/>
      <c r="B54" s="231"/>
      <c r="C54" s="231"/>
      <c r="D54" s="231"/>
      <c r="E54" s="231"/>
      <c r="F54" s="210"/>
      <c r="G54" s="231"/>
      <c r="H54" s="231"/>
      <c r="I54" s="210"/>
    </row>
    <row r="55" spans="1:9" ht="12.75">
      <c r="A55" s="528"/>
      <c r="B55" s="231"/>
      <c r="C55" s="231"/>
      <c r="D55" s="231"/>
      <c r="E55" s="231"/>
      <c r="F55" s="210"/>
      <c r="G55" s="231"/>
      <c r="H55" s="231"/>
      <c r="I55" s="210"/>
    </row>
    <row r="56" spans="1:9" ht="12.75">
      <c r="A56" s="528"/>
      <c r="B56" s="231"/>
      <c r="C56" s="231"/>
      <c r="D56" s="231"/>
      <c r="E56" s="231"/>
      <c r="F56" s="210"/>
      <c r="G56" s="231"/>
      <c r="H56" s="231"/>
      <c r="I56" s="210"/>
    </row>
    <row r="57" spans="1:9" ht="12.75">
      <c r="A57" s="528"/>
      <c r="B57" s="231"/>
      <c r="C57" s="231"/>
      <c r="D57" s="231"/>
      <c r="E57" s="231"/>
      <c r="F57" s="210"/>
      <c r="G57" s="231"/>
      <c r="H57" s="231"/>
      <c r="I57" s="210"/>
    </row>
    <row r="58" spans="1:9" ht="12.75">
      <c r="A58" s="528"/>
      <c r="B58" s="231"/>
      <c r="C58" s="231"/>
      <c r="D58" s="231"/>
      <c r="E58" s="231"/>
      <c r="F58" s="210"/>
      <c r="G58" s="231"/>
      <c r="H58" s="231"/>
      <c r="I58" s="210"/>
    </row>
    <row r="59" spans="1:9" ht="12.75">
      <c r="A59" s="528"/>
      <c r="B59" s="231"/>
      <c r="C59" s="231"/>
      <c r="D59" s="231"/>
      <c r="E59" s="231"/>
      <c r="F59" s="210"/>
      <c r="G59" s="231"/>
      <c r="H59" s="231"/>
      <c r="I59" s="210"/>
    </row>
    <row r="60" spans="1:9" ht="12.75">
      <c r="A60" s="519"/>
      <c r="B60" s="231"/>
      <c r="C60" s="521"/>
      <c r="D60" s="231"/>
      <c r="E60" s="231"/>
      <c r="F60" s="210"/>
      <c r="G60" s="231"/>
      <c r="H60" s="231"/>
      <c r="I60" s="210"/>
    </row>
    <row r="61" spans="3:5" ht="12.75">
      <c r="C61" s="22"/>
      <c r="E61" s="26"/>
    </row>
    <row r="62" ht="12.75">
      <c r="C62" s="25"/>
    </row>
  </sheetData>
  <sheetProtection/>
  <mergeCells count="3">
    <mergeCell ref="A1:V1"/>
    <mergeCell ref="A2:V2"/>
    <mergeCell ref="A3:V3"/>
  </mergeCells>
  <printOptions horizontalCentered="1" verticalCentered="1"/>
  <pageMargins left="0.2" right="0.2" top="0.41" bottom="0.35" header="0.17" footer="0.17"/>
  <pageSetup fitToHeight="1" fitToWidth="1" horizontalDpi="600" verticalDpi="600" orientation="landscape" scale="90" r:id="rId1"/>
</worksheet>
</file>

<file path=xl/worksheets/sheet8.xml><?xml version="1.0" encoding="utf-8"?>
<worksheet xmlns="http://schemas.openxmlformats.org/spreadsheetml/2006/main" xmlns:r="http://schemas.openxmlformats.org/officeDocument/2006/relationships">
  <dimension ref="A1:P43"/>
  <sheetViews>
    <sheetView workbookViewId="0" topLeftCell="A1">
      <selection activeCell="I24" sqref="I24"/>
    </sheetView>
  </sheetViews>
  <sheetFormatPr defaultColWidth="8.83203125" defaultRowHeight="11.25" outlineLevelCol="1"/>
  <cols>
    <col min="1" max="1" width="4.66015625" style="27" customWidth="1"/>
    <col min="2" max="2" width="29.83203125" style="27" customWidth="1"/>
    <col min="3" max="3" width="10.83203125" style="27" customWidth="1"/>
    <col min="4" max="4" width="11.83203125" style="27" customWidth="1"/>
    <col min="5" max="5" width="12.83203125" style="27" customWidth="1"/>
    <col min="6" max="6" width="15.83203125" style="27" customWidth="1"/>
    <col min="7" max="7" width="13" style="27" customWidth="1"/>
    <col min="8" max="8" width="13.83203125" style="27" customWidth="1"/>
    <col min="9" max="9" width="15.16015625" style="27" customWidth="1"/>
    <col min="10" max="10" width="12.16015625" style="27" customWidth="1"/>
    <col min="11" max="11" width="6.33203125" style="27" customWidth="1"/>
    <col min="12" max="12" width="12" style="27" hidden="1" customWidth="1" outlineLevel="1"/>
    <col min="13" max="13" width="14.66015625" style="27" hidden="1" customWidth="1" outlineLevel="1"/>
    <col min="14" max="14" width="15.16015625" style="27" hidden="1" customWidth="1" outlineLevel="1"/>
    <col min="15" max="15" width="12.16015625" style="27" hidden="1" customWidth="1" outlineLevel="1"/>
    <col min="16" max="16" width="9.66015625" style="27" hidden="1" customWidth="1" outlineLevel="1"/>
    <col min="17" max="17" width="8.83203125" style="27" customWidth="1" collapsed="1"/>
    <col min="18" max="18" width="8.83203125" style="27" customWidth="1"/>
    <col min="19" max="19" width="9.16015625" style="27" bestFit="1" customWidth="1"/>
    <col min="20" max="16384" width="8.83203125" style="27" customWidth="1"/>
  </cols>
  <sheetData>
    <row r="1" spans="1:16" ht="12.75" customHeight="1">
      <c r="A1" s="574" t="s">
        <v>23</v>
      </c>
      <c r="B1" s="574"/>
      <c r="C1" s="574"/>
      <c r="D1" s="574"/>
      <c r="E1" s="574"/>
      <c r="F1" s="574"/>
      <c r="G1" s="574"/>
      <c r="H1" s="574"/>
      <c r="I1" s="574"/>
      <c r="J1" s="574"/>
      <c r="K1" s="41"/>
      <c r="L1" s="41"/>
      <c r="M1" s="41"/>
      <c r="N1" s="41"/>
      <c r="O1" s="41"/>
      <c r="P1" s="41"/>
    </row>
    <row r="2" spans="1:16" s="28" customFormat="1" ht="12.75" customHeight="1">
      <c r="A2" s="574" t="s">
        <v>24</v>
      </c>
      <c r="B2" s="574"/>
      <c r="C2" s="574"/>
      <c r="D2" s="574"/>
      <c r="E2" s="574"/>
      <c r="F2" s="574"/>
      <c r="G2" s="574"/>
      <c r="H2" s="574"/>
      <c r="I2" s="574"/>
      <c r="J2" s="574"/>
      <c r="K2" s="41"/>
      <c r="L2" s="41"/>
      <c r="M2" s="41"/>
      <c r="N2" s="41"/>
      <c r="O2" s="41"/>
      <c r="P2" s="41"/>
    </row>
    <row r="3" spans="1:16" s="28" customFormat="1" ht="12.75" customHeight="1">
      <c r="A3" s="575">
        <f>+'Pg 1 CofCap'!A5</f>
        <v>41364</v>
      </c>
      <c r="B3" s="575"/>
      <c r="C3" s="575"/>
      <c r="D3" s="575"/>
      <c r="E3" s="575"/>
      <c r="F3" s="575"/>
      <c r="G3" s="575"/>
      <c r="H3" s="575"/>
      <c r="I3" s="575"/>
      <c r="J3" s="575"/>
      <c r="K3" s="41"/>
      <c r="L3" s="41"/>
      <c r="M3" s="41"/>
      <c r="N3" s="41"/>
      <c r="O3" s="41"/>
      <c r="P3" s="41"/>
    </row>
    <row r="4" spans="2:16" s="28" customFormat="1" ht="12.75" customHeight="1">
      <c r="B4" s="92"/>
      <c r="C4" s="92"/>
      <c r="D4" s="92"/>
      <c r="E4" s="42"/>
      <c r="F4" s="42"/>
      <c r="G4" s="42"/>
      <c r="H4" s="42"/>
      <c r="I4" s="42"/>
      <c r="J4" s="43"/>
      <c r="K4" s="41"/>
      <c r="L4" s="531" t="s">
        <v>226</v>
      </c>
      <c r="M4" s="41"/>
      <c r="N4" s="41"/>
      <c r="O4" s="41"/>
      <c r="P4" s="41"/>
    </row>
    <row r="5" spans="1:16" s="28" customFormat="1" ht="12.75" customHeight="1">
      <c r="A5" s="181">
        <v>1</v>
      </c>
      <c r="B5" s="96" t="s">
        <v>3</v>
      </c>
      <c r="C5" s="96" t="s">
        <v>25</v>
      </c>
      <c r="D5" s="96" t="s">
        <v>50</v>
      </c>
      <c r="E5" s="96" t="s">
        <v>61</v>
      </c>
      <c r="F5" s="96" t="s">
        <v>62</v>
      </c>
      <c r="G5" s="201" t="s">
        <v>63</v>
      </c>
      <c r="H5" s="96" t="s">
        <v>64</v>
      </c>
      <c r="I5" s="96" t="s">
        <v>65</v>
      </c>
      <c r="J5" s="96" t="s">
        <v>66</v>
      </c>
      <c r="K5" s="41"/>
      <c r="L5" s="41"/>
      <c r="M5" s="41"/>
      <c r="N5" s="41"/>
      <c r="O5" s="41"/>
      <c r="P5" s="41"/>
    </row>
    <row r="6" spans="1:16" s="28" customFormat="1" ht="12.75" customHeight="1">
      <c r="A6" s="181">
        <f aca="true" t="shared" si="0" ref="A6:A32">A5+1</f>
        <v>2</v>
      </c>
      <c r="B6" s="44" t="s">
        <v>1</v>
      </c>
      <c r="C6" s="191" t="s">
        <v>15</v>
      </c>
      <c r="D6" s="192" t="s">
        <v>103</v>
      </c>
      <c r="E6" s="171" t="s">
        <v>139</v>
      </c>
      <c r="F6" s="171" t="s">
        <v>140</v>
      </c>
      <c r="G6" s="171" t="s">
        <v>140</v>
      </c>
      <c r="H6" s="171" t="s">
        <v>67</v>
      </c>
      <c r="I6" s="192" t="s">
        <v>16</v>
      </c>
      <c r="J6" s="43"/>
      <c r="K6" s="41"/>
      <c r="L6" s="532" t="s">
        <v>223</v>
      </c>
      <c r="M6" s="41"/>
      <c r="N6" s="41"/>
      <c r="O6" s="41"/>
      <c r="P6" s="41"/>
    </row>
    <row r="7" spans="1:16" s="28" customFormat="1" ht="12.75" customHeight="1">
      <c r="A7" s="181">
        <f t="shared" si="0"/>
        <v>3</v>
      </c>
      <c r="B7" s="83" t="s">
        <v>15</v>
      </c>
      <c r="C7" s="45" t="s">
        <v>104</v>
      </c>
      <c r="D7" s="45" t="s">
        <v>104</v>
      </c>
      <c r="E7" s="45" t="s">
        <v>104</v>
      </c>
      <c r="F7" s="45" t="s">
        <v>15</v>
      </c>
      <c r="G7" s="45" t="s">
        <v>104</v>
      </c>
      <c r="H7" s="45" t="s">
        <v>141</v>
      </c>
      <c r="I7" s="45" t="s">
        <v>138</v>
      </c>
      <c r="J7" s="46" t="s">
        <v>54</v>
      </c>
      <c r="K7" s="41"/>
      <c r="L7" s="532" t="s">
        <v>224</v>
      </c>
      <c r="M7" s="41"/>
      <c r="N7" s="41"/>
      <c r="O7" s="85">
        <v>40543</v>
      </c>
      <c r="P7" s="41"/>
    </row>
    <row r="8" spans="1:16" s="28" customFormat="1" ht="12.75" customHeight="1">
      <c r="A8" s="181">
        <f t="shared" si="0"/>
        <v>4</v>
      </c>
      <c r="B8" s="84"/>
      <c r="C8" s="85"/>
      <c r="D8" s="85"/>
      <c r="E8" s="85"/>
      <c r="F8" s="85"/>
      <c r="G8" s="85"/>
      <c r="H8" s="233"/>
      <c r="I8" s="47"/>
      <c r="J8" s="86"/>
      <c r="L8" s="533">
        <v>40543</v>
      </c>
      <c r="M8" s="534" t="s">
        <v>220</v>
      </c>
      <c r="N8" s="534" t="s">
        <v>221</v>
      </c>
      <c r="O8" s="534" t="s">
        <v>225</v>
      </c>
      <c r="P8" s="534" t="s">
        <v>222</v>
      </c>
    </row>
    <row r="9" spans="1:16" s="28" customFormat="1" ht="12.75" customHeight="1">
      <c r="A9" s="181">
        <f>A8+1</f>
        <v>5</v>
      </c>
      <c r="B9" s="235" t="s">
        <v>268</v>
      </c>
      <c r="C9" s="85">
        <v>33959</v>
      </c>
      <c r="D9" s="85">
        <v>41264</v>
      </c>
      <c r="E9" s="236">
        <v>37770</v>
      </c>
      <c r="F9" s="236"/>
      <c r="G9" s="236"/>
      <c r="H9" s="233">
        <v>41264</v>
      </c>
      <c r="I9" s="234">
        <f>8237*8</f>
        <v>65896</v>
      </c>
      <c r="J9" s="86">
        <v>18900333</v>
      </c>
      <c r="K9" s="28" t="s">
        <v>256</v>
      </c>
      <c r="L9" s="533"/>
      <c r="M9" s="534"/>
      <c r="N9" s="534"/>
      <c r="O9" s="534"/>
      <c r="P9" s="534"/>
    </row>
    <row r="10" spans="1:16" s="28" customFormat="1" ht="12.75" customHeight="1">
      <c r="A10" s="181">
        <f t="shared" si="0"/>
        <v>6</v>
      </c>
      <c r="B10" s="84">
        <v>0.1025</v>
      </c>
      <c r="C10" s="85">
        <v>32140</v>
      </c>
      <c r="D10" s="85">
        <v>35779</v>
      </c>
      <c r="E10" s="85">
        <v>35048</v>
      </c>
      <c r="F10" s="85"/>
      <c r="G10" s="85"/>
      <c r="H10" s="233">
        <v>42684</v>
      </c>
      <c r="I10" s="234">
        <v>18336</v>
      </c>
      <c r="J10" s="86">
        <v>18900013</v>
      </c>
      <c r="K10" s="28" t="s">
        <v>256</v>
      </c>
      <c r="L10" s="535">
        <f>ROUND(((H10-$L$8)/30.42),0)</f>
        <v>70</v>
      </c>
      <c r="M10" s="389">
        <f aca="true" t="shared" si="1" ref="M10:M24">I10/12</f>
        <v>1528</v>
      </c>
      <c r="N10" s="389">
        <f aca="true" t="shared" si="2" ref="N10:N24">L10*M10</f>
        <v>106960</v>
      </c>
      <c r="O10" s="536">
        <v>107750</v>
      </c>
      <c r="P10" s="389">
        <f aca="true" t="shared" si="3" ref="P10:P24">O10-N10</f>
        <v>790</v>
      </c>
    </row>
    <row r="11" spans="1:16" s="28" customFormat="1" ht="12.75" customHeight="1">
      <c r="A11" s="181">
        <f t="shared" si="0"/>
        <v>7</v>
      </c>
      <c r="B11" s="84" t="s">
        <v>120</v>
      </c>
      <c r="C11" s="85">
        <v>35587</v>
      </c>
      <c r="D11" s="85">
        <v>46539</v>
      </c>
      <c r="E11" s="85">
        <v>39234</v>
      </c>
      <c r="F11" s="85" t="s">
        <v>129</v>
      </c>
      <c r="G11" s="85">
        <v>39237</v>
      </c>
      <c r="H11" s="233">
        <v>42887</v>
      </c>
      <c r="I11" s="234">
        <f>15912.9*12</f>
        <v>190954.8</v>
      </c>
      <c r="J11" s="86">
        <v>18900383</v>
      </c>
      <c r="K11" s="28" t="s">
        <v>256</v>
      </c>
      <c r="L11" s="535">
        <f>ROUND(((H11-$L$8)/30.42),0)</f>
        <v>77</v>
      </c>
      <c r="M11" s="389">
        <f t="shared" si="1"/>
        <v>15912.9</v>
      </c>
      <c r="N11" s="389">
        <f>L11*M11</f>
        <v>1225293.3</v>
      </c>
      <c r="O11" s="536">
        <v>1225293.39</v>
      </c>
      <c r="P11" s="389">
        <f>O11-N11</f>
        <v>0.08999999985098839</v>
      </c>
    </row>
    <row r="12" spans="1:16" s="28" customFormat="1" ht="12.75" customHeight="1">
      <c r="A12" s="181">
        <f t="shared" si="0"/>
        <v>8</v>
      </c>
      <c r="B12" s="84" t="s">
        <v>134</v>
      </c>
      <c r="C12" s="85">
        <v>33410</v>
      </c>
      <c r="D12" s="85">
        <v>37063</v>
      </c>
      <c r="E12" s="85">
        <v>35961</v>
      </c>
      <c r="F12" s="85" t="s">
        <v>130</v>
      </c>
      <c r="G12" s="85">
        <v>35961</v>
      </c>
      <c r="H12" s="233">
        <v>43266</v>
      </c>
      <c r="I12" s="234">
        <v>3498.84</v>
      </c>
      <c r="J12" s="86">
        <v>18900243</v>
      </c>
      <c r="K12" s="28" t="s">
        <v>256</v>
      </c>
      <c r="L12" s="535">
        <f>ROUND(((H12-$L$8)/30.42),0)</f>
        <v>90</v>
      </c>
      <c r="M12" s="389">
        <f t="shared" si="1"/>
        <v>291.57</v>
      </c>
      <c r="N12" s="389">
        <f t="shared" si="2"/>
        <v>26241.3</v>
      </c>
      <c r="O12" s="536">
        <v>26240.87</v>
      </c>
      <c r="P12" s="389">
        <f t="shared" si="3"/>
        <v>-0.43000000000029104</v>
      </c>
    </row>
    <row r="13" spans="1:16" s="28" customFormat="1" ht="12.75" customHeight="1">
      <c r="A13" s="181">
        <f t="shared" si="0"/>
        <v>9</v>
      </c>
      <c r="B13" s="235" t="s">
        <v>42</v>
      </c>
      <c r="C13" s="85">
        <v>33616</v>
      </c>
      <c r="D13" s="85">
        <f>DATE(2022,1,12)</f>
        <v>44573</v>
      </c>
      <c r="E13" s="236">
        <v>37701</v>
      </c>
      <c r="F13" s="236"/>
      <c r="G13" s="236"/>
      <c r="H13" s="233">
        <f>DATE(2022,1,12)</f>
        <v>44573</v>
      </c>
      <c r="I13" s="234">
        <f>95.09*12</f>
        <v>1141.08</v>
      </c>
      <c r="J13" s="86">
        <v>18900293</v>
      </c>
      <c r="K13" s="28" t="s">
        <v>256</v>
      </c>
      <c r="L13" s="535">
        <f>ROUND(((H13-$L$8)/30.42),0)</f>
        <v>132</v>
      </c>
      <c r="M13" s="389">
        <f t="shared" si="1"/>
        <v>95.08999999999999</v>
      </c>
      <c r="N13" s="389">
        <f t="shared" si="2"/>
        <v>12551.88</v>
      </c>
      <c r="O13" s="536">
        <v>12552.06</v>
      </c>
      <c r="P13" s="389">
        <f t="shared" si="3"/>
        <v>0.18000000000029104</v>
      </c>
    </row>
    <row r="14" spans="1:16" s="28" customFormat="1" ht="12.75" customHeight="1">
      <c r="A14" s="181">
        <f t="shared" si="0"/>
        <v>10</v>
      </c>
      <c r="B14" s="235" t="s">
        <v>43</v>
      </c>
      <c r="C14" s="85">
        <v>33616</v>
      </c>
      <c r="D14" s="85">
        <f>DATE(2022,1,13)</f>
        <v>44574</v>
      </c>
      <c r="E14" s="236">
        <v>37701</v>
      </c>
      <c r="F14" s="236"/>
      <c r="G14" s="236"/>
      <c r="H14" s="233">
        <f>DATE(2022,1,13)</f>
        <v>44574</v>
      </c>
      <c r="I14" s="234">
        <f>221.88*12</f>
        <v>2662.56</v>
      </c>
      <c r="J14" s="86">
        <v>18900303</v>
      </c>
      <c r="K14" s="535" t="s">
        <v>256</v>
      </c>
      <c r="L14" s="537">
        <f>ROUND(((H14-$L$8)/30.42),0)-1</f>
        <v>132</v>
      </c>
      <c r="M14" s="389">
        <f t="shared" si="1"/>
        <v>221.88</v>
      </c>
      <c r="N14" s="389">
        <f t="shared" si="2"/>
        <v>29288.16</v>
      </c>
      <c r="O14" s="536">
        <v>29287.29</v>
      </c>
      <c r="P14" s="389">
        <f t="shared" si="3"/>
        <v>-0.8699999999989814</v>
      </c>
    </row>
    <row r="15" spans="1:16" s="28" customFormat="1" ht="12.75" customHeight="1">
      <c r="A15" s="181">
        <f t="shared" si="0"/>
        <v>11</v>
      </c>
      <c r="B15" s="235" t="s">
        <v>121</v>
      </c>
      <c r="C15" s="85">
        <v>33828</v>
      </c>
      <c r="D15" s="85">
        <v>44785</v>
      </c>
      <c r="E15" s="236">
        <v>37770</v>
      </c>
      <c r="F15" s="236"/>
      <c r="G15" s="236"/>
      <c r="H15" s="233">
        <v>44785</v>
      </c>
      <c r="I15" s="234">
        <f>5207.14*12</f>
        <v>62485.68000000001</v>
      </c>
      <c r="J15" s="86">
        <v>18900323</v>
      </c>
      <c r="K15" s="28" t="s">
        <v>256</v>
      </c>
      <c r="L15" s="537">
        <f>ROUND(((H15-$L$8)/30.42),0)+1</f>
        <v>140</v>
      </c>
      <c r="M15" s="389">
        <f t="shared" si="1"/>
        <v>5207.14</v>
      </c>
      <c r="N15" s="389">
        <f t="shared" si="2"/>
        <v>728999.6000000001</v>
      </c>
      <c r="O15" s="536">
        <v>728999.96</v>
      </c>
      <c r="P15" s="389">
        <f t="shared" si="3"/>
        <v>0.35999999986961484</v>
      </c>
    </row>
    <row r="16" spans="1:16" s="28" customFormat="1" ht="12.75" customHeight="1">
      <c r="A16" s="181">
        <f t="shared" si="0"/>
        <v>12</v>
      </c>
      <c r="B16" s="235" t="s">
        <v>142</v>
      </c>
      <c r="C16" s="85">
        <v>34199</v>
      </c>
      <c r="D16" s="85">
        <v>45156</v>
      </c>
      <c r="E16" s="236">
        <v>37851</v>
      </c>
      <c r="H16" s="233">
        <v>45156</v>
      </c>
      <c r="I16" s="234">
        <f>887.99*12</f>
        <v>10655.880000000001</v>
      </c>
      <c r="J16" s="86">
        <v>18900353</v>
      </c>
      <c r="K16" s="535" t="s">
        <v>256</v>
      </c>
      <c r="L16" s="537">
        <f>ROUND(((H16-$L$8)/30.42),0)-1</f>
        <v>151</v>
      </c>
      <c r="M16" s="389">
        <f t="shared" si="1"/>
        <v>887.9900000000001</v>
      </c>
      <c r="N16" s="389">
        <f t="shared" si="2"/>
        <v>134086.49000000002</v>
      </c>
      <c r="O16" s="536">
        <v>134088.54</v>
      </c>
      <c r="P16" s="389">
        <f t="shared" si="3"/>
        <v>2.0499999999883585</v>
      </c>
    </row>
    <row r="17" spans="1:16" s="28" customFormat="1" ht="12.75" customHeight="1">
      <c r="A17" s="181">
        <f t="shared" si="0"/>
        <v>13</v>
      </c>
      <c r="B17" s="84" t="s">
        <v>135</v>
      </c>
      <c r="C17" s="85">
        <v>33161</v>
      </c>
      <c r="D17" s="85">
        <v>35718</v>
      </c>
      <c r="E17" s="85">
        <v>34372</v>
      </c>
      <c r="F17" s="85" t="s">
        <v>131</v>
      </c>
      <c r="G17" s="85">
        <v>34366</v>
      </c>
      <c r="H17" s="233">
        <v>45323</v>
      </c>
      <c r="I17" s="234">
        <v>168880.08</v>
      </c>
      <c r="J17" s="86">
        <v>18900173</v>
      </c>
      <c r="K17" s="28" t="s">
        <v>256</v>
      </c>
      <c r="L17" s="535">
        <f aca="true" t="shared" si="4" ref="L17:L25">ROUND(((H17-$L$8)/30.42),0)</f>
        <v>157</v>
      </c>
      <c r="M17" s="389">
        <f t="shared" si="1"/>
        <v>14073.339999999998</v>
      </c>
      <c r="N17" s="389">
        <f aca="true" t="shared" si="5" ref="N17:N22">L17*M17</f>
        <v>2209514.38</v>
      </c>
      <c r="O17" s="536">
        <v>2209515.04</v>
      </c>
      <c r="P17" s="389">
        <f aca="true" t="shared" si="6" ref="P17:P22">O17-N17</f>
        <v>0.6600000001490116</v>
      </c>
    </row>
    <row r="18" spans="1:16" s="28" customFormat="1" ht="12.75" customHeight="1">
      <c r="A18" s="181">
        <f t="shared" si="0"/>
        <v>14</v>
      </c>
      <c r="B18" s="84" t="s">
        <v>119</v>
      </c>
      <c r="C18" s="85">
        <v>35587</v>
      </c>
      <c r="D18" s="85">
        <v>46539</v>
      </c>
      <c r="E18" s="85">
        <v>38504</v>
      </c>
      <c r="F18" s="85"/>
      <c r="G18" s="85"/>
      <c r="H18" s="233">
        <v>46539</v>
      </c>
      <c r="I18" s="234">
        <f>229804.2</f>
        <v>229804.2</v>
      </c>
      <c r="J18" s="86">
        <v>18900193</v>
      </c>
      <c r="K18" s="28" t="s">
        <v>256</v>
      </c>
      <c r="L18" s="535">
        <f t="shared" si="4"/>
        <v>197</v>
      </c>
      <c r="M18" s="389">
        <f t="shared" si="1"/>
        <v>19150.350000000002</v>
      </c>
      <c r="N18" s="389">
        <f t="shared" si="5"/>
        <v>3772618.9500000007</v>
      </c>
      <c r="O18" s="536">
        <v>3772618.21</v>
      </c>
      <c r="P18" s="389">
        <f t="shared" si="6"/>
        <v>-0.7400000006891787</v>
      </c>
    </row>
    <row r="19" spans="1:16" s="28" customFormat="1" ht="12.75" customHeight="1">
      <c r="A19" s="181">
        <f t="shared" si="0"/>
        <v>15</v>
      </c>
      <c r="B19" s="235" t="s">
        <v>38</v>
      </c>
      <c r="C19" s="85">
        <v>33457</v>
      </c>
      <c r="D19" s="85">
        <f>DATE(2021,8,1)</f>
        <v>44409</v>
      </c>
      <c r="E19" s="236">
        <v>37691</v>
      </c>
      <c r="F19" s="236" t="s">
        <v>132</v>
      </c>
      <c r="G19" s="236">
        <v>37691</v>
      </c>
      <c r="H19" s="233">
        <v>47908</v>
      </c>
      <c r="I19" s="234">
        <v>45480.48</v>
      </c>
      <c r="J19" s="86">
        <v>18900253</v>
      </c>
      <c r="K19" s="28" t="s">
        <v>256</v>
      </c>
      <c r="L19" s="535">
        <f t="shared" si="4"/>
        <v>242</v>
      </c>
      <c r="M19" s="389">
        <f t="shared" si="1"/>
        <v>3790.0400000000004</v>
      </c>
      <c r="N19" s="389">
        <f t="shared" si="5"/>
        <v>917189.68</v>
      </c>
      <c r="O19" s="536">
        <v>917189.11</v>
      </c>
      <c r="P19" s="389">
        <f t="shared" si="6"/>
        <v>-0.5700000000651926</v>
      </c>
    </row>
    <row r="20" spans="1:16" s="28" customFormat="1" ht="12.75" customHeight="1">
      <c r="A20" s="181">
        <f t="shared" si="0"/>
        <v>16</v>
      </c>
      <c r="B20" s="235" t="s">
        <v>39</v>
      </c>
      <c r="C20" s="85">
        <v>33457</v>
      </c>
      <c r="D20" s="85">
        <f>DATE(2021,8,1)</f>
        <v>44409</v>
      </c>
      <c r="E20" s="236">
        <v>37691</v>
      </c>
      <c r="F20" s="236" t="s">
        <v>132</v>
      </c>
      <c r="G20" s="236">
        <v>37691</v>
      </c>
      <c r="H20" s="233">
        <v>47908</v>
      </c>
      <c r="I20" s="234">
        <v>34561.44</v>
      </c>
      <c r="J20" s="86">
        <v>18900263</v>
      </c>
      <c r="K20" s="28" t="s">
        <v>256</v>
      </c>
      <c r="L20" s="535">
        <f t="shared" si="4"/>
        <v>242</v>
      </c>
      <c r="M20" s="389">
        <f t="shared" si="1"/>
        <v>2880.1200000000003</v>
      </c>
      <c r="N20" s="389">
        <f t="shared" si="5"/>
        <v>696989.04</v>
      </c>
      <c r="O20" s="536">
        <v>696988.14</v>
      </c>
      <c r="P20" s="389">
        <f t="shared" si="6"/>
        <v>-0.9000000000232831</v>
      </c>
    </row>
    <row r="21" spans="1:16" s="28" customFormat="1" ht="12.75" customHeight="1">
      <c r="A21" s="181">
        <f t="shared" si="0"/>
        <v>17</v>
      </c>
      <c r="B21" s="235" t="s">
        <v>40</v>
      </c>
      <c r="C21" s="85">
        <v>33664</v>
      </c>
      <c r="D21" s="85">
        <f>DATE(2022,3,1)</f>
        <v>44621</v>
      </c>
      <c r="E21" s="236">
        <v>37691</v>
      </c>
      <c r="F21" s="236" t="s">
        <v>132</v>
      </c>
      <c r="G21" s="236">
        <v>37691</v>
      </c>
      <c r="H21" s="233">
        <v>47908</v>
      </c>
      <c r="I21" s="234">
        <v>105825.48</v>
      </c>
      <c r="J21" s="86">
        <v>18900273</v>
      </c>
      <c r="K21" s="28" t="s">
        <v>256</v>
      </c>
      <c r="L21" s="535">
        <f t="shared" si="4"/>
        <v>242</v>
      </c>
      <c r="M21" s="389">
        <f t="shared" si="1"/>
        <v>8818.789999999999</v>
      </c>
      <c r="N21" s="389">
        <f t="shared" si="5"/>
        <v>2134147.1799999997</v>
      </c>
      <c r="O21" s="536">
        <v>2134146.13</v>
      </c>
      <c r="P21" s="389">
        <f t="shared" si="6"/>
        <v>-1.0499999998137355</v>
      </c>
    </row>
    <row r="22" spans="1:16" s="28" customFormat="1" ht="12.75" customHeight="1">
      <c r="A22" s="181">
        <f t="shared" si="0"/>
        <v>18</v>
      </c>
      <c r="B22" s="235" t="s">
        <v>41</v>
      </c>
      <c r="C22" s="85">
        <v>33664</v>
      </c>
      <c r="D22" s="85">
        <f>DATE(2022,3,1)</f>
        <v>44621</v>
      </c>
      <c r="E22" s="236">
        <v>37691</v>
      </c>
      <c r="F22" s="236" t="s">
        <v>132</v>
      </c>
      <c r="G22" s="236">
        <v>37691</v>
      </c>
      <c r="H22" s="233">
        <v>47908</v>
      </c>
      <c r="I22" s="234">
        <v>32297.76</v>
      </c>
      <c r="J22" s="86">
        <v>18900283</v>
      </c>
      <c r="K22" s="28" t="s">
        <v>256</v>
      </c>
      <c r="L22" s="535">
        <f t="shared" si="4"/>
        <v>242</v>
      </c>
      <c r="M22" s="389">
        <f t="shared" si="1"/>
        <v>2691.48</v>
      </c>
      <c r="N22" s="389">
        <f t="shared" si="5"/>
        <v>651338.16</v>
      </c>
      <c r="O22" s="536">
        <v>651339.39</v>
      </c>
      <c r="P22" s="389">
        <f t="shared" si="6"/>
        <v>1.2299999999813735</v>
      </c>
    </row>
    <row r="23" spans="1:16" s="28" customFormat="1" ht="12.75" customHeight="1">
      <c r="A23" s="181">
        <f>A22+1</f>
        <v>19</v>
      </c>
      <c r="B23" s="84" t="s">
        <v>97</v>
      </c>
      <c r="C23" s="85">
        <v>38183</v>
      </c>
      <c r="D23" s="85">
        <v>38913</v>
      </c>
      <c r="E23" s="85">
        <v>38499</v>
      </c>
      <c r="F23" s="85" t="s">
        <v>98</v>
      </c>
      <c r="G23" s="85">
        <v>38499</v>
      </c>
      <c r="H23" s="233">
        <v>49456</v>
      </c>
      <c r="I23" s="234">
        <f>17086.56</f>
        <v>17086.56</v>
      </c>
      <c r="J23" s="86">
        <v>18900183</v>
      </c>
      <c r="K23" s="28" t="s">
        <v>256</v>
      </c>
      <c r="L23" s="535">
        <f t="shared" si="4"/>
        <v>293</v>
      </c>
      <c r="M23" s="389">
        <f t="shared" si="1"/>
        <v>1423.88</v>
      </c>
      <c r="N23" s="389">
        <f t="shared" si="2"/>
        <v>417196.84</v>
      </c>
      <c r="O23" s="536">
        <v>417196.29</v>
      </c>
      <c r="P23" s="389">
        <f t="shared" si="3"/>
        <v>-0.5500000000465661</v>
      </c>
    </row>
    <row r="24" spans="1:16" s="28" customFormat="1" ht="12.75" customHeight="1">
      <c r="A24" s="181">
        <f t="shared" si="0"/>
        <v>20</v>
      </c>
      <c r="B24" s="84" t="s">
        <v>27</v>
      </c>
      <c r="C24" s="85">
        <v>37035</v>
      </c>
      <c r="D24" s="85">
        <v>51682</v>
      </c>
      <c r="E24" s="85">
        <v>38898</v>
      </c>
      <c r="F24" s="85" t="s">
        <v>133</v>
      </c>
      <c r="G24" s="85">
        <v>38898</v>
      </c>
      <c r="H24" s="233">
        <v>49841</v>
      </c>
      <c r="I24" s="234">
        <f>(16418.45*12)</f>
        <v>197021.40000000002</v>
      </c>
      <c r="J24" s="86">
        <v>18900373</v>
      </c>
      <c r="K24" s="28" t="s">
        <v>256</v>
      </c>
      <c r="L24" s="535">
        <f t="shared" si="4"/>
        <v>306</v>
      </c>
      <c r="M24" s="389">
        <f t="shared" si="1"/>
        <v>16418.45</v>
      </c>
      <c r="N24" s="389">
        <f t="shared" si="2"/>
        <v>5024045.7</v>
      </c>
      <c r="O24" s="536">
        <v>5024044.96</v>
      </c>
      <c r="P24" s="389">
        <f t="shared" si="3"/>
        <v>-0.7400000002235174</v>
      </c>
    </row>
    <row r="25" spans="1:16" s="28" customFormat="1" ht="12.75" customHeight="1">
      <c r="A25" s="181">
        <f t="shared" si="0"/>
        <v>21</v>
      </c>
      <c r="B25" s="84" t="s">
        <v>254</v>
      </c>
      <c r="C25" s="85">
        <v>33117</v>
      </c>
      <c r="D25" s="85">
        <v>44075</v>
      </c>
      <c r="E25" s="85">
        <v>40900</v>
      </c>
      <c r="F25" s="85" t="s">
        <v>255</v>
      </c>
      <c r="G25" s="85">
        <v>40869</v>
      </c>
      <c r="H25" s="233">
        <v>55472</v>
      </c>
      <c r="I25" s="234">
        <v>400518.84</v>
      </c>
      <c r="J25" s="86">
        <v>18900393</v>
      </c>
      <c r="K25" s="28" t="s">
        <v>256</v>
      </c>
      <c r="L25" s="535">
        <f t="shared" si="4"/>
        <v>491</v>
      </c>
      <c r="M25" s="389"/>
      <c r="N25" s="389"/>
      <c r="O25" s="389"/>
      <c r="P25" s="389"/>
    </row>
    <row r="26" spans="1:10" s="28" customFormat="1" ht="12.75" customHeight="1">
      <c r="A26" s="181">
        <f t="shared" si="0"/>
        <v>22</v>
      </c>
      <c r="B26" s="84"/>
      <c r="C26" s="85"/>
      <c r="D26" s="85"/>
      <c r="E26" s="85"/>
      <c r="F26" s="85"/>
      <c r="G26" s="85"/>
      <c r="H26" s="233"/>
      <c r="I26" s="237"/>
      <c r="J26" s="86"/>
    </row>
    <row r="27" spans="1:10" s="28" customFormat="1" ht="15" customHeight="1" thickBot="1">
      <c r="A27" s="181">
        <f t="shared" si="0"/>
        <v>23</v>
      </c>
      <c r="B27" s="82" t="s">
        <v>26</v>
      </c>
      <c r="C27" s="87"/>
      <c r="D27" s="87"/>
      <c r="E27" s="87"/>
      <c r="F27" s="87"/>
      <c r="G27" s="87"/>
      <c r="H27" s="87"/>
      <c r="I27" s="238">
        <f>SUM(I8:I26)</f>
        <v>1587107.0800000003</v>
      </c>
      <c r="J27" s="89"/>
    </row>
    <row r="28" spans="1:10" s="28" customFormat="1" ht="12.75" customHeight="1" thickTop="1">
      <c r="A28" s="181">
        <f t="shared" si="0"/>
        <v>24</v>
      </c>
      <c r="B28" s="90"/>
      <c r="C28" s="91"/>
      <c r="D28" s="91"/>
      <c r="E28" s="91"/>
      <c r="F28" s="91"/>
      <c r="G28" s="91"/>
      <c r="H28" s="91"/>
      <c r="I28" s="47"/>
      <c r="J28" s="88"/>
    </row>
    <row r="29" spans="1:10" s="28" customFormat="1" ht="12.75" customHeight="1">
      <c r="A29" s="181">
        <f t="shared" si="0"/>
        <v>25</v>
      </c>
      <c r="C29" s="41"/>
      <c r="D29" s="41"/>
      <c r="E29" s="41"/>
      <c r="F29" s="41"/>
      <c r="G29" s="41"/>
      <c r="H29" s="113"/>
      <c r="I29" s="47"/>
      <c r="J29" s="88"/>
    </row>
    <row r="30" spans="1:9" s="28" customFormat="1" ht="12.75" customHeight="1">
      <c r="A30" s="181">
        <f t="shared" si="0"/>
        <v>26</v>
      </c>
      <c r="B30" s="179"/>
      <c r="C30" s="180"/>
      <c r="D30" s="180"/>
      <c r="E30" s="180"/>
      <c r="F30" s="180"/>
      <c r="H30" s="29"/>
      <c r="I30" s="47"/>
    </row>
    <row r="31" spans="1:10" s="28" customFormat="1" ht="12.75" customHeight="1">
      <c r="A31" s="181">
        <f t="shared" si="0"/>
        <v>27</v>
      </c>
      <c r="B31" s="41" t="s">
        <v>137</v>
      </c>
      <c r="H31" s="29"/>
      <c r="I31" s="47"/>
      <c r="J31" s="86"/>
    </row>
    <row r="32" spans="1:9" s="28" customFormat="1" ht="12.75" customHeight="1">
      <c r="A32" s="181">
        <f t="shared" si="0"/>
        <v>28</v>
      </c>
      <c r="B32" s="205" t="s">
        <v>136</v>
      </c>
      <c r="H32" s="29"/>
      <c r="I32" s="29"/>
    </row>
    <row r="33" spans="1:9" s="28" customFormat="1" ht="12.75" customHeight="1">
      <c r="A33" s="182"/>
      <c r="H33" s="29"/>
      <c r="I33" s="29"/>
    </row>
    <row r="34" spans="8:9" s="28" customFormat="1" ht="12.75" customHeight="1">
      <c r="H34" s="29"/>
      <c r="I34" s="29"/>
    </row>
    <row r="35" spans="8:9" s="28" customFormat="1" ht="12.75" customHeight="1">
      <c r="H35" s="29"/>
      <c r="I35" s="538"/>
    </row>
    <row r="36" spans="8:9" s="28" customFormat="1" ht="12.75" customHeight="1">
      <c r="H36" s="29"/>
      <c r="I36" s="29"/>
    </row>
    <row r="37" spans="8:9" s="28" customFormat="1" ht="12.75" customHeight="1">
      <c r="H37" s="29"/>
      <c r="I37" s="29"/>
    </row>
    <row r="38" spans="8:9" s="28" customFormat="1" ht="12.75" customHeight="1">
      <c r="H38" s="29"/>
      <c r="I38" s="29"/>
    </row>
    <row r="39" spans="8:9" s="28" customFormat="1" ht="12.75" customHeight="1">
      <c r="H39" s="29"/>
      <c r="I39" s="29"/>
    </row>
    <row r="40" spans="8:9" s="28" customFormat="1" ht="12.75" customHeight="1">
      <c r="H40" s="29"/>
      <c r="I40" s="29"/>
    </row>
    <row r="41" spans="8:9" s="28" customFormat="1" ht="12.75" customHeight="1">
      <c r="H41" s="29"/>
      <c r="I41" s="29"/>
    </row>
    <row r="42" spans="8:9" s="28" customFormat="1" ht="12.75" customHeight="1">
      <c r="H42" s="29"/>
      <c r="I42" s="29"/>
    </row>
    <row r="43" spans="8:9" s="28" customFormat="1" ht="12.75" customHeight="1">
      <c r="H43" s="29"/>
      <c r="I43" s="29"/>
    </row>
    <row r="44" s="28" customFormat="1" ht="12.75" customHeight="1"/>
    <row r="45" s="28" customFormat="1" ht="12.75" customHeight="1"/>
    <row r="46" s="28" customFormat="1" ht="12.75" customHeight="1"/>
    <row r="47" s="28" customFormat="1" ht="12.75" customHeight="1"/>
    <row r="48" s="28" customFormat="1" ht="12.75" customHeight="1"/>
    <row r="49" s="28" customFormat="1" ht="12.75" customHeight="1"/>
    <row r="50" s="28" customFormat="1" ht="12.75" customHeight="1"/>
    <row r="51" s="28" customFormat="1" ht="15.75"/>
    <row r="52" s="28" customFormat="1" ht="15.75"/>
    <row r="53" s="28" customFormat="1" ht="15.75"/>
    <row r="54" s="28" customFormat="1" ht="15.75"/>
    <row r="55" s="28" customFormat="1" ht="15.75"/>
    <row r="56" s="28" customFormat="1" ht="15.75"/>
    <row r="57" s="28" customFormat="1" ht="15.75"/>
    <row r="58" s="28" customFormat="1" ht="15.75"/>
    <row r="59" s="28" customFormat="1" ht="15.75"/>
    <row r="60" s="28" customFormat="1" ht="15.75"/>
    <row r="61" s="28" customFormat="1" ht="15.75"/>
    <row r="62" s="28" customFormat="1" ht="15.75"/>
    <row r="63" s="28" customFormat="1" ht="15.75"/>
    <row r="64" s="28" customFormat="1" ht="15.75"/>
    <row r="65" s="28" customFormat="1" ht="15.75"/>
    <row r="66" s="28" customFormat="1" ht="15.75"/>
    <row r="67" s="28" customFormat="1" ht="15.75"/>
    <row r="68" s="28" customFormat="1" ht="15.75"/>
    <row r="69" s="28" customFormat="1" ht="15.75"/>
    <row r="70" s="28" customFormat="1" ht="15.75"/>
    <row r="71" s="28" customFormat="1" ht="15.75"/>
    <row r="72" s="28" customFormat="1" ht="15.75"/>
    <row r="73" s="28" customFormat="1" ht="15.75"/>
    <row r="74" s="28" customFormat="1" ht="15.75"/>
    <row r="75" s="28" customFormat="1" ht="15.75"/>
  </sheetData>
  <sheetProtection/>
  <mergeCells count="3">
    <mergeCell ref="A1:J1"/>
    <mergeCell ref="A2:J2"/>
    <mergeCell ref="A3:J3"/>
  </mergeCells>
  <printOptions horizontalCentered="1" verticalCentered="1"/>
  <pageMargins left="0.2" right="0.2" top="0.75" bottom="0.4" header="0.36" footer="0.17"/>
  <pageSetup horizontalDpi="600" verticalDpi="600" orientation="landscape"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B49"/>
  <sheetViews>
    <sheetView showGridLines="0" zoomScalePageLayoutView="0" workbookViewId="0" topLeftCell="A1">
      <selection activeCell="C25" sqref="C25"/>
    </sheetView>
  </sheetViews>
  <sheetFormatPr defaultColWidth="13.33203125" defaultRowHeight="11.25" outlineLevelRow="1"/>
  <cols>
    <col min="1" max="1" width="2.83203125" style="303" customWidth="1"/>
    <col min="2" max="2" width="40.66015625" style="303" customWidth="1"/>
    <col min="3" max="3" width="18.33203125" style="303" customWidth="1"/>
    <col min="4" max="4" width="10.66015625" style="303" customWidth="1"/>
    <col min="5" max="5" width="18.33203125" style="364" customWidth="1"/>
    <col min="6" max="6" width="10.16015625" style="303" customWidth="1"/>
    <col min="7" max="7" width="11.33203125" style="303" customWidth="1"/>
    <col min="8" max="16384" width="13.33203125" style="303" customWidth="1"/>
  </cols>
  <sheetData>
    <row r="1" spans="1:13" ht="15.75">
      <c r="A1" s="300" t="s">
        <v>2</v>
      </c>
      <c r="B1" s="301"/>
      <c r="C1" s="301"/>
      <c r="D1" s="301"/>
      <c r="E1" s="301"/>
      <c r="F1" s="301"/>
      <c r="G1" s="301"/>
      <c r="H1" s="302"/>
      <c r="I1" s="302"/>
      <c r="J1" s="302"/>
      <c r="K1" s="302"/>
      <c r="L1" s="302"/>
      <c r="M1" s="302"/>
    </row>
    <row r="2" spans="1:28" ht="15">
      <c r="A2" s="304" t="s">
        <v>177</v>
      </c>
      <c r="B2" s="305"/>
      <c r="C2" s="306"/>
      <c r="D2" s="305"/>
      <c r="E2" s="305"/>
      <c r="F2" s="305"/>
      <c r="G2" s="305"/>
      <c r="AB2" s="307" t="s">
        <v>178</v>
      </c>
    </row>
    <row r="3" spans="1:7" ht="12.75">
      <c r="A3" s="308">
        <v>41639</v>
      </c>
      <c r="B3" s="308"/>
      <c r="C3" s="308"/>
      <c r="D3" s="308"/>
      <c r="E3" s="309"/>
      <c r="F3" s="309"/>
      <c r="G3" s="309"/>
    </row>
    <row r="4" spans="1:7" ht="15">
      <c r="A4" s="310"/>
      <c r="B4" s="311"/>
      <c r="C4" s="312"/>
      <c r="D4" s="311"/>
      <c r="E4" s="313"/>
      <c r="F4" s="311"/>
      <c r="G4" s="311"/>
    </row>
    <row r="5" spans="1:7" ht="12.75">
      <c r="A5" s="310"/>
      <c r="B5" s="311"/>
      <c r="C5" s="311"/>
      <c r="D5" s="311"/>
      <c r="E5" s="313"/>
      <c r="F5" s="311"/>
      <c r="G5" s="311"/>
    </row>
    <row r="6" spans="1:7" ht="12.75">
      <c r="A6" s="98"/>
      <c r="B6" s="311"/>
      <c r="C6" s="311"/>
      <c r="D6" s="311"/>
      <c r="E6" s="313"/>
      <c r="F6" s="311"/>
      <c r="G6" s="311"/>
    </row>
    <row r="7" spans="1:9" ht="12.75">
      <c r="A7" s="98"/>
      <c r="B7" s="73" t="s">
        <v>1</v>
      </c>
      <c r="C7" s="80"/>
      <c r="D7" s="80"/>
      <c r="E7" s="314"/>
      <c r="F7" s="80"/>
      <c r="G7" s="73"/>
      <c r="H7" s="73"/>
      <c r="I7" s="73"/>
    </row>
    <row r="8" spans="1:9" ht="12.75">
      <c r="A8" s="98"/>
      <c r="B8" s="80"/>
      <c r="C8" s="76"/>
      <c r="D8" s="80"/>
      <c r="E8" s="314"/>
      <c r="F8" s="80"/>
      <c r="G8" s="315" t="s">
        <v>179</v>
      </c>
      <c r="H8" s="73"/>
      <c r="I8" s="73"/>
    </row>
    <row r="9" spans="1:9" ht="12.75">
      <c r="A9" s="98"/>
      <c r="B9" s="76" t="s">
        <v>180</v>
      </c>
      <c r="C9" s="76" t="s">
        <v>181</v>
      </c>
      <c r="D9" s="315" t="s">
        <v>182</v>
      </c>
      <c r="E9" s="315" t="s">
        <v>183</v>
      </c>
      <c r="F9" s="315" t="s">
        <v>184</v>
      </c>
      <c r="G9" s="315" t="s">
        <v>185</v>
      </c>
      <c r="H9" s="73"/>
      <c r="I9" s="73"/>
    </row>
    <row r="10" spans="1:9" ht="12.75">
      <c r="A10" s="98"/>
      <c r="B10" s="78"/>
      <c r="C10" s="78"/>
      <c r="D10" s="78"/>
      <c r="E10" s="316"/>
      <c r="F10" s="78"/>
      <c r="G10" s="78"/>
      <c r="H10" s="73"/>
      <c r="I10" s="73"/>
    </row>
    <row r="11" spans="1:9" ht="12.75">
      <c r="A11" s="98"/>
      <c r="B11" s="76"/>
      <c r="C11" s="78"/>
      <c r="D11" s="78"/>
      <c r="E11" s="316"/>
      <c r="F11" s="78"/>
      <c r="G11" s="78"/>
      <c r="H11" s="73"/>
      <c r="I11" s="73"/>
    </row>
    <row r="12" spans="1:9" ht="12.75">
      <c r="A12" s="98"/>
      <c r="B12" s="317" t="s">
        <v>186</v>
      </c>
      <c r="C12" s="318">
        <f>'Pg 3 STD Cost Rate'!C24</f>
        <v>98935275.12573771</v>
      </c>
      <c r="D12" s="319">
        <f>ROUND(C12/C$27,4)</f>
        <v>0.0134</v>
      </c>
      <c r="E12" s="320">
        <f>'Pg 3 STD Cost Rate'!E24</f>
        <v>5681077.817625333</v>
      </c>
      <c r="F12" s="321">
        <f>ROUND(E12/C12,4)</f>
        <v>0.0574</v>
      </c>
      <c r="G12" s="322">
        <f>ROUND(+D12*F12,4)</f>
        <v>0.0008</v>
      </c>
      <c r="H12" s="73"/>
      <c r="I12" s="73"/>
    </row>
    <row r="13" spans="1:9" ht="12.75">
      <c r="A13" s="98"/>
      <c r="B13" s="317"/>
      <c r="C13" s="318"/>
      <c r="D13" s="319"/>
      <c r="E13" s="320"/>
      <c r="F13" s="321"/>
      <c r="G13" s="322"/>
      <c r="H13" s="73"/>
      <c r="I13" s="73"/>
    </row>
    <row r="14" spans="1:9" ht="12.75" hidden="1" outlineLevel="1">
      <c r="A14" s="98"/>
      <c r="B14" s="323" t="s">
        <v>187</v>
      </c>
      <c r="C14" s="324">
        <f>'Pg 6 LTD Cost '!V32</f>
        <v>3773860000</v>
      </c>
      <c r="D14" s="325">
        <f>ROUND(C14/C$27,4)</f>
        <v>0.5125</v>
      </c>
      <c r="E14" s="326">
        <f>'Pg 6 LTD Cost '!Y32</f>
        <v>234642223.2837576</v>
      </c>
      <c r="F14" s="327">
        <f>ROUND(E14/C14,4)</f>
        <v>0.0622</v>
      </c>
      <c r="G14" s="328">
        <f>ROUND(+D14*F14,4)</f>
        <v>0.0319</v>
      </c>
      <c r="H14" s="73"/>
      <c r="I14" s="73"/>
    </row>
    <row r="15" spans="1:9" ht="12.75" hidden="1" outlineLevel="1">
      <c r="A15" s="98"/>
      <c r="B15" s="323" t="s">
        <v>188</v>
      </c>
      <c r="C15" s="324"/>
      <c r="D15" s="325"/>
      <c r="E15" s="326"/>
      <c r="F15" s="327"/>
      <c r="G15" s="328"/>
      <c r="H15" s="73"/>
      <c r="I15" s="73"/>
    </row>
    <row r="16" spans="1:9" ht="12.75" hidden="1" outlineLevel="1">
      <c r="A16" s="98"/>
      <c r="B16" s="323" t="s">
        <v>189</v>
      </c>
      <c r="C16" s="324"/>
      <c r="D16" s="325"/>
      <c r="E16" s="326"/>
      <c r="F16" s="327"/>
      <c r="G16" s="328"/>
      <c r="H16" s="73"/>
      <c r="I16" s="73"/>
    </row>
    <row r="17" spans="1:9" ht="12.75" hidden="1" outlineLevel="1">
      <c r="A17" s="98"/>
      <c r="B17" s="323" t="s">
        <v>190</v>
      </c>
      <c r="C17" s="329"/>
      <c r="D17" s="325">
        <f>ROUND(C17/C$27,4)</f>
        <v>0</v>
      </c>
      <c r="E17" s="330"/>
      <c r="F17" s="327"/>
      <c r="G17" s="328">
        <f>ROUND(+D17*F17,4)</f>
        <v>0</v>
      </c>
      <c r="H17" s="73"/>
      <c r="I17" s="73"/>
    </row>
    <row r="18" spans="1:9" ht="12.75" hidden="1" outlineLevel="1">
      <c r="A18" s="98"/>
      <c r="B18" s="331"/>
      <c r="C18" s="318"/>
      <c r="D18" s="319" t="s">
        <v>1</v>
      </c>
      <c r="E18" s="320"/>
      <c r="F18" s="321"/>
      <c r="G18" s="322"/>
      <c r="H18" s="73"/>
      <c r="I18" s="73"/>
    </row>
    <row r="19" spans="1:9" ht="12.75" collapsed="1">
      <c r="A19" s="98"/>
      <c r="B19" s="332" t="s">
        <v>191</v>
      </c>
      <c r="C19" s="318">
        <f>SUM(C14:C18)</f>
        <v>3773860000</v>
      </c>
      <c r="D19" s="319">
        <f>ROUND(C19/C27,4)</f>
        <v>0.5125</v>
      </c>
      <c r="E19" s="318">
        <f>SUM(E14:E18)</f>
        <v>234642223.2837576</v>
      </c>
      <c r="F19" s="333">
        <f>ROUND(E19/C19,4)</f>
        <v>0.0622</v>
      </c>
      <c r="G19" s="322">
        <f>ROUND(+D19*F19,4)</f>
        <v>0.0319</v>
      </c>
      <c r="H19" s="73"/>
      <c r="I19" s="73"/>
    </row>
    <row r="20" spans="1:9" ht="12.75">
      <c r="A20" s="98"/>
      <c r="B20" s="78"/>
      <c r="C20" s="334"/>
      <c r="D20" s="334"/>
      <c r="E20" s="320"/>
      <c r="F20" s="334"/>
      <c r="G20" s="334"/>
      <c r="H20" s="73"/>
      <c r="I20" s="73"/>
    </row>
    <row r="21" spans="1:9" ht="12.75">
      <c r="A21" s="98"/>
      <c r="B21" s="79" t="s">
        <v>192</v>
      </c>
      <c r="C21" s="335">
        <f>C19+C12</f>
        <v>3872795275.1257377</v>
      </c>
      <c r="D21" s="336">
        <f>ROUND(C21/$C$27,4)</f>
        <v>0.5259</v>
      </c>
      <c r="E21" s="337">
        <f>E19+E12</f>
        <v>240323301.10138294</v>
      </c>
      <c r="F21" s="338">
        <f>ROUND(E21/C21,4)</f>
        <v>0.0621</v>
      </c>
      <c r="G21" s="339">
        <f>ROUND(+D21*F21,4)</f>
        <v>0.0327</v>
      </c>
      <c r="H21" s="73"/>
      <c r="I21" s="73"/>
    </row>
    <row r="22" spans="1:9" ht="12.75">
      <c r="A22" s="98"/>
      <c r="B22" s="80"/>
      <c r="C22" s="340"/>
      <c r="D22" s="319"/>
      <c r="E22" s="320"/>
      <c r="F22" s="340"/>
      <c r="G22" s="340"/>
      <c r="H22" s="73"/>
      <c r="I22" s="73"/>
    </row>
    <row r="23" spans="1:9" ht="12.75">
      <c r="A23" s="98"/>
      <c r="B23" s="79" t="s">
        <v>193</v>
      </c>
      <c r="C23" s="341">
        <v>0</v>
      </c>
      <c r="D23" s="319">
        <f>ROUND(C23/$C$27,4)</f>
        <v>0</v>
      </c>
      <c r="E23" s="342">
        <v>0</v>
      </c>
      <c r="F23" s="368">
        <v>0</v>
      </c>
      <c r="G23" s="322">
        <f>ROUND(+D23*F23,4)</f>
        <v>0</v>
      </c>
      <c r="H23" s="73"/>
      <c r="I23" s="73"/>
    </row>
    <row r="24" spans="1:9" ht="12.75">
      <c r="A24" s="98"/>
      <c r="B24" s="80"/>
      <c r="C24" s="318"/>
      <c r="D24" s="319"/>
      <c r="E24" s="320"/>
      <c r="F24" s="340"/>
      <c r="G24" s="340"/>
      <c r="H24" s="73"/>
      <c r="I24" s="73"/>
    </row>
    <row r="25" spans="1:9" ht="12.75">
      <c r="A25" s="98"/>
      <c r="B25" s="79" t="s">
        <v>199</v>
      </c>
      <c r="C25" s="335">
        <f>'Pg 2 CapStructure'!O34-'Pg 2 CapStructure'!O38</f>
        <v>3491048231</v>
      </c>
      <c r="D25" s="336">
        <f>ROUND(C25/$C$27,4)</f>
        <v>0.4741</v>
      </c>
      <c r="E25" s="343"/>
      <c r="F25" s="344">
        <f>'Pg 1 CofCap'!E18</f>
        <v>0.098</v>
      </c>
      <c r="G25" s="339">
        <f>ROUND(+D25*F25,4)</f>
        <v>0.0465</v>
      </c>
      <c r="H25" s="73"/>
      <c r="I25" s="73"/>
    </row>
    <row r="26" spans="1:9" ht="12.75">
      <c r="A26" s="98"/>
      <c r="B26" s="80"/>
      <c r="C26" s="345"/>
      <c r="D26" s="346"/>
      <c r="E26" s="320"/>
      <c r="F26" s="340"/>
      <c r="G26" s="345"/>
      <c r="H26" s="73"/>
      <c r="I26" s="73"/>
    </row>
    <row r="27" spans="1:9" ht="12.75">
      <c r="A27" s="98"/>
      <c r="B27" s="79" t="s">
        <v>163</v>
      </c>
      <c r="C27" s="347">
        <f>SUM(C21:C25)</f>
        <v>7363843506.125738</v>
      </c>
      <c r="D27" s="348">
        <f>SUM(D21:D25)</f>
        <v>1</v>
      </c>
      <c r="E27" s="349"/>
      <c r="F27" s="350"/>
      <c r="G27" s="351">
        <f>SUM(G21:G25)</f>
        <v>0.07919999999999999</v>
      </c>
      <c r="H27" s="73"/>
      <c r="I27" s="73"/>
    </row>
    <row r="28" spans="1:9" ht="12.75">
      <c r="A28" s="98"/>
      <c r="B28" s="73"/>
      <c r="C28" s="340"/>
      <c r="D28" s="340"/>
      <c r="E28" s="352"/>
      <c r="F28" s="340"/>
      <c r="G28" s="340"/>
      <c r="H28" s="73"/>
      <c r="I28" s="73"/>
    </row>
    <row r="29" spans="1:9" ht="12.75">
      <c r="A29" s="98"/>
      <c r="B29" s="73"/>
      <c r="C29" s="340"/>
      <c r="D29" s="340"/>
      <c r="E29" s="352"/>
      <c r="F29" s="340" t="s">
        <v>1</v>
      </c>
      <c r="G29" s="340"/>
      <c r="H29" s="73"/>
      <c r="I29" s="73"/>
    </row>
    <row r="30" spans="1:9" ht="12.75">
      <c r="A30" s="98"/>
      <c r="B30" s="73"/>
      <c r="C30" s="353"/>
      <c r="D30" s="73"/>
      <c r="E30" s="354"/>
      <c r="F30" s="73"/>
      <c r="G30" s="73"/>
      <c r="H30" s="73"/>
      <c r="I30" s="73"/>
    </row>
    <row r="31" spans="1:7" ht="12.75">
      <c r="A31" s="98"/>
      <c r="B31" s="355" t="s">
        <v>194</v>
      </c>
      <c r="C31" s="311"/>
      <c r="D31" s="311"/>
      <c r="E31" s="313"/>
      <c r="F31" s="311"/>
      <c r="G31" s="311"/>
    </row>
    <row r="32" spans="1:7" ht="12.75">
      <c r="A32" s="98"/>
      <c r="B32" s="356" t="s">
        <v>195</v>
      </c>
      <c r="C32" s="311"/>
      <c r="D32" s="311"/>
      <c r="E32" s="313"/>
      <c r="F32" s="311"/>
      <c r="G32" s="311"/>
    </row>
    <row r="33" spans="1:7" ht="12.75">
      <c r="A33" s="98"/>
      <c r="B33" s="357" t="s">
        <v>198</v>
      </c>
      <c r="C33" s="311"/>
      <c r="D33" s="311"/>
      <c r="E33" s="313"/>
      <c r="F33" s="311"/>
      <c r="G33" s="311"/>
    </row>
    <row r="34" spans="1:7" ht="12.75">
      <c r="A34" s="358"/>
      <c r="B34" s="355" t="s">
        <v>200</v>
      </c>
      <c r="C34" s="311"/>
      <c r="D34" s="311"/>
      <c r="E34" s="313"/>
      <c r="F34" s="311"/>
      <c r="G34" s="311"/>
    </row>
    <row r="35" spans="1:7" ht="12.75">
      <c r="A35" s="358"/>
      <c r="B35" s="311"/>
      <c r="C35" s="311"/>
      <c r="D35" s="311"/>
      <c r="E35" s="313"/>
      <c r="F35" s="311"/>
      <c r="G35" s="311"/>
    </row>
    <row r="36" spans="1:7" ht="12.75">
      <c r="A36" s="310"/>
      <c r="B36" s="311"/>
      <c r="C36" s="311"/>
      <c r="D36" s="311"/>
      <c r="E36" s="313"/>
      <c r="F36" s="311"/>
      <c r="G36" s="311"/>
    </row>
    <row r="41" spans="3:5" ht="12.75">
      <c r="C41" s="359"/>
      <c r="D41" s="360"/>
      <c r="E41" s="361"/>
    </row>
    <row r="42" spans="4:5" ht="12.75">
      <c r="D42" s="360"/>
      <c r="E42" s="361"/>
    </row>
    <row r="43" spans="3:5" ht="12.75">
      <c r="C43" s="359"/>
      <c r="D43" s="360"/>
      <c r="E43" s="361"/>
    </row>
    <row r="44" spans="3:5" ht="12.75">
      <c r="C44" s="359"/>
      <c r="D44" s="360"/>
      <c r="E44" s="361"/>
    </row>
    <row r="45" spans="3:5" ht="12.75">
      <c r="C45" s="359"/>
      <c r="D45" s="360"/>
      <c r="E45" s="361"/>
    </row>
    <row r="46" spans="3:5" ht="12.75">
      <c r="C46" s="359"/>
      <c r="D46" s="360"/>
      <c r="E46" s="361"/>
    </row>
    <row r="47" spans="4:5" ht="12.75">
      <c r="D47" s="360"/>
      <c r="E47" s="361"/>
    </row>
    <row r="48" spans="3:5" ht="12.75">
      <c r="C48" s="359"/>
      <c r="D48" s="360"/>
      <c r="E48" s="361"/>
    </row>
    <row r="49" spans="4:5" ht="12.75">
      <c r="D49" s="362"/>
      <c r="E49" s="363"/>
    </row>
  </sheetData>
  <sheetProtection/>
  <printOptions horizontalCentered="1"/>
  <pageMargins left="0.4" right="0.47" top="0.77" bottom="0.57" header="0.35" footer="0.2"/>
  <pageSetup fitToHeight="1" fitToWidth="1" horizontalDpi="600" verticalDpi="600" orientation="portrait" r:id="rId4"/>
  <headerFooter alignWithMargins="0">
    <oddFooter>&amp;R&amp;8I:\Cost of Capital\&amp;F\&amp;A</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 Name</cp:lastModifiedBy>
  <cp:lastPrinted>2014-11-04T18:49:43Z</cp:lastPrinted>
  <dcterms:created xsi:type="dcterms:W3CDTF">2014-10-31T23:30:52Z</dcterms:created>
  <dcterms:modified xsi:type="dcterms:W3CDTF">2014-11-04T18:50:30Z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Testimony</vt:lpwstr>
  </property>
  <property fmtid="{D5CDD505-2E9C-101B-9397-08002B2CF9AE}" pid="4" name="IsHighlyConfidenti">
    <vt:lpwstr>0</vt:lpwstr>
  </property>
  <property fmtid="{D5CDD505-2E9C-101B-9397-08002B2CF9AE}" pid="5" name="DocketNumb">
    <vt:lpwstr>121697</vt:lpwstr>
  </property>
  <property fmtid="{D5CDD505-2E9C-101B-9397-08002B2CF9AE}" pid="6" name="IsConfidenti">
    <vt:lpwstr>0</vt:lpwstr>
  </property>
  <property fmtid="{D5CDD505-2E9C-101B-9397-08002B2CF9AE}" pid="7" name="Dat">
    <vt:lpwstr>2014-11-05T00:00:00Z</vt:lpwstr>
  </property>
  <property fmtid="{D5CDD505-2E9C-101B-9397-08002B2CF9AE}" pid="8" name="_docset_NoMedatataSyncRequir">
    <vt:lpwstr>False</vt:lpwstr>
  </property>
  <property fmtid="{D5CDD505-2E9C-101B-9397-08002B2CF9AE}" pid="9" name="Nickna">
    <vt:lpwstr/>
  </property>
  <property fmtid="{D5CDD505-2E9C-101B-9397-08002B2CF9AE}" pid="10" name="CaseCompanyNam">
    <vt:lpwstr>Puget Sound Energy</vt:lpwstr>
  </property>
  <property fmtid="{D5CDD505-2E9C-101B-9397-08002B2CF9AE}" pid="11" name="Proce">
    <vt:lpwstr/>
  </property>
  <property fmtid="{D5CDD505-2E9C-101B-9397-08002B2CF9AE}" pid="12" name="Visibili">
    <vt:lpwstr/>
  </property>
  <property fmtid="{D5CDD505-2E9C-101B-9397-08002B2CF9AE}" pid="13" name="DocumentGro">
    <vt:lpwstr/>
  </property>
  <property fmtid="{D5CDD505-2E9C-101B-9397-08002B2CF9AE}" pid="14" name="CaseTy">
    <vt:lpwstr>Petition</vt:lpwstr>
  </property>
  <property fmtid="{D5CDD505-2E9C-101B-9397-08002B2CF9AE}" pid="15" name="OpenedDa">
    <vt:lpwstr>2012-10-25T00:00:00Z</vt:lpwstr>
  </property>
  <property fmtid="{D5CDD505-2E9C-101B-9397-08002B2CF9AE}" pid="16" name="Pref">
    <vt:lpwstr>UE</vt:lpwstr>
  </property>
  <property fmtid="{D5CDD505-2E9C-101B-9397-08002B2CF9AE}" pid="17" name="IndustryCo">
    <vt:lpwstr>140</vt:lpwstr>
  </property>
  <property fmtid="{D5CDD505-2E9C-101B-9397-08002B2CF9AE}" pid="18" name="CaseStat">
    <vt:lpwstr>Closed</vt:lpwstr>
  </property>
</Properties>
</file>