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3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 firstSheet="29" activeTab="33"/>
  </bookViews>
  <sheets>
    <sheet name="EXH KBH-3 P3.1" sheetId="1" r:id="rId1"/>
    <sheet name="EXH KBH-3 P3.2" sheetId="4" r:id="rId2"/>
    <sheet name="EXH KBH-3 P3.3" sheetId="5" r:id="rId3"/>
    <sheet name="EXH KBH-3 P3.4" sheetId="6" r:id="rId4"/>
    <sheet name="EXH KBH-3 P3.5" sheetId="7" r:id="rId5"/>
    <sheet name=" Adj 9.01 P3.6" sheetId="35" r:id="rId6"/>
    <sheet name=" Adj 9.02 P3.7" sheetId="38" r:id="rId7"/>
    <sheet name=" Adj 9.03 P3.8" sheetId="36" r:id="rId8"/>
    <sheet name=" Adj 9.04 P3.9" sheetId="37" r:id="rId9"/>
    <sheet name="Adj 9.05 P3.10" sheetId="34" r:id="rId10"/>
    <sheet name=" Adj 9.06 P3.11" sheetId="39" r:id="rId11"/>
    <sheet name=" Adj 9.07 P3.12" sheetId="40" r:id="rId12"/>
    <sheet name=" Adj 9.08 P3.13" sheetId="41" r:id="rId13"/>
    <sheet name=" Adj 9.09 P3.14" sheetId="42" r:id="rId14"/>
    <sheet name=" Adj 9.10 P3.15" sheetId="43" r:id="rId15"/>
    <sheet name=" Adj 9.11 P3.16" sheetId="44" r:id="rId16"/>
    <sheet name=" Adj 9.12 P3.17" sheetId="45" r:id="rId17"/>
    <sheet name=" Adj 9.13 P3.18" sheetId="46" r:id="rId18"/>
    <sheet name=" Adj 9.14 P3.19" sheetId="47" r:id="rId19"/>
    <sheet name=" Adj 9.15 P3.20" sheetId="48" r:id="rId20"/>
    <sheet name=" Adj 9.16 P3.21" sheetId="49" r:id="rId21"/>
    <sheet name=" Adj 9.17 P3.22" sheetId="50" r:id="rId22"/>
    <sheet name=" Adj 9.18 P3.23" sheetId="51" r:id="rId23"/>
    <sheet name=" Adj 9.19 P3.24" sheetId="52" r:id="rId24"/>
    <sheet name=" Adj 9.20 P3.25" sheetId="53" r:id="rId25"/>
    <sheet name=" Adj 9.21 P3.26" sheetId="54" r:id="rId26"/>
    <sheet name=" Adj 9.22 P3.27" sheetId="55" r:id="rId27"/>
    <sheet name=" Adj 9.23 P3.28" sheetId="56" r:id="rId28"/>
    <sheet name="Gen Inc P3.29" sheetId="31" r:id="rId29"/>
    <sheet name="Capital P3.30" sheetId="21" r:id="rId30"/>
    <sheet name="Conv Fact P3.31" sheetId="30" r:id="rId31"/>
    <sheet name="Rev Req Comp P3.32" sheetId="59" r:id="rId32"/>
    <sheet name="Company Gas" sheetId="57" r:id="rId33"/>
    <sheet name="Staff Gas" sheetId="58" r:id="rId34"/>
    <sheet name="Capital" sheetId="60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32">'[1]Jun 99'!#REF!</definedName>
    <definedName name="\A" localSheetId="31">'[1]Jun 99'!#REF!</definedName>
    <definedName name="\A" localSheetId="33">'[1]Jun 99'!#REF!</definedName>
    <definedName name="\A">'[1]Jun 99'!#REF!</definedName>
    <definedName name="\P" localSheetId="32">#REF!</definedName>
    <definedName name="\P" localSheetId="31">#REF!</definedName>
    <definedName name="\P" localSheetId="33">#REF!</definedName>
    <definedName name="\P">#REF!</definedName>
    <definedName name="\Q" localSheetId="32">#REF!</definedName>
    <definedName name="\Q" localSheetId="31">#REF!</definedName>
    <definedName name="\Q" localSheetId="33">#REF!</definedName>
    <definedName name="\Q">#REF!</definedName>
    <definedName name="\R" localSheetId="32">#REF!</definedName>
    <definedName name="\R" localSheetId="31">#REF!</definedName>
    <definedName name="\R" localSheetId="33">#REF!</definedName>
    <definedName name="\R">#REF!</definedName>
    <definedName name="\S" localSheetId="32">#REF!</definedName>
    <definedName name="\S" localSheetId="31">#REF!</definedName>
    <definedName name="\S" localSheetId="33">#REF!</definedName>
    <definedName name="\S">#REF!</definedName>
    <definedName name="\T" localSheetId="32">#REF!</definedName>
    <definedName name="\T" localSheetId="31">#REF!</definedName>
    <definedName name="\T" localSheetId="33">#REF!</definedName>
    <definedName name="\T">#REF!</definedName>
    <definedName name="\U" localSheetId="32">#REF!</definedName>
    <definedName name="\U" localSheetId="31">#REF!</definedName>
    <definedName name="\U" localSheetId="33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32">'[3]WP 1-2'!#REF!</definedName>
    <definedName name="_div10" localSheetId="31">'[3]WP 1-2'!#REF!</definedName>
    <definedName name="_div10" localSheetId="33">'[3]WP 1-2'!#REF!</definedName>
    <definedName name="_div10">'[3]WP 1-2'!#REF!</definedName>
    <definedName name="_DIV12">'[4]Alloc factors'!$D$13</definedName>
    <definedName name="_div21" localSheetId="32">'[3]WP 1-2'!#REF!</definedName>
    <definedName name="_div21" localSheetId="31">'[3]WP 1-2'!#REF!</definedName>
    <definedName name="_div21" localSheetId="33">'[3]WP 1-2'!#REF!</definedName>
    <definedName name="_div21">'[3]WP 1-2'!#REF!</definedName>
    <definedName name="_EXH1" localSheetId="32">#REF!</definedName>
    <definedName name="_EXH1" localSheetId="31">#REF!</definedName>
    <definedName name="_EXH1" localSheetId="33">#REF!</definedName>
    <definedName name="_EXH1">#REF!</definedName>
    <definedName name="_EXH6" localSheetId="32">#REF!</definedName>
    <definedName name="_EXH6" localSheetId="31">#REF!</definedName>
    <definedName name="_EXH6" localSheetId="33">#REF!</definedName>
    <definedName name="_EXH6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hidden="1">#REF!</definedName>
    <definedName name="_Key1" localSheetId="32" hidden="1">#REF!</definedName>
    <definedName name="_Key1" localSheetId="31" hidden="1">#REF!</definedName>
    <definedName name="_Key1" localSheetId="33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32" hidden="1">#REF!</definedName>
    <definedName name="_Sort" localSheetId="31" hidden="1">#REF!</definedName>
    <definedName name="_Sort" localSheetId="33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32">#REF!</definedName>
    <definedName name="AAA" localSheetId="31">#REF!</definedName>
    <definedName name="AAA" localSheetId="33">#REF!</definedName>
    <definedName name="AAA">#REF!</definedName>
    <definedName name="AccessDatabase" hidden="1">"I:\COMTREL\FINICLE\TradeSummary.mdb"</definedName>
    <definedName name="atmos" localSheetId="32">#REF!</definedName>
    <definedName name="atmos" localSheetId="31">#REF!</definedName>
    <definedName name="atmos" localSheetId="33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32">#REF!</definedName>
    <definedName name="BBB" localSheetId="31">#REF!</definedName>
    <definedName name="BBB" localSheetId="33">#REF!</definedName>
    <definedName name="BBB">#REF!</definedName>
    <definedName name="BUSUNIT">'[7]Input '!$C$9</definedName>
    <definedName name="BUTLER" localSheetId="32">#REF!</definedName>
    <definedName name="BUTLER" localSheetId="31">#REF!</definedName>
    <definedName name="BUTLER" localSheetId="33">#REF!</definedName>
    <definedName name="BUTLER">#REF!</definedName>
    <definedName name="C_" localSheetId="32">'[4]Schedule 4 O&amp;M'!#REF!</definedName>
    <definedName name="C_" localSheetId="31">'[4]Schedule 4 O&amp;M'!#REF!</definedName>
    <definedName name="C_" localSheetId="33">'[4]Schedule 4 O&amp;M'!#REF!</definedName>
    <definedName name="C_">'[4]Schedule 4 O&amp;M'!#REF!</definedName>
    <definedName name="CBWorkbookPriority" hidden="1">-2060790043</definedName>
    <definedName name="CC" localSheetId="32">#REF!</definedName>
    <definedName name="CC" localSheetId="31">#REF!</definedName>
    <definedName name="CC" localSheetId="33">#REF!</definedName>
    <definedName name="CC">#REF!</definedName>
    <definedName name="CCC" localSheetId="32">#REF!</definedName>
    <definedName name="CCC" localSheetId="31">#REF!</definedName>
    <definedName name="CCC" localSheetId="33">#REF!</definedName>
    <definedName name="CCC">#REF!</definedName>
    <definedName name="Central_Only" localSheetId="32">'[4]Alloc factors'!#REF!</definedName>
    <definedName name="Central_Only" localSheetId="31">'[4]Alloc factors'!#REF!</definedName>
    <definedName name="Central_Only" localSheetId="33">'[4]Alloc factors'!#REF!</definedName>
    <definedName name="Central_Only">'[4]Alloc factors'!#REF!</definedName>
    <definedName name="CO">' Adj 9.01 P3.6'!$A$1</definedName>
    <definedName name="company" localSheetId="32">'[8]Company Groups'!#REF!</definedName>
    <definedName name="company" localSheetId="31">'[8]Company Groups'!#REF!</definedName>
    <definedName name="company" localSheetId="33">'[8]Company Groups'!#REF!</definedName>
    <definedName name="company">'[8]Company Groups'!#REF!</definedName>
    <definedName name="Cortez" localSheetId="32">'[4]Alloc factors'!#REF!</definedName>
    <definedName name="Cortez" localSheetId="31">'[4]Alloc factors'!#REF!</definedName>
    <definedName name="Cortez" localSheetId="33">'[4]Alloc factors'!#REF!</definedName>
    <definedName name="Cortez">'[4]Alloc factors'!#REF!</definedName>
    <definedName name="csDesignMode">1</definedName>
    <definedName name="customerinput" localSheetId="32">#REF!</definedName>
    <definedName name="customerinput" localSheetId="31">#REF!</definedName>
    <definedName name="customerinput" localSheetId="33">#REF!</definedName>
    <definedName name="customerinput">#REF!</definedName>
    <definedName name="dataset" localSheetId="32">#REF!</definedName>
    <definedName name="dataset" localSheetId="31">#REF!</definedName>
    <definedName name="dataset" localSheetId="33">#REF!</definedName>
    <definedName name="dataset">#REF!</definedName>
    <definedName name="date" localSheetId="32">#REF!</definedName>
    <definedName name="date" localSheetId="31">#REF!</definedName>
    <definedName name="date" localSheetId="33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32">'[1]Jun 99'!#REF!</definedName>
    <definedName name="DEPRECIATION" localSheetId="31">'[1]Jun 99'!#REF!</definedName>
    <definedName name="DEPRECIATION" localSheetId="33">'[1]Jun 99'!#REF!</definedName>
    <definedName name="DEPRECIATION">'[1]Jun 99'!#REF!</definedName>
    <definedName name="DFIT" hidden="1">{#N/A,#N/A,FALSE,"Coversheet";#N/A,#N/A,FALSE,"QA"}</definedName>
    <definedName name="DJInd" localSheetId="32">#REF!</definedName>
    <definedName name="DJInd" localSheetId="31">#REF!</definedName>
    <definedName name="DJInd" localSheetId="33">#REF!</definedName>
    <definedName name="DJInd">#REF!</definedName>
    <definedName name="DJUtil" localSheetId="32">#REF!</definedName>
    <definedName name="DJUtil" localSheetId="31">#REF!</definedName>
    <definedName name="DJUtil" localSheetId="33">#REF!</definedName>
    <definedName name="DJUtil">#REF!</definedName>
    <definedName name="DOCKET">' Adj 9.01 P3.6'!$A$2</definedName>
    <definedName name="Durango" localSheetId="32">'[4]Alloc factors'!#REF!</definedName>
    <definedName name="Durango" localSheetId="31">'[4]Alloc factors'!#REF!</definedName>
    <definedName name="Durango" localSheetId="33">'[4]Alloc factors'!#REF!</definedName>
    <definedName name="Durango">'[4]Alloc factors'!#REF!</definedName>
    <definedName name="EEE" localSheetId="32">#REF!</definedName>
    <definedName name="EEE" localSheetId="31">#REF!</definedName>
    <definedName name="EEE" localSheetId="33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32">#REF!</definedName>
    <definedName name="EXH1A" localSheetId="31">#REF!</definedName>
    <definedName name="EXH1A" localSheetId="33">#REF!</definedName>
    <definedName name="EXH1A">#REF!</definedName>
    <definedName name="FFF" localSheetId="32">#REF!</definedName>
    <definedName name="FFF" localSheetId="31">#REF!</definedName>
    <definedName name="FFF" localSheetId="33">#REF!</definedName>
    <definedName name="FFF">#REF!</definedName>
    <definedName name="FIT">'Conv Fact P3.31'!$D$22</definedName>
    <definedName name="Fremont" localSheetId="32">'[4]Alloc factors'!#REF!</definedName>
    <definedName name="Fremont" localSheetId="31">'[4]Alloc factors'!#REF!</definedName>
    <definedName name="Fremont" localSheetId="33">'[4]Alloc factors'!#REF!</definedName>
    <definedName name="Fremont">'[4]Alloc factors'!#REF!</definedName>
    <definedName name="GGG" localSheetId="32">#REF!</definedName>
    <definedName name="GGG" localSheetId="31">#REF!</definedName>
    <definedName name="GGG" localSheetId="33">#REF!</definedName>
    <definedName name="GGG">#REF!</definedName>
    <definedName name="GOEXP" localSheetId="32">'[7]Input '!#REF!</definedName>
    <definedName name="GOEXP" localSheetId="31">'[7]Input '!#REF!</definedName>
    <definedName name="GOEXP" localSheetId="33">'[7]Input '!#REF!</definedName>
    <definedName name="GOEXP">'[7]Input '!#REF!</definedName>
    <definedName name="GOEXP_PROFORMA">'[6]DATA INPUT'!$D$53</definedName>
    <definedName name="GOPLANT" localSheetId="32">'[7]Input '!#REF!</definedName>
    <definedName name="GOPLANT" localSheetId="31">'[7]Input '!#REF!</definedName>
    <definedName name="GOPLANT" localSheetId="33">'[7]Input '!#REF!</definedName>
    <definedName name="GOPLANT">'[7]Input '!#REF!</definedName>
    <definedName name="GOPLANT_PROFORMA">'[6]DATA INPUT'!$D$57</definedName>
    <definedName name="GRC">' Adj 9.01 P3.6'!$A$8</definedName>
    <definedName name="JURISDICTION">'[7]Input '!$C$8</definedName>
    <definedName name="KIRK" localSheetId="32">#REF!</definedName>
    <definedName name="KIRK" localSheetId="31">#REF!</definedName>
    <definedName name="KIRK" localSheetId="33">#REF!</definedName>
    <definedName name="KIRK">#REF!</definedName>
    <definedName name="Kirk_Plant" localSheetId="32">#REF!</definedName>
    <definedName name="Kirk_Plant" localSheetId="31">#REF!</definedName>
    <definedName name="Kirk_Plant" localSheetId="33">#REF!</definedName>
    <definedName name="Kirk_Plant">#REF!</definedName>
    <definedName name="LDCs" localSheetId="32">#REF!</definedName>
    <definedName name="LDCs" localSheetId="31">#REF!</definedName>
    <definedName name="LDCs" localSheetId="33">#REF!</definedName>
    <definedName name="LDCs">#REF!</definedName>
    <definedName name="LTD_Rate">'[7]Input '!$C$23</definedName>
    <definedName name="LTDcostrate" localSheetId="32">#REF!</definedName>
    <definedName name="LTDcostrate" localSheetId="31">#REF!</definedName>
    <definedName name="LTDcostrate" localSheetId="33">#REF!</definedName>
    <definedName name="LTDcostrate">#REF!</definedName>
    <definedName name="Market_Return" localSheetId="32">#REF!</definedName>
    <definedName name="Market_Return" localSheetId="31">#REF!</definedName>
    <definedName name="Market_Return" localSheetId="33">#REF!</definedName>
    <definedName name="Market_Return">#REF!</definedName>
    <definedName name="MS" localSheetId="32">#REF!</definedName>
    <definedName name="MS" localSheetId="31">#REF!</definedName>
    <definedName name="MS" localSheetId="33">#REF!</definedName>
    <definedName name="MS">#REF!</definedName>
    <definedName name="MS_Plant" localSheetId="32">#REF!</definedName>
    <definedName name="MS_Plant" localSheetId="31">#REF!</definedName>
    <definedName name="MS_Plant" localSheetId="33">#REF!</definedName>
    <definedName name="MS_Plant">#REF!</definedName>
    <definedName name="NEadit" localSheetId="32">#REF!</definedName>
    <definedName name="NEadit" localSheetId="31">#REF!</definedName>
    <definedName name="NEadit" localSheetId="33">#REF!</definedName>
    <definedName name="NEadit">#REF!</definedName>
    <definedName name="NEadv" localSheetId="32">#REF!</definedName>
    <definedName name="NEadv" localSheetId="31">#REF!</definedName>
    <definedName name="NEadv" localSheetId="33">#REF!</definedName>
    <definedName name="NEadv">#REF!</definedName>
    <definedName name="NEcash" localSheetId="32">#REF!</definedName>
    <definedName name="NEcash" localSheetId="31">#REF!</definedName>
    <definedName name="NEcash" localSheetId="33">#REF!</definedName>
    <definedName name="NEcash">#REF!</definedName>
    <definedName name="NEcwip" localSheetId="32">#REF!</definedName>
    <definedName name="NEcwip" localSheetId="31">#REF!</definedName>
    <definedName name="NEcwip" localSheetId="33">#REF!</definedName>
    <definedName name="NEcwip">#REF!</definedName>
    <definedName name="NEdep" localSheetId="32">#REF!</definedName>
    <definedName name="NEdep" localSheetId="31">#REF!</definedName>
    <definedName name="NEdep" localSheetId="33">#REF!</definedName>
    <definedName name="NEdep">#REF!</definedName>
    <definedName name="NEmatsup" localSheetId="32">#REF!</definedName>
    <definedName name="NEmatsup" localSheetId="31">#REF!</definedName>
    <definedName name="NEmatsup" localSheetId="33">#REF!</definedName>
    <definedName name="NEmatsup">#REF!</definedName>
    <definedName name="NEplant" localSheetId="32">#REF!</definedName>
    <definedName name="NEplant" localSheetId="31">#REF!</definedName>
    <definedName name="NEplant" localSheetId="33">#REF!</definedName>
    <definedName name="NEplant">#REF!</definedName>
    <definedName name="NEpp" localSheetId="32">#REF!</definedName>
    <definedName name="NEpp" localSheetId="31">#REF!</definedName>
    <definedName name="NEpp" localSheetId="33">#REF!</definedName>
    <definedName name="NEpp">#REF!</definedName>
    <definedName name="NEstorg" localSheetId="32">#REF!</definedName>
    <definedName name="NEstorg" localSheetId="31">#REF!</definedName>
    <definedName name="NEstorg" localSheetId="33">#REF!</definedName>
    <definedName name="NEstorg">#REF!</definedName>
    <definedName name="new" hidden="1">{#N/A,#N/A,FALSE,"Summ";#N/A,#N/A,FALSE,"General"}</definedName>
    <definedName name="NW_Only" localSheetId="32">'[4]Alloc factors'!#REF!</definedName>
    <definedName name="NW_Only" localSheetId="31">'[4]Alloc factors'!#REF!</definedName>
    <definedName name="NW_Only" localSheetId="33">'[4]Alloc factors'!#REF!</definedName>
    <definedName name="NW_Only">'[4]Alloc factors'!#REF!</definedName>
    <definedName name="NWadit" localSheetId="32">#REF!</definedName>
    <definedName name="NWadit" localSheetId="31">#REF!</definedName>
    <definedName name="NWadit" localSheetId="33">#REF!</definedName>
    <definedName name="NWadit">#REF!</definedName>
    <definedName name="NWadv" localSheetId="32">#REF!</definedName>
    <definedName name="NWadv" localSheetId="31">#REF!</definedName>
    <definedName name="NWadv" localSheetId="33">#REF!</definedName>
    <definedName name="NWadv">#REF!</definedName>
    <definedName name="NWcash" localSheetId="32">#REF!</definedName>
    <definedName name="NWcash" localSheetId="31">#REF!</definedName>
    <definedName name="NWcash" localSheetId="33">#REF!</definedName>
    <definedName name="NWcash">#REF!</definedName>
    <definedName name="NWcwip" localSheetId="32">#REF!</definedName>
    <definedName name="NWcwip" localSheetId="31">#REF!</definedName>
    <definedName name="NWcwip" localSheetId="33">#REF!</definedName>
    <definedName name="NWcwip">#REF!</definedName>
    <definedName name="NWdep" localSheetId="32">#REF!</definedName>
    <definedName name="NWdep" localSheetId="31">#REF!</definedName>
    <definedName name="NWdep" localSheetId="33">#REF!</definedName>
    <definedName name="NWdep">#REF!</definedName>
    <definedName name="NWmatsup" localSheetId="32">#REF!</definedName>
    <definedName name="NWmatsup" localSheetId="31">#REF!</definedName>
    <definedName name="NWmatsup" localSheetId="33">#REF!</definedName>
    <definedName name="NWmatsup">#REF!</definedName>
    <definedName name="NWplant" localSheetId="32">#REF!</definedName>
    <definedName name="NWplant" localSheetId="31">#REF!</definedName>
    <definedName name="NWplant" localSheetId="33">#REF!</definedName>
    <definedName name="NWplant">#REF!</definedName>
    <definedName name="NWpp" localSheetId="32">#REF!</definedName>
    <definedName name="NWpp" localSheetId="31">#REF!</definedName>
    <definedName name="NWpp" localSheetId="33">#REF!</definedName>
    <definedName name="NWpp">#REF!</definedName>
    <definedName name="NWstorg" localSheetId="32">#REF!</definedName>
    <definedName name="NWstorg" localSheetId="31">#REF!</definedName>
    <definedName name="NWstorg" localSheetId="33">#REF!</definedName>
    <definedName name="NWstorg">#REF!</definedName>
    <definedName name="PAGE1">#N/A</definedName>
    <definedName name="PAGE5" localSheetId="32">#REF!</definedName>
    <definedName name="PAGE5" localSheetId="31">#REF!</definedName>
    <definedName name="PAGE5" localSheetId="33">#REF!</definedName>
    <definedName name="PAGE5">#REF!</definedName>
    <definedName name="PAGE6" localSheetId="32">#REF!</definedName>
    <definedName name="PAGE6" localSheetId="31">#REF!</definedName>
    <definedName name="PAGE6" localSheetId="33">#REF!</definedName>
    <definedName name="PAGE6">#REF!</definedName>
    <definedName name="PAGE7" localSheetId="32">#REF!</definedName>
    <definedName name="PAGE7" localSheetId="31">#REF!</definedName>
    <definedName name="PAGE7" localSheetId="33">#REF!</definedName>
    <definedName name="PAGE7">#REF!</definedName>
    <definedName name="PAGE8" localSheetId="32">#REF!</definedName>
    <definedName name="PAGE8" localSheetId="31">#REF!</definedName>
    <definedName name="PAGE8" localSheetId="33">#REF!</definedName>
    <definedName name="PAGE8">#REF!</definedName>
    <definedName name="Parent_Company">'[9]Company Groups'!$B$3</definedName>
    <definedName name="_xlnm.Print_Area" localSheetId="0">'EXH KBH-3 P3.1'!$A$1:$G$50</definedName>
    <definedName name="Print_Area_MI" localSheetId="32">'[1]Jun 99'!#REF!</definedName>
    <definedName name="Print_Area_MI" localSheetId="31">'[1]Jun 99'!#REF!</definedName>
    <definedName name="Print_Area_MI" localSheetId="33">'[1]Jun 99'!#REF!</definedName>
    <definedName name="Print_Area_MI">'[1]Jun 99'!#REF!</definedName>
    <definedName name="_xlnm.Print_Titles">#N/A</definedName>
    <definedName name="PROPERTY" localSheetId="32">'[1]Jun 99'!#REF!</definedName>
    <definedName name="PROPERTY" localSheetId="31">'[1]Jun 99'!#REF!</definedName>
    <definedName name="PROPERTY" localSheetId="33">'[1]Jun 99'!#REF!</definedName>
    <definedName name="PROPERTY">'[1]Jun 99'!#REF!</definedName>
    <definedName name="PSE">' Adj 9.04 P3.9'!$A$6</definedName>
    <definedName name="Risk_Free_Rate" localSheetId="32">#REF!</definedName>
    <definedName name="Risk_Free_Rate" localSheetId="31">#REF!</definedName>
    <definedName name="Risk_Free_Rate" localSheetId="33">#REF!</definedName>
    <definedName name="Risk_Free_Rate">#REF!</definedName>
    <definedName name="ROEXP" localSheetId="32">'[7]Input '!#REF!</definedName>
    <definedName name="ROEXP" localSheetId="31">'[7]Input '!#REF!</definedName>
    <definedName name="ROEXP" localSheetId="33">'[7]Input '!#REF!</definedName>
    <definedName name="ROEXP">'[7]Input '!#REF!</definedName>
    <definedName name="ROPLANT" localSheetId="32">'[7]Input '!#REF!</definedName>
    <definedName name="ROPLANT" localSheetId="31">'[7]Input '!#REF!</definedName>
    <definedName name="ROPLANT" localSheetId="33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32">'[4]Alloc factors'!#REF!</definedName>
    <definedName name="SE_Only" localSheetId="31">'[4]Alloc factors'!#REF!</definedName>
    <definedName name="SE_Only" localSheetId="33">'[4]Alloc factors'!#REF!</definedName>
    <definedName name="SE_Only">'[4]Alloc factors'!#REF!</definedName>
    <definedName name="SEadit" localSheetId="32">#REF!</definedName>
    <definedName name="SEadit" localSheetId="31">#REF!</definedName>
    <definedName name="SEadit" localSheetId="33">#REF!</definedName>
    <definedName name="SEadit">#REF!</definedName>
    <definedName name="SEadv" localSheetId="32">#REF!</definedName>
    <definedName name="SEadv" localSheetId="31">#REF!</definedName>
    <definedName name="SEadv" localSheetId="33">#REF!</definedName>
    <definedName name="SEadv">#REF!</definedName>
    <definedName name="SEcash" localSheetId="32">#REF!</definedName>
    <definedName name="SEcash" localSheetId="31">#REF!</definedName>
    <definedName name="SEcash" localSheetId="33">#REF!</definedName>
    <definedName name="SEcash">#REF!</definedName>
    <definedName name="SEcwip" localSheetId="32">#REF!</definedName>
    <definedName name="SEcwip" localSheetId="31">#REF!</definedName>
    <definedName name="SEcwip" localSheetId="33">#REF!</definedName>
    <definedName name="SEcwip">#REF!</definedName>
    <definedName name="SEdep" localSheetId="32">#REF!</definedName>
    <definedName name="SEdep" localSheetId="31">#REF!</definedName>
    <definedName name="SEdep" localSheetId="33">#REF!</definedName>
    <definedName name="SEdep">#REF!</definedName>
    <definedName name="SEmatsup" localSheetId="32">#REF!</definedName>
    <definedName name="SEmatsup" localSheetId="31">#REF!</definedName>
    <definedName name="SEmatsup" localSheetId="33">#REF!</definedName>
    <definedName name="SEmatsup">#REF!</definedName>
    <definedName name="SEMO" localSheetId="32">#REF!</definedName>
    <definedName name="SEMO" localSheetId="31">#REF!</definedName>
    <definedName name="SEMO" localSheetId="33">#REF!</definedName>
    <definedName name="SEMO">#REF!</definedName>
    <definedName name="SEMO_Plant" localSheetId="32">#REF!</definedName>
    <definedName name="SEMO_Plant" localSheetId="31">#REF!</definedName>
    <definedName name="SEMO_Plant" localSheetId="33">#REF!</definedName>
    <definedName name="SEMO_Plant">#REF!</definedName>
    <definedName name="SEplant" localSheetId="32">#REF!</definedName>
    <definedName name="SEplant" localSheetId="31">#REF!</definedName>
    <definedName name="SEplant" localSheetId="33">#REF!</definedName>
    <definedName name="SEplant">#REF!</definedName>
    <definedName name="SEpp" localSheetId="32">#REF!</definedName>
    <definedName name="SEpp" localSheetId="31">#REF!</definedName>
    <definedName name="SEpp" localSheetId="33">#REF!</definedName>
    <definedName name="SEpp">#REF!</definedName>
    <definedName name="SEstorg" localSheetId="32">#REF!</definedName>
    <definedName name="SEstorg" localSheetId="31">#REF!</definedName>
    <definedName name="SEstorg" localSheetId="33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32">#REF!</definedName>
    <definedName name="sp" localSheetId="31">#REF!</definedName>
    <definedName name="sp" localSheetId="33">#REF!</definedName>
    <definedName name="sp">#REF!</definedName>
    <definedName name="SSExp" localSheetId="32">'[7]Input '!#REF!</definedName>
    <definedName name="SSExp" localSheetId="31">'[7]Input '!#REF!</definedName>
    <definedName name="SSExp" localSheetId="33">'[7]Input '!#REF!</definedName>
    <definedName name="SSExp">'[7]Input '!#REF!</definedName>
    <definedName name="SSPlant" localSheetId="32">'[7]Input '!#REF!</definedName>
    <definedName name="SSPlant" localSheetId="31">'[7]Input '!#REF!</definedName>
    <definedName name="SSPlant" localSheetId="33">'[7]Input '!#REF!</definedName>
    <definedName name="SSPlant">'[7]Input '!#REF!</definedName>
    <definedName name="SSS" localSheetId="32">#REF!</definedName>
    <definedName name="SSS" localSheetId="31">#REF!</definedName>
    <definedName name="SSS" localSheetId="33">#REF!</definedName>
    <definedName name="SSS">#REF!</definedName>
    <definedName name="STD_Rate">'[7]Input '!$C$24</definedName>
    <definedName name="Sttax" localSheetId="32">#REF!</definedName>
    <definedName name="Sttax" localSheetId="31">#REF!</definedName>
    <definedName name="Sttax" localSheetId="33">#REF!</definedName>
    <definedName name="Sttax">#REF!</definedName>
    <definedName name="Study_Company" localSheetId="32">#REF!</definedName>
    <definedName name="Study_Company" localSheetId="31">#REF!</definedName>
    <definedName name="Study_Company" localSheetId="33">#REF!</definedName>
    <definedName name="Study_Company">#REF!</definedName>
    <definedName name="SWadit" localSheetId="32">#REF!</definedName>
    <definedName name="SWadit" localSheetId="31">#REF!</definedName>
    <definedName name="SWadit" localSheetId="33">#REF!</definedName>
    <definedName name="SWadit">#REF!</definedName>
    <definedName name="SWadv" localSheetId="32">#REF!</definedName>
    <definedName name="SWadv" localSheetId="31">#REF!</definedName>
    <definedName name="SWadv" localSheetId="33">#REF!</definedName>
    <definedName name="SWadv">#REF!</definedName>
    <definedName name="SWcash" localSheetId="32">#REF!</definedName>
    <definedName name="SWcash" localSheetId="31">#REF!</definedName>
    <definedName name="SWcash" localSheetId="33">#REF!</definedName>
    <definedName name="SWcash">#REF!</definedName>
    <definedName name="SWcwip" localSheetId="32">#REF!</definedName>
    <definedName name="SWcwip" localSheetId="31">#REF!</definedName>
    <definedName name="SWcwip" localSheetId="33">#REF!</definedName>
    <definedName name="SWcwip">#REF!</definedName>
    <definedName name="SWdep" localSheetId="32">#REF!</definedName>
    <definedName name="SWdep" localSheetId="31">#REF!</definedName>
    <definedName name="SWdep" localSheetId="33">#REF!</definedName>
    <definedName name="SWdep">#REF!</definedName>
    <definedName name="SWmatsup" localSheetId="32">#REF!</definedName>
    <definedName name="SWmatsup" localSheetId="31">#REF!</definedName>
    <definedName name="SWmatsup" localSheetId="33">#REF!</definedName>
    <definedName name="SWmatsup">#REF!</definedName>
    <definedName name="SWplant" localSheetId="32">#REF!</definedName>
    <definedName name="SWplant" localSheetId="31">#REF!</definedName>
    <definedName name="SWplant" localSheetId="33">#REF!</definedName>
    <definedName name="SWplant">#REF!</definedName>
    <definedName name="SWpp" localSheetId="32">#REF!</definedName>
    <definedName name="SWpp" localSheetId="31">#REF!</definedName>
    <definedName name="SWpp" localSheetId="33">#REF!</definedName>
    <definedName name="SWpp">#REF!</definedName>
    <definedName name="SWstorg" localSheetId="32">#REF!</definedName>
    <definedName name="SWstorg" localSheetId="31">#REF!</definedName>
    <definedName name="SWstorg" localSheetId="33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itle">' Adj 9.01 P3.6'!$A$5</definedName>
    <definedName name="TOTadit" localSheetId="32">#REF!</definedName>
    <definedName name="TOTadit" localSheetId="31">#REF!</definedName>
    <definedName name="TOTadit" localSheetId="33">#REF!</definedName>
    <definedName name="TOTadit">#REF!</definedName>
    <definedName name="TOTadv" localSheetId="32">#REF!</definedName>
    <definedName name="TOTadv" localSheetId="31">#REF!</definedName>
    <definedName name="TOTadv" localSheetId="33">#REF!</definedName>
    <definedName name="TOTadv">#REF!</definedName>
    <definedName name="TOTcash" localSheetId="32">#REF!</definedName>
    <definedName name="TOTcash" localSheetId="31">#REF!</definedName>
    <definedName name="TOTcash" localSheetId="33">#REF!</definedName>
    <definedName name="TOTcash">#REF!</definedName>
    <definedName name="TOTcwip" localSheetId="32">#REF!</definedName>
    <definedName name="TOTcwip" localSheetId="31">#REF!</definedName>
    <definedName name="TOTcwip" localSheetId="33">#REF!</definedName>
    <definedName name="TOTcwip">#REF!</definedName>
    <definedName name="TOTdep" localSheetId="32">#REF!</definedName>
    <definedName name="TOTdep" localSheetId="31">#REF!</definedName>
    <definedName name="TOTdep" localSheetId="33">#REF!</definedName>
    <definedName name="TOTdep">#REF!</definedName>
    <definedName name="TOTmatsup" localSheetId="32">#REF!</definedName>
    <definedName name="TOTmatsup" localSheetId="31">#REF!</definedName>
    <definedName name="TOTmatsup" localSheetId="33">#REF!</definedName>
    <definedName name="TOTmatsup">#REF!</definedName>
    <definedName name="TOTplant" localSheetId="32">#REF!</definedName>
    <definedName name="TOTplant" localSheetId="31">#REF!</definedName>
    <definedName name="TOTplant" localSheetId="33">#REF!</definedName>
    <definedName name="TOTplant">#REF!</definedName>
    <definedName name="TOTpp" localSheetId="32">#REF!</definedName>
    <definedName name="TOTpp" localSheetId="31">#REF!</definedName>
    <definedName name="TOTpp" localSheetId="33">#REF!</definedName>
    <definedName name="TOTpp">#REF!</definedName>
    <definedName name="TOTstorg" localSheetId="32">#REF!</definedName>
    <definedName name="TOTstorg" localSheetId="31">#REF!</definedName>
    <definedName name="TOTstorg" localSheetId="33">#REF!</definedName>
    <definedName name="TOTstorg">#REF!</definedName>
    <definedName name="Trans" localSheetId="32">#REF!</definedName>
    <definedName name="Trans" localSheetId="31">#REF!</definedName>
    <definedName name="Trans" localSheetId="33">#REF!</definedName>
    <definedName name="Trans">#REF!</definedName>
    <definedName name="TY">' Adj 9.01 P3.6'!$A$7</definedName>
    <definedName name="u" hidden="1">{#N/A,#N/A,FALSE,"Summ";#N/A,#N/A,FALSE,"General"}</definedName>
    <definedName name="valueline" localSheetId="32">#REF!</definedName>
    <definedName name="valueline" localSheetId="31">#REF!</definedName>
    <definedName name="valueline" localSheetId="33">#REF!</definedName>
    <definedName name="valueline">#REF!</definedName>
    <definedName name="WP_2_3" localSheetId="32">#REF!</definedName>
    <definedName name="WP_2_3" localSheetId="31">#REF!</definedName>
    <definedName name="WP_2_3" localSheetId="33">#REF!</definedName>
    <definedName name="WP_2_3">#REF!</definedName>
    <definedName name="WP_3_1" localSheetId="32">#REF!</definedName>
    <definedName name="WP_3_1" localSheetId="31">#REF!</definedName>
    <definedName name="WP_3_1" localSheetId="33">#REF!</definedName>
    <definedName name="WP_3_1">#REF!</definedName>
    <definedName name="WP_6_1" localSheetId="32">#REF!</definedName>
    <definedName name="WP_6_1" localSheetId="31">#REF!</definedName>
    <definedName name="WP_6_1" localSheetId="33">#REF!</definedName>
    <definedName name="WP_6_1">#REF!</definedName>
    <definedName name="WP_6_1_1" localSheetId="32">#REF!</definedName>
    <definedName name="WP_6_1_1" localSheetId="31">#REF!</definedName>
    <definedName name="WP_6_1_1" localSheetId="33">#REF!</definedName>
    <definedName name="WP_6_1_1">#REF!</definedName>
    <definedName name="WP_6_2" localSheetId="32">#REF!</definedName>
    <definedName name="WP_6_2" localSheetId="31">#REF!</definedName>
    <definedName name="WP_6_2" localSheetId="33">#REF!</definedName>
    <definedName name="WP_6_2">#REF!</definedName>
    <definedName name="WP_6_2_1" localSheetId="32">#REF!</definedName>
    <definedName name="WP_6_2_1" localSheetId="31">#REF!</definedName>
    <definedName name="WP_6_2_1" localSheetId="33">#REF!</definedName>
    <definedName name="WP_6_2_1">#REF!</definedName>
    <definedName name="WP_6_3" localSheetId="32">#REF!</definedName>
    <definedName name="WP_6_3" localSheetId="31">#REF!</definedName>
    <definedName name="WP_6_3" localSheetId="33">#REF!</definedName>
    <definedName name="WP_6_3">#REF!</definedName>
    <definedName name="WP_6_3_1" localSheetId="32">#REF!</definedName>
    <definedName name="WP_6_3_1" localSheetId="31">#REF!</definedName>
    <definedName name="WP_6_3_1" localSheetId="33">#REF!</definedName>
    <definedName name="WP_6_3_1">#REF!</definedName>
    <definedName name="WP_7_3" localSheetId="32">#REF!</definedName>
    <definedName name="WP_7_3" localSheetId="31">#REF!</definedName>
    <definedName name="WP_7_3" localSheetId="33">#REF!</definedName>
    <definedName name="WP_7_3">#REF!</definedName>
    <definedName name="WP_7_6" localSheetId="32">#REF!</definedName>
    <definedName name="WP_7_6" localSheetId="31">#REF!</definedName>
    <definedName name="WP_7_6" localSheetId="33">#REF!</definedName>
    <definedName name="WP_7_6">#REF!</definedName>
    <definedName name="WP_9_1" localSheetId="32">#REF!</definedName>
    <definedName name="WP_9_1" localSheetId="31">#REF!</definedName>
    <definedName name="WP_9_1" localSheetId="33">#REF!</definedName>
    <definedName name="WP_9_1">#REF!</definedName>
    <definedName name="WP_B9a">[13]WP_B9!$A$30:$U$49</definedName>
    <definedName name="WP_B9b" localSheetId="32">[13]WP_B9!#REF!</definedName>
    <definedName name="WP_B9b" localSheetId="31">[13]WP_B9!#REF!</definedName>
    <definedName name="WP_B9b" localSheetId="33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3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3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 calcMode="manual"/>
</workbook>
</file>

<file path=xl/calcChain.xml><?xml version="1.0" encoding="utf-8"?>
<calcChain xmlns="http://schemas.openxmlformats.org/spreadsheetml/2006/main">
  <c r="C46" i="4"/>
  <c r="C43"/>
  <c r="C44"/>
  <c r="C42"/>
  <c r="C41"/>
  <c r="G36" i="57"/>
  <c r="F36"/>
  <c r="F35" i="59"/>
  <c r="F36"/>
  <c r="E11" i="58" l="1"/>
  <c r="I46" i="5"/>
  <c r="I44"/>
  <c r="C50" i="1"/>
  <c r="E34" i="59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3"/>
  <c r="D23"/>
  <c r="E22"/>
  <c r="F22" s="1"/>
  <c r="L22" s="1"/>
  <c r="D22"/>
  <c r="E21"/>
  <c r="F21" s="1"/>
  <c r="D21"/>
  <c r="E20"/>
  <c r="F20" s="1"/>
  <c r="D20"/>
  <c r="E19"/>
  <c r="F19" s="1"/>
  <c r="D19"/>
  <c r="E18"/>
  <c r="F18" s="1"/>
  <c r="D18"/>
  <c r="E17"/>
  <c r="F17" s="1"/>
  <c r="D17"/>
  <c r="E16"/>
  <c r="E15"/>
  <c r="D15"/>
  <c r="E14"/>
  <c r="D14"/>
  <c r="E13"/>
  <c r="E12"/>
  <c r="F12" s="1"/>
  <c r="D12"/>
  <c r="E11"/>
  <c r="F11" s="1"/>
  <c r="D11"/>
  <c r="H34"/>
  <c r="I34" s="1"/>
  <c r="G34"/>
  <c r="H33"/>
  <c r="I33" s="1"/>
  <c r="G33"/>
  <c r="H32"/>
  <c r="I32" s="1"/>
  <c r="G32"/>
  <c r="H31"/>
  <c r="I31" s="1"/>
  <c r="G31"/>
  <c r="H30"/>
  <c r="I30" s="1"/>
  <c r="G30"/>
  <c r="H29"/>
  <c r="I29" s="1"/>
  <c r="G29"/>
  <c r="H28"/>
  <c r="I28" s="1"/>
  <c r="G28"/>
  <c r="H27"/>
  <c r="I27" s="1"/>
  <c r="G27"/>
  <c r="H26"/>
  <c r="I26" s="1"/>
  <c r="G26"/>
  <c r="H25"/>
  <c r="I25" s="1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I16" s="1"/>
  <c r="G16"/>
  <c r="H15"/>
  <c r="I15" s="1"/>
  <c r="G15"/>
  <c r="H14"/>
  <c r="I14" s="1"/>
  <c r="G14"/>
  <c r="H13"/>
  <c r="K13" s="1"/>
  <c r="G13"/>
  <c r="H12"/>
  <c r="G12"/>
  <c r="H11"/>
  <c r="G11"/>
  <c r="F34"/>
  <c r="F33"/>
  <c r="F32"/>
  <c r="F31"/>
  <c r="F30"/>
  <c r="L30" s="1"/>
  <c r="F29"/>
  <c r="F28"/>
  <c r="F27"/>
  <c r="F26"/>
  <c r="F25"/>
  <c r="I24"/>
  <c r="F23"/>
  <c r="I23"/>
  <c r="I22"/>
  <c r="I21"/>
  <c r="I20"/>
  <c r="I19"/>
  <c r="I18"/>
  <c r="I17"/>
  <c r="F15"/>
  <c r="F14"/>
  <c r="L14" s="1"/>
  <c r="I13"/>
  <c r="I12"/>
  <c r="I11"/>
  <c r="G34" i="58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3"/>
  <c r="F23"/>
  <c r="G22"/>
  <c r="F22"/>
  <c r="G21"/>
  <c r="F21"/>
  <c r="G20"/>
  <c r="F20"/>
  <c r="G19"/>
  <c r="F19"/>
  <c r="G18"/>
  <c r="F18"/>
  <c r="G17"/>
  <c r="F17"/>
  <c r="G15"/>
  <c r="F15"/>
  <c r="G14"/>
  <c r="F14"/>
  <c r="G12"/>
  <c r="F12"/>
  <c r="G11"/>
  <c r="F11"/>
  <c r="F34" i="57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G13"/>
  <c r="F13"/>
  <c r="G12"/>
  <c r="F12"/>
  <c r="G11"/>
  <c r="F11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E34" i="58"/>
  <c r="D34"/>
  <c r="D33"/>
  <c r="D32"/>
  <c r="D31"/>
  <c r="D30"/>
  <c r="D29"/>
  <c r="D28"/>
  <c r="D27"/>
  <c r="D26"/>
  <c r="D25"/>
  <c r="D23"/>
  <c r="D22"/>
  <c r="D21"/>
  <c r="D20"/>
  <c r="D19"/>
  <c r="D18"/>
  <c r="D17"/>
  <c r="D15"/>
  <c r="D14"/>
  <c r="D12"/>
  <c r="E17"/>
  <c r="E14"/>
  <c r="D11"/>
  <c r="D9" i="60"/>
  <c r="C9"/>
  <c r="K34" i="59"/>
  <c r="J33"/>
  <c r="K31"/>
  <c r="J31"/>
  <c r="K30"/>
  <c r="K29"/>
  <c r="J29"/>
  <c r="K28"/>
  <c r="J27"/>
  <c r="K25"/>
  <c r="J25"/>
  <c r="K23"/>
  <c r="J23"/>
  <c r="K22"/>
  <c r="K21"/>
  <c r="J21"/>
  <c r="K20"/>
  <c r="J19"/>
  <c r="K17"/>
  <c r="J17"/>
  <c r="K16"/>
  <c r="J15"/>
  <c r="K14"/>
  <c r="K12"/>
  <c r="G35"/>
  <c r="K11"/>
  <c r="J11"/>
  <c r="H26" i="58"/>
  <c r="H25"/>
  <c r="H15"/>
  <c r="H11"/>
  <c r="E35" i="57"/>
  <c r="E36" s="1"/>
  <c r="D35"/>
  <c r="D36" s="1"/>
  <c r="G35"/>
  <c r="F35"/>
  <c r="K15" i="59" l="1"/>
  <c r="K18"/>
  <c r="K19"/>
  <c r="K26"/>
  <c r="K27"/>
  <c r="K32"/>
  <c r="K33"/>
  <c r="H17" i="58"/>
  <c r="G36" i="59"/>
  <c r="L28"/>
  <c r="L12"/>
  <c r="L18"/>
  <c r="L20"/>
  <c r="L26"/>
  <c r="L32"/>
  <c r="L34"/>
  <c r="J12"/>
  <c r="J14"/>
  <c r="J18"/>
  <c r="L19"/>
  <c r="J20"/>
  <c r="L21"/>
  <c r="J22"/>
  <c r="J26"/>
  <c r="J28"/>
  <c r="J30"/>
  <c r="L31"/>
  <c r="J32"/>
  <c r="L33"/>
  <c r="J34"/>
  <c r="H35"/>
  <c r="H36" s="1"/>
  <c r="L11"/>
  <c r="L15"/>
  <c r="L17"/>
  <c r="L23"/>
  <c r="L25"/>
  <c r="L27"/>
  <c r="L29"/>
  <c r="H14" i="58"/>
  <c r="H18"/>
  <c r="H19"/>
  <c r="H20"/>
  <c r="H21"/>
  <c r="H22"/>
  <c r="H23"/>
  <c r="H27"/>
  <c r="H28"/>
  <c r="H29"/>
  <c r="H30"/>
  <c r="H31"/>
  <c r="H32"/>
  <c r="H33"/>
  <c r="H34"/>
  <c r="I36" i="59" l="1"/>
  <c r="I35"/>
  <c r="H12" i="58"/>
  <c r="E43" i="7" l="1"/>
  <c r="E42"/>
  <c r="E41"/>
  <c r="E34"/>
  <c r="E28"/>
  <c r="E27"/>
  <c r="D27"/>
  <c r="C33"/>
  <c r="C27"/>
  <c r="C25"/>
  <c r="C24"/>
  <c r="C23"/>
  <c r="C22"/>
  <c r="C21"/>
  <c r="I34" i="6"/>
  <c r="I27"/>
  <c r="G24" i="51"/>
  <c r="G33" i="6" s="1"/>
  <c r="G21" i="51"/>
  <c r="G20"/>
  <c r="G19"/>
  <c r="G18"/>
  <c r="G17"/>
  <c r="G16"/>
  <c r="G15"/>
  <c r="G14"/>
  <c r="G13"/>
  <c r="H34" i="6"/>
  <c r="H27"/>
  <c r="E16" i="52"/>
  <c r="G27" i="6"/>
  <c r="G25"/>
  <c r="G24"/>
  <c r="G23"/>
  <c r="G22"/>
  <c r="G21"/>
  <c r="F27"/>
  <c r="E27"/>
  <c r="D31"/>
  <c r="E22" i="48"/>
  <c r="F22" s="1"/>
  <c r="D34" i="6" s="1"/>
  <c r="C27"/>
  <c r="C25" i="47"/>
  <c r="I24" i="5"/>
  <c r="H34"/>
  <c r="G33"/>
  <c r="E34"/>
  <c r="E31"/>
  <c r="E27"/>
  <c r="E13"/>
  <c r="C12"/>
  <c r="C11"/>
  <c r="C26"/>
  <c r="C25"/>
  <c r="C18"/>
  <c r="I42" i="4"/>
  <c r="I29"/>
  <c r="I28"/>
  <c r="G35"/>
  <c r="F44"/>
  <c r="F43"/>
  <c r="F34"/>
  <c r="F31"/>
  <c r="D55" i="35"/>
  <c r="D18" i="4"/>
  <c r="D11"/>
  <c r="E13"/>
  <c r="A8" i="56"/>
  <c r="A7"/>
  <c r="A5"/>
  <c r="D22"/>
  <c r="D24" s="1"/>
  <c r="C22"/>
  <c r="C24" s="1"/>
  <c r="E21"/>
  <c r="E20"/>
  <c r="E22" s="1"/>
  <c r="E24" s="1"/>
  <c r="D16"/>
  <c r="C16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8" i="55"/>
  <c r="A7"/>
  <c r="A5"/>
  <c r="C20"/>
  <c r="E15"/>
  <c r="E16" s="1"/>
  <c r="E18" s="1"/>
  <c r="A14"/>
  <c r="A15" s="1"/>
  <c r="A16" s="1"/>
  <c r="A17" s="1"/>
  <c r="A18" s="1"/>
  <c r="A19" s="1"/>
  <c r="A20" s="1"/>
  <c r="A21" s="1"/>
  <c r="A8" i="54"/>
  <c r="A7"/>
  <c r="A5"/>
  <c r="D30"/>
  <c r="C26"/>
  <c r="E25"/>
  <c r="D23"/>
  <c r="D26" s="1"/>
  <c r="C23"/>
  <c r="E22"/>
  <c r="E21"/>
  <c r="E20"/>
  <c r="E19"/>
  <c r="E18"/>
  <c r="E17"/>
  <c r="E16"/>
  <c r="E15"/>
  <c r="E14"/>
  <c r="E23" s="1"/>
  <c r="E26" s="1"/>
  <c r="E28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17" i="53"/>
  <c r="E19" s="1"/>
  <c r="D30" i="52"/>
  <c r="E31" s="1"/>
  <c r="D15"/>
  <c r="D14"/>
  <c r="E36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F22" i="51"/>
  <c r="E2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C19" i="50"/>
  <c r="A8"/>
  <c r="A7"/>
  <c r="A5"/>
  <c r="D16"/>
  <c r="C16"/>
  <c r="E14"/>
  <c r="E13"/>
  <c r="E16" s="1"/>
  <c r="C17" i="49"/>
  <c r="A7"/>
  <c r="A6"/>
  <c r="A4"/>
  <c r="C14"/>
  <c r="D14" s="1"/>
  <c r="E13"/>
  <c r="A13"/>
  <c r="A14" s="1"/>
  <c r="A15" s="1"/>
  <c r="A16" s="1"/>
  <c r="A17" s="1"/>
  <c r="A18" s="1"/>
  <c r="E12"/>
  <c r="E14" s="1"/>
  <c r="A7" i="48"/>
  <c r="A6"/>
  <c r="A4"/>
  <c r="F14"/>
  <c r="F16" s="1"/>
  <c r="F20" s="1"/>
  <c r="A13"/>
  <c r="A14" s="1"/>
  <c r="A15" s="1"/>
  <c r="A16" s="1"/>
  <c r="A17" s="1"/>
  <c r="A18" s="1"/>
  <c r="A19" s="1"/>
  <c r="A20" s="1"/>
  <c r="A21" s="1"/>
  <c r="A22" s="1"/>
  <c r="A23" s="1"/>
  <c r="A24" s="1"/>
  <c r="A8" i="47"/>
  <c r="A7"/>
  <c r="A5"/>
  <c r="C17"/>
  <c r="C20" s="1"/>
  <c r="D20" s="1"/>
  <c r="D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7" i="45"/>
  <c r="A6"/>
  <c r="A4"/>
  <c r="H18"/>
  <c r="H27" i="5" s="1"/>
  <c r="F18" i="45"/>
  <c r="H16"/>
  <c r="D27" i="56" l="1"/>
  <c r="D28" s="1"/>
  <c r="E27"/>
  <c r="E28" s="1"/>
  <c r="C27"/>
  <c r="C28" s="1"/>
  <c r="E20" i="55"/>
  <c r="E30" i="54"/>
  <c r="E21" i="53"/>
  <c r="E23" s="1"/>
  <c r="E25" s="1"/>
  <c r="D20" i="52"/>
  <c r="E21" s="1"/>
  <c r="D25"/>
  <c r="E26" s="1"/>
  <c r="E25" i="51"/>
  <c r="G22"/>
  <c r="G25" s="1"/>
  <c r="G27" s="1"/>
  <c r="F25"/>
  <c r="E19" i="50"/>
  <c r="E17" i="49"/>
  <c r="F24" i="48"/>
  <c r="D25" i="47"/>
  <c r="H20" i="45"/>
  <c r="H22" s="1"/>
  <c r="H24" s="1"/>
  <c r="F20"/>
  <c r="F22" s="1"/>
  <c r="F24" s="1"/>
  <c r="E20" i="50" l="1"/>
  <c r="F34" i="6"/>
  <c r="E21" i="55"/>
  <c r="D34" i="7"/>
  <c r="D26" i="47"/>
  <c r="C34" i="6"/>
  <c r="E18" i="49"/>
  <c r="E34" i="6"/>
  <c r="E31" i="54"/>
  <c r="C34" i="7"/>
  <c r="E34" i="52"/>
  <c r="E35" s="1"/>
  <c r="E37" s="1"/>
  <c r="G28" i="51"/>
  <c r="A7" i="44"/>
  <c r="A6"/>
  <c r="A4"/>
  <c r="C22"/>
  <c r="D18"/>
  <c r="D14"/>
  <c r="D20" s="1"/>
  <c r="A2" i="56"/>
  <c r="A1"/>
  <c r="A2" i="55"/>
  <c r="A1"/>
  <c r="A2" i="54"/>
  <c r="A1"/>
  <c r="A2" i="53"/>
  <c r="A1"/>
  <c r="A2" i="52"/>
  <c r="A1"/>
  <c r="A2" i="51"/>
  <c r="A1"/>
  <c r="A2" i="50"/>
  <c r="A1"/>
  <c r="A2" i="49"/>
  <c r="A1"/>
  <c r="A2" i="48"/>
  <c r="A1"/>
  <c r="A2" i="47"/>
  <c r="A1"/>
  <c r="E15" i="30"/>
  <c r="A2" i="46"/>
  <c r="A1"/>
  <c r="A7" i="43"/>
  <c r="A6"/>
  <c r="A4"/>
  <c r="D17"/>
  <c r="D19" s="1"/>
  <c r="F33" i="5" s="1"/>
  <c r="A2" i="45"/>
  <c r="A1"/>
  <c r="A2" i="44"/>
  <c r="A1"/>
  <c r="A7" i="42"/>
  <c r="A6"/>
  <c r="A4"/>
  <c r="G28"/>
  <c r="F28"/>
  <c r="E28"/>
  <c r="H27"/>
  <c r="H26"/>
  <c r="H25"/>
  <c r="H24"/>
  <c r="H23"/>
  <c r="H22"/>
  <c r="H21"/>
  <c r="H20"/>
  <c r="H28" s="1"/>
  <c r="F15"/>
  <c r="E15"/>
  <c r="H14"/>
  <c r="H15" s="1"/>
  <c r="H30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13"/>
  <c r="G29" i="51" l="1"/>
  <c r="G34" i="6"/>
  <c r="E39" i="52"/>
  <c r="E40" s="1"/>
  <c r="D22" i="44"/>
  <c r="D20" i="43"/>
  <c r="H33" i="42"/>
  <c r="H31"/>
  <c r="D21" i="43" l="1"/>
  <c r="F34" i="5"/>
  <c r="D23" i="44"/>
  <c r="G34" i="5"/>
  <c r="A7" i="41"/>
  <c r="A6"/>
  <c r="A4"/>
  <c r="D18"/>
  <c r="E15"/>
  <c r="E14"/>
  <c r="E13"/>
  <c r="E16" s="1"/>
  <c r="D20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43"/>
  <c r="A1"/>
  <c r="A2" i="42"/>
  <c r="A1"/>
  <c r="A2" i="41"/>
  <c r="A1"/>
  <c r="A6" i="40"/>
  <c r="D22"/>
  <c r="E22" s="1"/>
  <c r="C27" i="5" s="1"/>
  <c r="D21" i="40"/>
  <c r="E21" s="1"/>
  <c r="C24" i="5" s="1"/>
  <c r="E32" i="40"/>
  <c r="E1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7" i="39"/>
  <c r="A6"/>
  <c r="A4"/>
  <c r="E39"/>
  <c r="E28"/>
  <c r="D26"/>
  <c r="C26"/>
  <c r="E25"/>
  <c r="E24"/>
  <c r="E26" s="1"/>
  <c r="D20"/>
  <c r="C20"/>
  <c r="E19"/>
  <c r="E18"/>
  <c r="E20" s="1"/>
  <c r="D16"/>
  <c r="D22" s="1"/>
  <c r="C16"/>
  <c r="C22" s="1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C15" i="37"/>
  <c r="A6"/>
  <c r="A4"/>
  <c r="E31"/>
  <c r="E30"/>
  <c r="E27"/>
  <c r="E15"/>
  <c r="E29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2" i="40"/>
  <c r="A1"/>
  <c r="A2" i="39"/>
  <c r="A1"/>
  <c r="C50" i="38"/>
  <c r="C49"/>
  <c r="A7"/>
  <c r="A6"/>
  <c r="A4"/>
  <c r="D47"/>
  <c r="E18" i="4" s="1"/>
  <c r="E33" i="38"/>
  <c r="D21"/>
  <c r="E23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A2"/>
  <c r="A1"/>
  <c r="A2" i="37"/>
  <c r="A1"/>
  <c r="A2" i="36"/>
  <c r="A1"/>
  <c r="D47" i="35"/>
  <c r="D46"/>
  <c r="F44"/>
  <c r="F40"/>
  <c r="D28"/>
  <c r="C28"/>
  <c r="E27"/>
  <c r="E26"/>
  <c r="E25"/>
  <c r="E24"/>
  <c r="E23"/>
  <c r="E22"/>
  <c r="E21"/>
  <c r="E20"/>
  <c r="E19"/>
  <c r="E18"/>
  <c r="E17"/>
  <c r="E16"/>
  <c r="E28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14"/>
  <c r="E36" i="7"/>
  <c r="D36"/>
  <c r="D38" s="1"/>
  <c r="C36"/>
  <c r="C38" s="1"/>
  <c r="I36" i="6"/>
  <c r="I38" s="1"/>
  <c r="H36"/>
  <c r="H38" s="1"/>
  <c r="G36"/>
  <c r="G38" s="1"/>
  <c r="F36"/>
  <c r="F38" s="1"/>
  <c r="E36"/>
  <c r="E38" s="1"/>
  <c r="D36"/>
  <c r="D38" s="1"/>
  <c r="C36"/>
  <c r="C38" s="1"/>
  <c r="I36" i="4"/>
  <c r="I38" s="1"/>
  <c r="F36"/>
  <c r="F38" s="1"/>
  <c r="C36"/>
  <c r="C38" s="1"/>
  <c r="C39" i="1"/>
  <c r="C37"/>
  <c r="A2" i="30"/>
  <c r="A1"/>
  <c r="A1" i="21"/>
  <c r="A1" i="31"/>
  <c r="A9" i="30"/>
  <c r="A9" i="21"/>
  <c r="E32" i="37" l="1"/>
  <c r="G34" i="4"/>
  <c r="G36" s="1"/>
  <c r="G38" s="1"/>
  <c r="E35" i="38"/>
  <c r="D49" s="1"/>
  <c r="E24" i="4" s="1"/>
  <c r="E11"/>
  <c r="D21" i="41"/>
  <c r="E24" s="1"/>
  <c r="D24" i="5" s="1"/>
  <c r="E22" i="39"/>
  <c r="E30" s="1"/>
  <c r="E19" i="37"/>
  <c r="E46" i="35"/>
  <c r="D24" i="4" s="1"/>
  <c r="E47" i="35"/>
  <c r="D27" i="4" s="1"/>
  <c r="D47" i="7"/>
  <c r="C47"/>
  <c r="C45"/>
  <c r="D45"/>
  <c r="E45"/>
  <c r="E47" s="1"/>
  <c r="F41"/>
  <c r="D42" i="1" s="1"/>
  <c r="C27" i="34"/>
  <c r="D28" s="1"/>
  <c r="D45" i="5"/>
  <c r="D47" s="1"/>
  <c r="E45"/>
  <c r="E47" s="1"/>
  <c r="F45"/>
  <c r="F47" s="1"/>
  <c r="G45"/>
  <c r="G47" s="1"/>
  <c r="H45"/>
  <c r="H47" s="1"/>
  <c r="C45"/>
  <c r="C47" s="1"/>
  <c r="A6" i="31"/>
  <c r="F46" i="7"/>
  <c r="G46" s="1"/>
  <c r="F44"/>
  <c r="G44" s="1"/>
  <c r="F43"/>
  <c r="G43" s="1"/>
  <c r="F42"/>
  <c r="G42" s="1"/>
  <c r="F35"/>
  <c r="G35" s="1"/>
  <c r="F32"/>
  <c r="G32" s="1"/>
  <c r="F31"/>
  <c r="G31" s="1"/>
  <c r="F30"/>
  <c r="G30" s="1"/>
  <c r="F29"/>
  <c r="G29" s="1"/>
  <c r="F28"/>
  <c r="G28" s="1"/>
  <c r="F26"/>
  <c r="G26" s="1"/>
  <c r="F25"/>
  <c r="G25" s="1"/>
  <c r="F23"/>
  <c r="G23" s="1"/>
  <c r="F22"/>
  <c r="G22" s="1"/>
  <c r="F21"/>
  <c r="G21" s="1"/>
  <c r="F18"/>
  <c r="G18" s="1"/>
  <c r="G19" s="1"/>
  <c r="F13"/>
  <c r="G13" s="1"/>
  <c r="F12"/>
  <c r="G12" s="1"/>
  <c r="E19"/>
  <c r="D19"/>
  <c r="C19"/>
  <c r="E14"/>
  <c r="E38" s="1"/>
  <c r="D14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11"/>
  <c r="F11"/>
  <c r="G11" s="1"/>
  <c r="I47" i="6"/>
  <c r="H47"/>
  <c r="G47"/>
  <c r="F47"/>
  <c r="E47"/>
  <c r="D47"/>
  <c r="C47"/>
  <c r="I19"/>
  <c r="H19"/>
  <c r="G19"/>
  <c r="F19"/>
  <c r="E19"/>
  <c r="D19"/>
  <c r="C19"/>
  <c r="I14"/>
  <c r="H14"/>
  <c r="G14"/>
  <c r="F14"/>
  <c r="E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47" i="4"/>
  <c r="E47"/>
  <c r="G47"/>
  <c r="H47"/>
  <c r="D45"/>
  <c r="E45"/>
  <c r="F45"/>
  <c r="F47" s="1"/>
  <c r="G45"/>
  <c r="H45"/>
  <c r="I45"/>
  <c r="I47" s="1"/>
  <c r="C45"/>
  <c r="C47" s="1"/>
  <c r="I19" i="5"/>
  <c r="I36" s="1"/>
  <c r="H19"/>
  <c r="H36" s="1"/>
  <c r="G19"/>
  <c r="G36" s="1"/>
  <c r="F19"/>
  <c r="F36" s="1"/>
  <c r="E19"/>
  <c r="E36" s="1"/>
  <c r="D19"/>
  <c r="C19"/>
  <c r="I14"/>
  <c r="H14"/>
  <c r="G14"/>
  <c r="F14"/>
  <c r="E14"/>
  <c r="D14"/>
  <c r="C14"/>
  <c r="F20" i="1"/>
  <c r="F46"/>
  <c r="F48" s="1"/>
  <c r="C48"/>
  <c r="C46"/>
  <c r="C20"/>
  <c r="E14" i="4"/>
  <c r="F14"/>
  <c r="G14"/>
  <c r="H14"/>
  <c r="I14"/>
  <c r="D14"/>
  <c r="C14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7" i="1"/>
  <c r="A48"/>
  <c r="A49" s="1"/>
  <c r="A50" s="1"/>
  <c r="A6" i="34"/>
  <c r="A1"/>
  <c r="F14" i="1"/>
  <c r="F13"/>
  <c r="E13" i="31"/>
  <c r="A2" i="34"/>
  <c r="C32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E26" s="1"/>
  <c r="I51" i="6"/>
  <c r="H51"/>
  <c r="G51"/>
  <c r="F51"/>
  <c r="E51"/>
  <c r="D51"/>
  <c r="C51"/>
  <c r="A11" i="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G19" i="4"/>
  <c r="H19"/>
  <c r="I19"/>
  <c r="F19"/>
  <c r="D19"/>
  <c r="E19"/>
  <c r="C19"/>
  <c r="C15" i="1"/>
  <c r="D50" i="38" l="1"/>
  <c r="E27" i="4" s="1"/>
  <c r="F27" i="7" s="1"/>
  <c r="G27" s="1"/>
  <c r="F24"/>
  <c r="G24" s="1"/>
  <c r="G38" i="5"/>
  <c r="I38"/>
  <c r="D24" i="58" s="1"/>
  <c r="E38" i="5"/>
  <c r="F38"/>
  <c r="H38"/>
  <c r="D23" i="1"/>
  <c r="E23" s="1"/>
  <c r="G23" s="1"/>
  <c r="D31"/>
  <c r="G41" i="7"/>
  <c r="G45" s="1"/>
  <c r="G47" s="1"/>
  <c r="D22" i="1"/>
  <c r="E22" s="1"/>
  <c r="G22" s="1"/>
  <c r="D24"/>
  <c r="E24" s="1"/>
  <c r="G24" s="1"/>
  <c r="D33"/>
  <c r="D47"/>
  <c r="E47" s="1"/>
  <c r="G47" s="1"/>
  <c r="D27"/>
  <c r="E27" s="1"/>
  <c r="G27" s="1"/>
  <c r="D26"/>
  <c r="E26" s="1"/>
  <c r="G26" s="1"/>
  <c r="D13"/>
  <c r="D30"/>
  <c r="E30" s="1"/>
  <c r="G30" s="1"/>
  <c r="D29"/>
  <c r="E29" s="1"/>
  <c r="G29" s="1"/>
  <c r="D36"/>
  <c r="E36" s="1"/>
  <c r="G36" s="1"/>
  <c r="D45"/>
  <c r="E45" s="1"/>
  <c r="G45" s="1"/>
  <c r="F45" i="7"/>
  <c r="F47" s="1"/>
  <c r="D32" i="1"/>
  <c r="D28"/>
  <c r="D25"/>
  <c r="D19"/>
  <c r="D14"/>
  <c r="E14" s="1"/>
  <c r="G14" s="1"/>
  <c r="D12"/>
  <c r="E51" i="38"/>
  <c r="E26" i="41"/>
  <c r="E34" i="39"/>
  <c r="E38"/>
  <c r="E40" s="1"/>
  <c r="F48" i="35"/>
  <c r="D43" i="1"/>
  <c r="E43" s="1"/>
  <c r="G43" s="1"/>
  <c r="D44"/>
  <c r="F19" i="7"/>
  <c r="F14"/>
  <c r="E13" i="1"/>
  <c r="G13" s="1"/>
  <c r="G14" i="7"/>
  <c r="E32" i="1"/>
  <c r="G32" s="1"/>
  <c r="D20"/>
  <c r="C16" i="34"/>
  <c r="E20" i="21"/>
  <c r="A12" i="1"/>
  <c r="A13" s="1"/>
  <c r="D24" i="59" l="1"/>
  <c r="E27" i="41"/>
  <c r="D34" i="5"/>
  <c r="D36" s="1"/>
  <c r="D38" s="1"/>
  <c r="E17" i="30"/>
  <c r="D15" i="1"/>
  <c r="E44"/>
  <c r="D46"/>
  <c r="D48" s="1"/>
  <c r="A14"/>
  <c r="A15" s="1"/>
  <c r="A16" s="1"/>
  <c r="E28"/>
  <c r="E42"/>
  <c r="E19"/>
  <c r="E20" s="1"/>
  <c r="E12"/>
  <c r="E15" s="1"/>
  <c r="J24" i="59" l="1"/>
  <c r="E19" i="30"/>
  <c r="E21" s="1"/>
  <c r="E22" s="1"/>
  <c r="E23" s="1"/>
  <c r="E20" i="31" s="1"/>
  <c r="D23" i="40"/>
  <c r="E23" s="1"/>
  <c r="D50" i="35"/>
  <c r="E50" s="1"/>
  <c r="F51" s="1"/>
  <c r="C53" i="38"/>
  <c r="D53" s="1"/>
  <c r="G44" i="1"/>
  <c r="E46"/>
  <c r="E48" s="1"/>
  <c r="E25"/>
  <c r="A17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G42"/>
  <c r="G19"/>
  <c r="G20" s="1"/>
  <c r="E24" i="40" l="1"/>
  <c r="E34" s="1"/>
  <c r="E35" s="1"/>
  <c r="C33" i="5"/>
  <c r="F53" i="35"/>
  <c r="F55" s="1"/>
  <c r="D33" i="4"/>
  <c r="C12" i="34"/>
  <c r="C14" s="1"/>
  <c r="D17" s="1"/>
  <c r="D30" s="1"/>
  <c r="D32" s="1"/>
  <c r="D33" s="1"/>
  <c r="E12" i="31"/>
  <c r="E15" s="1"/>
  <c r="E55" i="38"/>
  <c r="E57" s="1"/>
  <c r="E58" s="1"/>
  <c r="E33" i="4"/>
  <c r="G46" i="1"/>
  <c r="G48" s="1"/>
  <c r="F56" i="35" l="1"/>
  <c r="D34" i="4"/>
  <c r="D36" s="1"/>
  <c r="D38" s="1"/>
  <c r="E36" i="40"/>
  <c r="C34" i="5"/>
  <c r="C36"/>
  <c r="C38" s="1"/>
  <c r="H34" i="4"/>
  <c r="H36" s="1"/>
  <c r="H38" s="1"/>
  <c r="D16" i="58" s="1"/>
  <c r="E59" i="38"/>
  <c r="E34" i="4"/>
  <c r="F33" i="7"/>
  <c r="E36" i="4"/>
  <c r="E38" s="1"/>
  <c r="D13" i="58" s="1"/>
  <c r="E31" i="1"/>
  <c r="G31" s="1"/>
  <c r="G13" i="58" l="1"/>
  <c r="D13" i="59"/>
  <c r="F13" i="58"/>
  <c r="G16"/>
  <c r="D16" i="59"/>
  <c r="F16" i="58"/>
  <c r="D35"/>
  <c r="D36" s="1"/>
  <c r="F34" i="7"/>
  <c r="D35" i="1" s="1"/>
  <c r="G33" i="7"/>
  <c r="D34" i="1"/>
  <c r="E34" s="1"/>
  <c r="E33"/>
  <c r="G33" s="1"/>
  <c r="H13" i="58" l="1"/>
  <c r="F13" i="59"/>
  <c r="L13" s="1"/>
  <c r="J13"/>
  <c r="H16" i="58"/>
  <c r="F16" i="59"/>
  <c r="L16" s="1"/>
  <c r="J16"/>
  <c r="J35" s="1"/>
  <c r="J36" s="1"/>
  <c r="D35"/>
  <c r="D37" i="1"/>
  <c r="D39" s="1"/>
  <c r="G34" i="7"/>
  <c r="G36" s="1"/>
  <c r="G38" s="1"/>
  <c r="F36"/>
  <c r="F38" s="1"/>
  <c r="E35" i="1"/>
  <c r="E37" s="1"/>
  <c r="E39" s="1"/>
  <c r="E50" s="1"/>
  <c r="D36" i="59" l="1"/>
  <c r="E17" i="31"/>
  <c r="E18" s="1"/>
  <c r="E21" s="1"/>
  <c r="E24" l="1"/>
  <c r="F12" i="1" s="1"/>
  <c r="F15" s="1"/>
  <c r="F28"/>
  <c r="G28" s="1"/>
  <c r="F25"/>
  <c r="F35"/>
  <c r="G35" s="1"/>
  <c r="F34"/>
  <c r="G34" s="1"/>
  <c r="F37" l="1"/>
  <c r="F39" s="1"/>
  <c r="G25"/>
  <c r="G37" s="1"/>
  <c r="G12"/>
  <c r="I12"/>
  <c r="G15" l="1"/>
  <c r="G39" l="1"/>
  <c r="G50" s="1"/>
  <c r="I45" i="5" l="1"/>
  <c r="I47" s="1"/>
  <c r="E24" i="58" s="1"/>
  <c r="E24" i="59" l="1"/>
  <c r="E35" i="58"/>
  <c r="E36" s="1"/>
  <c r="G36" s="1"/>
  <c r="G24"/>
  <c r="G35" s="1"/>
  <c r="F24"/>
  <c r="F35" s="1"/>
  <c r="F36" s="1"/>
  <c r="K24" i="59" l="1"/>
  <c r="K35" s="1"/>
  <c r="K36" s="1"/>
  <c r="E35"/>
  <c r="F24"/>
  <c r="L24" s="1"/>
  <c r="L35" s="1"/>
  <c r="L36" s="1"/>
  <c r="H24" i="58"/>
  <c r="H35" s="1"/>
  <c r="H36" s="1"/>
  <c r="E36" i="59" l="1"/>
</calcChain>
</file>

<file path=xl/sharedStrings.xml><?xml version="1.0" encoding="utf-8"?>
<sst xmlns="http://schemas.openxmlformats.org/spreadsheetml/2006/main" count="1066" uniqueCount="537">
  <si>
    <t>Operating Revenues:</t>
  </si>
  <si>
    <t>Sales to Customers</t>
  </si>
  <si>
    <t>Other Operating Revenues</t>
  </si>
  <si>
    <t>Total Operating Revenues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</si>
  <si>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</si>
  <si>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</si>
  <si>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</si>
  <si>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</si>
  <si>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</si>
  <si>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</si>
  <si>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</si>
  <si>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</si>
  <si>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</si>
  <si>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</si>
  <si>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</si>
  <si>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</si>
  <si>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</si>
  <si>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</si>
  <si>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</si>
  <si>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</si>
  <si>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</si>
  <si>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</si>
  <si>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</si>
  <si>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</si>
  <si>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</si>
  <si>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</si>
  <si>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</si>
  <si>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</si>
  <si>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</si>
  <si>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</si>
  <si>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</si>
  <si>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</si>
  <si>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</si>
  <si>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</si>
  <si>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</si>
  <si>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</si>
  <si>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</si>
  <si>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</si>
  <si>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</si>
  <si>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</si>
  <si>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</si>
  <si>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</si>
  <si>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</si>
  <si>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</si>
  <si>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</si>
  <si>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</si>
  <si>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</si>
  <si>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</si>
  <si>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</si>
  <si>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</si>
  <si>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</si>
  <si>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Revenues and</t>
  </si>
  <si>
    <t>Federal</t>
  </si>
  <si>
    <t xml:space="preserve"> Income Tax</t>
  </si>
  <si>
    <t>Tax Benefit of Pro</t>
  </si>
  <si>
    <t>Forma Interest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</si>
  <si>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</si>
  <si>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</si>
  <si>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</si>
  <si>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</si>
  <si>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</si>
  <si>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</si>
  <si>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</si>
  <si>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</si>
  <si>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</si>
  <si>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</si>
  <si>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</si>
  <si>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</si>
  <si>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</si>
  <si>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Pass-Through</t>
  </si>
  <si>
    <t>Rev &amp; Exp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</si>
  <si>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</si>
  <si>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</si>
  <si>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</si>
  <si>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</si>
  <si>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</si>
  <si>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</si>
  <si>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</si>
  <si>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</si>
  <si>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</si>
  <si>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</si>
  <si>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Miscellaneous</t>
  </si>
  <si>
    <t>Operating Expense</t>
  </si>
  <si>
    <t>Property</t>
  </si>
  <si>
    <t>D&amp;O</t>
  </si>
  <si>
    <t>Insurance</t>
  </si>
  <si>
    <t xml:space="preserve">(v) </t>
  </si>
  <si>
    <t xml:space="preserve">(w) </t>
  </si>
  <si>
    <t>(x)</t>
  </si>
  <si>
    <t xml:space="preserve">(y) </t>
  </si>
  <si>
    <t>(z)</t>
  </si>
  <si>
    <t>Rate Case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</si>
  <si>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</si>
  <si>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</si>
  <si>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</si>
  <si>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</si>
  <si>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</si>
  <si>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</si>
  <si>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</si>
  <si>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</si>
  <si>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</si>
  <si>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Adjustment Detail (Page 4)</t>
  </si>
  <si>
    <t>Incentive</t>
  </si>
  <si>
    <t>Pay</t>
  </si>
  <si>
    <t>Savings</t>
  </si>
  <si>
    <t>Study</t>
  </si>
  <si>
    <t>Results of</t>
  </si>
  <si>
    <t>Operations</t>
  </si>
  <si>
    <t>PUGET SOUND ENERGY-ELECTRIC</t>
  </si>
  <si>
    <t>BAD DEBTS</t>
  </si>
  <si>
    <t>CONVERSION FACTOR</t>
  </si>
  <si>
    <t>GENERAL RATE INCREASE</t>
  </si>
  <si>
    <t>LINE</t>
  </si>
  <si>
    <t>NET</t>
  </si>
  <si>
    <t>GROSS</t>
  </si>
  <si>
    <t>NO.</t>
  </si>
  <si>
    <t>DESCRIPTION</t>
  </si>
  <si>
    <t>ADJUSTMENT</t>
  </si>
  <si>
    <t>AMOUNT</t>
  </si>
  <si>
    <t>REVENUES</t>
  </si>
  <si>
    <t>TOTAL</t>
  </si>
  <si>
    <t>RATE</t>
  </si>
  <si>
    <t>SALES TO CUSTOMERS:</t>
  </si>
  <si>
    <t>RATE BASE</t>
  </si>
  <si>
    <t>12 MOS ENDED</t>
  </si>
  <si>
    <t>DECEMBER</t>
  </si>
  <si>
    <t>AUGUST</t>
  </si>
  <si>
    <t>1</t>
  </si>
  <si>
    <t>OTHER OPERATING REVENUES</t>
  </si>
  <si>
    <t>ANNUAL FILING FEE</t>
  </si>
  <si>
    <t>NET RATE BASE</t>
  </si>
  <si>
    <t>INCREASE (DECREASE) NOI</t>
  </si>
  <si>
    <t>WEIGHTED COST OF DEBT</t>
  </si>
  <si>
    <t>3-Yr Average of Net Write Off Rate</t>
  </si>
  <si>
    <t>INCREASE (DECREASE) EXPENSE</t>
  </si>
  <si>
    <t>SUM OF TAXES OTHER</t>
  </si>
  <si>
    <t>PROFORMA INTEREST</t>
  </si>
  <si>
    <t>Test Period Revenues</t>
  </si>
  <si>
    <t>INCREASE (DECREASE) FIT @</t>
  </si>
  <si>
    <t>RESTATING ADJUSTMENTS SALES TO CUSTOMERS</t>
  </si>
  <si>
    <t xml:space="preserve">INCREASE (DECREASE) FIT @ </t>
  </si>
  <si>
    <t>INTEREST EXPENSE ITEMS PER BOOKS:</t>
  </si>
  <si>
    <t>PROFORMA BAD DEBT RATE</t>
  </si>
  <si>
    <t>INTEREST ON LONG TERM DEBT</t>
  </si>
  <si>
    <t>PROFORMA BAD DEBTS</t>
  </si>
  <si>
    <t>AMORTIZATION OF DEBT DISCOUNT</t>
  </si>
  <si>
    <t xml:space="preserve">    AND EXPENSE, NET OF PREMIUMS</t>
  </si>
  <si>
    <t>UNCOLLECTIBLES CHARGED TO EXPENSE IN TEST YEAR</t>
  </si>
  <si>
    <t>CONSERVATION</t>
  </si>
  <si>
    <t>INTEREST ON DEBT TO ASSOCIATED</t>
  </si>
  <si>
    <t>ASSOCIATED COMPANIES</t>
  </si>
  <si>
    <t>INCREASE (DECREASE) EXPENSES</t>
  </si>
  <si>
    <t>OTHER INTEREST EXPENSE</t>
  </si>
  <si>
    <t>INCREASE (DECREASE) FIT</t>
  </si>
  <si>
    <t>PRO FORMA COST OF CAPITAL</t>
  </si>
  <si>
    <t>TOTAL INCREASE (DECREASE) SALES TO CUSTOMERS</t>
  </si>
  <si>
    <t>LESS:  INTEREST ON CUSTOMER DEPOSITS</t>
  </si>
  <si>
    <t>CHARGED TO EXPENSE IN TEST YEAR</t>
  </si>
  <si>
    <t>INCREASE (DECREASE) INCOME</t>
  </si>
  <si>
    <t>PRO FORMA</t>
  </si>
  <si>
    <t>COST OF</t>
  </si>
  <si>
    <t>CAPITAL %</t>
  </si>
  <si>
    <t>COST %</t>
  </si>
  <si>
    <t>CAPITAL</t>
  </si>
  <si>
    <t>SHORT TERM DEBT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</si>
  <si>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</si>
  <si>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</si>
  <si>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</si>
  <si>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</si>
  <si>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</si>
  <si>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</si>
  <si>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</si>
  <si>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</si>
  <si>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</si>
  <si>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TOTAL AFTER TAX COST OF CAPITAL</t>
  </si>
  <si>
    <t>STATE UTILITY TAX @</t>
  </si>
  <si>
    <t>INCREASE (DECREASE) TAXES OTHER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</si>
  <si>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</si>
  <si>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</si>
  <si>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</si>
  <si>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</si>
  <si>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</si>
  <si>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Expenses</t>
  </si>
  <si>
    <t>Adjustment</t>
  </si>
  <si>
    <t>Fleet</t>
  </si>
  <si>
    <t>Vehicles</t>
  </si>
  <si>
    <t>to IRS</t>
  </si>
  <si>
    <t>Rate Increase</t>
  </si>
  <si>
    <t>Puget Sound Energy - Gas</t>
  </si>
  <si>
    <t>Municipal Additions</t>
  </si>
  <si>
    <t>Operating Revenue Deductions:</t>
  </si>
  <si>
    <t>Gas Costs:</t>
  </si>
  <si>
    <t>Purchased Gas</t>
  </si>
  <si>
    <t>Total Net Investment</t>
  </si>
  <si>
    <t>Adj. 9.01</t>
  </si>
  <si>
    <t>Adj. 9.02</t>
  </si>
  <si>
    <t>Net Interest</t>
  </si>
  <si>
    <t>Adj. 9.03</t>
  </si>
  <si>
    <t>Adj. 9.04</t>
  </si>
  <si>
    <t>Adj. 9.05</t>
  </si>
  <si>
    <t xml:space="preserve">Puget Sound Energy - Gas </t>
  </si>
  <si>
    <t>ADD GRC INCREASE DOCKET UG-072301</t>
  </si>
  <si>
    <t>RECLASS PENALTIES AND NEW CUSTOMER REVENUE TO</t>
  </si>
  <si>
    <t>OTHER OPERATING</t>
  </si>
  <si>
    <t xml:space="preserve">OCTOBER 2007 PURCHASED GAS </t>
  </si>
  <si>
    <t>ADJUSTMENT, DOCKET UG-071775.</t>
  </si>
  <si>
    <t>CONSERVATION ADJUSTMENT</t>
  </si>
  <si>
    <t>TRUE UP CHANGE IN UNBILLED</t>
  </si>
  <si>
    <t>OTHER ADJUSTMENTS</t>
  </si>
  <si>
    <t>RENTALS:</t>
  </si>
  <si>
    <t>ADD GRC INCREASE DOCKET 060266</t>
  </si>
  <si>
    <t>RECLASS PENALTIES AND NEW CUSTOMER REVENUE</t>
  </si>
  <si>
    <t>FROM SALES TO CUSTOMERS</t>
  </si>
  <si>
    <t>REMOVE EVERETT DELTA LEASE REVENUES</t>
  </si>
  <si>
    <t>OPERATING EXPENSES:</t>
  </si>
  <si>
    <t>PURCHASED GAS COSTS</t>
  </si>
  <si>
    <t>2007 GRC INCREASE DOCKET UG-072301</t>
  </si>
  <si>
    <t>RECLASS PENALITIES AND NEW CUSTOMER REVENUE TO</t>
  </si>
  <si>
    <t xml:space="preserve">OCTOBER 2007 PURCHASED GAS ADJUSTMENT </t>
  </si>
  <si>
    <t>DOCKET UG-071775</t>
  </si>
  <si>
    <t>TOTAL PURCHASE GAS COSTS</t>
  </si>
  <si>
    <t>WRITEOFFS</t>
  </si>
  <si>
    <t>PUGET SOUND ENERGY-GAS</t>
  </si>
  <si>
    <t>Adj. 9.06</t>
  </si>
  <si>
    <t>Adj. 9.07</t>
  </si>
  <si>
    <t>Adj. 9.08</t>
  </si>
  <si>
    <t>Adj. 9.09</t>
  </si>
  <si>
    <t>Taxes</t>
  </si>
  <si>
    <t>Adj. 9.10</t>
  </si>
  <si>
    <t>Excise Tax &amp;</t>
  </si>
  <si>
    <t>Filing Fee</t>
  </si>
  <si>
    <t>Adj. 9.11</t>
  </si>
  <si>
    <t>Adj. 9.12</t>
  </si>
  <si>
    <t xml:space="preserve">Interest on </t>
  </si>
  <si>
    <t>Customer Deposits</t>
  </si>
  <si>
    <t>Adj. 9.13</t>
  </si>
  <si>
    <t>Deferred Gain/Loss</t>
  </si>
  <si>
    <t>on Property Sales</t>
  </si>
  <si>
    <t>Adj. 9.14</t>
  </si>
  <si>
    <t>Adj. 9.15</t>
  </si>
  <si>
    <t>Adj. 9.16</t>
  </si>
  <si>
    <t>Adj. 9.17</t>
  </si>
  <si>
    <t>Adj. 9.18</t>
  </si>
  <si>
    <t>Adj. 9.19</t>
  </si>
  <si>
    <t>Adj. 9.20</t>
  </si>
  <si>
    <t>Adj. 9.21</t>
  </si>
  <si>
    <t>Adj. 9.22</t>
  </si>
  <si>
    <t>Adj. 9.23</t>
  </si>
  <si>
    <t>Other Energy Supply Expenses</t>
  </si>
  <si>
    <t xml:space="preserve">PUGET SOUND ENERGY-GAS </t>
  </si>
  <si>
    <t>FOR THE TWELVE MONTHS ENDED DECEMBER  31, 2008</t>
  </si>
  <si>
    <t>ACTUAL</t>
  </si>
  <si>
    <t>RESTATED</t>
  </si>
  <si>
    <t>TEMPERATURE NORMALIZATION ADJUSTMENT:</t>
  </si>
  <si>
    <t>TEMP ADJ</t>
  </si>
  <si>
    <t>THERMS</t>
  </si>
  <si>
    <t>CHANGE</t>
  </si>
  <si>
    <t>REVENUE ADJUSTMENT:</t>
  </si>
  <si>
    <t>Residential (23, 53)</t>
  </si>
  <si>
    <t>Residential (16)</t>
  </si>
  <si>
    <t>Commercial &amp; industrial (31)</t>
  </si>
  <si>
    <t>Large volume (41)</t>
  </si>
  <si>
    <t>Compressed natural gas (50)</t>
  </si>
  <si>
    <t>Interruptible (85)</t>
  </si>
  <si>
    <t>Limited interruptible (86)</t>
  </si>
  <si>
    <t>Non exclusive interruptible (87)</t>
  </si>
  <si>
    <t>Transportation (57)</t>
  </si>
  <si>
    <t>Contracts (99)</t>
  </si>
  <si>
    <t>INCREASE (DECREASE) SALES TO CUSTOMERS</t>
  </si>
  <si>
    <t>OPERATING EXPENSES</t>
  </si>
  <si>
    <t>ADJUSTMENT 9.01 TEMPERATURE NORMALIZATION</t>
  </si>
  <si>
    <t>ADJUSTMENT 9.02 REVENUE AND EXPENSES</t>
  </si>
  <si>
    <t>FOR TWELVE MONTHS ENDED DECEMBER 31, 2008</t>
  </si>
  <si>
    <t>ADJUSTED</t>
  </si>
  <si>
    <t>TEST YEAR</t>
  </si>
  <si>
    <t>RATE YEAR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</si>
  <si>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</si>
  <si>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</si>
  <si>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</si>
  <si>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</si>
  <si>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</si>
  <si>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</si>
  <si>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AMORTIZATION EXPENSE</t>
  </si>
  <si>
    <t>TOTAL OPERATING EXPENSES</t>
  </si>
  <si>
    <t>ADJUSTMENT 9.03 NET INTEREST PAID TO IRS ON SSCM</t>
  </si>
  <si>
    <t>TAXABLE INCOME</t>
  </si>
  <si>
    <t xml:space="preserve">FEDERAL INCOME TAX </t>
  </si>
  <si>
    <t xml:space="preserve">   CURRENT FIT    @</t>
  </si>
  <si>
    <t xml:space="preserve">   DEFERRED FIT - DEBIT</t>
  </si>
  <si>
    <t xml:space="preserve">   DEFERRED FIT - CREDIT</t>
  </si>
  <si>
    <t xml:space="preserve">   DEFERRED FIT - INV TAX CREDIT, NET OF AMORTIZATION</t>
  </si>
  <si>
    <t xml:space="preserve">                    TOTAL RESTATED FIT</t>
  </si>
  <si>
    <t>FIT PER BOOKS:</t>
  </si>
  <si>
    <t xml:space="preserve">   CURRENT FIT    </t>
  </si>
  <si>
    <t xml:space="preserve">                    TOTAL CHARGED TO EXPENSE</t>
  </si>
  <si>
    <t>INCREASE(DECREASE) FIT</t>
  </si>
  <si>
    <t>INCREASE(DECREASE) DEFERRED FIT</t>
  </si>
  <si>
    <t>INCREASE(DECREASE) ITC</t>
  </si>
  <si>
    <t xml:space="preserve">INCREASE(DECREASE) NOI </t>
  </si>
  <si>
    <t>ADJUSTMENT 9.04  INCOME TAX</t>
  </si>
  <si>
    <t>ADJUSTMENT 9.05  BENEFIT OF PRO FORMA INTEREST</t>
  </si>
  <si>
    <t>ADJUSTMENT TO OPERATING EXPENSES</t>
  </si>
  <si>
    <t>403 DEPRECIATION EXPENSE</t>
  </si>
  <si>
    <t>403 GAS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</si>
  <si>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</si>
  <si>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</si>
  <si>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</si>
  <si>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</si>
  <si>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</si>
  <si>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</si>
  <si>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</si>
  <si>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</si>
  <si>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</si>
  <si>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</si>
  <si>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INCREASE(DECREASE) EXPENSE</t>
  </si>
  <si>
    <t>INCREASE(DECREASE) DFIT</t>
  </si>
  <si>
    <t>INCREASE(DECREASE) FIT @</t>
  </si>
  <si>
    <t>INCREASE(DECREASE) NOI</t>
  </si>
  <si>
    <t>ADJUSTMENT TO RATE BASE</t>
  </si>
  <si>
    <t>ADJUST ACCUM DEPR FOR ADDITIONAL DEPR EXP (50% OF LINE 19)</t>
  </si>
  <si>
    <t>ADJUST ACCUMULATED DFIT FOR ADDITIONAL EXPENSE (50% OF LINE 21)</t>
  </si>
  <si>
    <t>TOTAL ADJUSTMENT TO RATEBASE</t>
  </si>
  <si>
    <t>ADJUSTMENT 9.06 DEPRECIATION STUDY</t>
  </si>
  <si>
    <t>REMOVE REVENUES ASSOCIATED WITH RIDERS:</t>
  </si>
  <si>
    <t>REMOVE LOW INCOME - SCHEDULE 129</t>
  </si>
  <si>
    <t>REMOVE CONSERVATION - SCHEDULE 120</t>
  </si>
  <si>
    <t>REMOVE REVENUE ASSOC WITH PGA AMORTIZATION - SCHEDULE 106</t>
  </si>
  <si>
    <t>REMOVE MUNICIPAL TAXES ASSOC WITH SALES TO CUSTOMERS</t>
  </si>
  <si>
    <t>REMOVE MUNICIPAL TAXES ASSOC WITH OTHER OPRTG REV</t>
  </si>
  <si>
    <t>TOTAL (INCREASE) DECREASE REVENUES</t>
  </si>
  <si>
    <t>ADJUST REVENUE SENSITIVE ITEMS FOR REMOVAL OF REVENUE:</t>
  </si>
  <si>
    <t>STATE UTILITY TAX</t>
  </si>
  <si>
    <t>TOTAL INCREASE (DECREASE) EXPENSE</t>
  </si>
  <si>
    <t>REMOVE EXPENSES ASSOCIATED WITH RIDERS</t>
  </si>
  <si>
    <t>REMOVE LOW INCOME AMORTIZATION - SCHEDULE 129</t>
  </si>
  <si>
    <t>REMOVE CONSERVATION AMORTIZATION - SCHEDULE 120</t>
  </si>
  <si>
    <t>REMOVE PGA DEFERRAL AMORTIZATION EXP - SCHEDULE 106</t>
  </si>
  <si>
    <t>INCL. ABOVE</t>
  </si>
  <si>
    <t>INCREASE (DECREASE) IN OPERATING INCOME BEFORE TAXES</t>
  </si>
  <si>
    <t>ADJUSTMENT 9.07 PASS THROUGH REVENUE AND EXPENSE</t>
  </si>
  <si>
    <t>ADJUSTMENT 9.08 BAD DEBTS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</si>
  <si>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</si>
  <si>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</si>
  <si>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</si>
  <si>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</si>
  <si>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</si>
  <si>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</si>
  <si>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</si>
  <si>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Amort of Deferred Taxes of Indirect Overheads</t>
  </si>
  <si>
    <t xml:space="preserve">      Regulatory Asset (WUTC DOC # UG-051528)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</si>
  <si>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</si>
  <si>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</si>
  <si>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</si>
  <si>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</si>
  <si>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</si>
  <si>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</si>
  <si>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Increase(Decrease ) in Expense</t>
  </si>
  <si>
    <t>Total Increase(Decrease ) in Income</t>
  </si>
  <si>
    <t xml:space="preserve">Increase(Decrease ) FIT @ 35% </t>
  </si>
  <si>
    <t>Increase(Decrease ) NOI</t>
  </si>
  <si>
    <t>ADJUSTMENT 9.09 MISCELLANEOUS OPERATING EXPENS</t>
  </si>
  <si>
    <t>RESTATED PROPERTY TAX</t>
  </si>
  <si>
    <t>CHARGED TO EXPENSE IN TY</t>
  </si>
  <si>
    <t>INCREASE(DECREASE) OPERATING EXPENSE</t>
  </si>
  <si>
    <t>TOTAL INCREASE(DECREASE) OPERATING EXPENSE (LINE 3)</t>
  </si>
  <si>
    <t>Staff</t>
  </si>
  <si>
    <t>ADJUSTMENT 9.10 PROPERTY TAX</t>
  </si>
  <si>
    <t>RESTATED EXCISE TAXES</t>
  </si>
  <si>
    <t>CHARGED TO EXPENSE FOR TEST YEAR</t>
  </si>
  <si>
    <t>INCREASE(DECREASE) EXCISE TAX</t>
  </si>
  <si>
    <t>RESTATED WUTC FILING FEE</t>
  </si>
  <si>
    <t>INCREASE(DECREASE) WUTC FILING FEE</t>
  </si>
  <si>
    <t>ADJUSTMENT 9.11 EXCISE TAX &amp; FILING FEE</t>
  </si>
  <si>
    <t>Line No.</t>
  </si>
  <si>
    <t>Company</t>
  </si>
  <si>
    <t>Gas 9.12</t>
  </si>
  <si>
    <t>Test Period D&amp;O Insurance Expense</t>
  </si>
  <si>
    <t>Restated D&amp;O Insurance Expense</t>
  </si>
  <si>
    <t>Impact on Net Operating Income</t>
  </si>
  <si>
    <t>Revenue Requirement Impact</t>
  </si>
  <si>
    <t>Exhibit No. MJS-9, Page 9.12</t>
  </si>
  <si>
    <t>Exhibit No. AMCL-2</t>
  </si>
  <si>
    <t>Id.</t>
  </si>
  <si>
    <t>ADJUSTMENT 9.12 D&amp;O INSURANCE</t>
  </si>
  <si>
    <t>FOR THE TWELVE MONTHS ENDED DECEMBER 31, 2008</t>
  </si>
  <si>
    <t>2009 GENERAL RATE INCREASE</t>
  </si>
  <si>
    <t>INTEREST EXPENSE FOR THE RESTATED TEST YEAR</t>
  </si>
  <si>
    <t>DECREASE GAS NET RATE BASE</t>
  </si>
  <si>
    <t>ADJUSTMENT 9.13 INTEREST ON CUSTOMER DEPOSITS</t>
  </si>
  <si>
    <t>EXPENSES TO BE NORMALIZED:</t>
  </si>
  <si>
    <t>ESTIMATED 2006 and 2007 GRC EXPENSES TO BE NORMALIZED</t>
  </si>
  <si>
    <t>LESS TEST YEAR EXPENSE:  GRC DIRECT CHARGES TO O&amp;M</t>
  </si>
  <si>
    <t>ADJUSTMENT 9.14 RATE CASE EXPENSES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</si>
  <si>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</si>
  <si>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</si>
  <si>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</si>
  <si>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</si>
  <si>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</si>
  <si>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ADJUSTMENT 9.15 DEFERRED GAINS/LOSSES ON PROPERTY SALES</t>
  </si>
  <si>
    <t>PROFORMA</t>
  </si>
  <si>
    <t>PROPERTY INSURANCE EXPENSE</t>
  </si>
  <si>
    <t>LIABILITY INSURANCE EXPENSE</t>
  </si>
  <si>
    <t>ADJUSTMENT 9.16 PROPERTY &amp; LIABILITY INSURANCE</t>
  </si>
  <si>
    <t>QUALIFIED RETIREMENT FUND</t>
  </si>
  <si>
    <t>SERP PLAN</t>
  </si>
  <si>
    <t>ADJUSTMENT 9.17 PENSION PLAN</t>
  </si>
  <si>
    <t>2008 GENERAL RATE INCREASE</t>
  </si>
  <si>
    <t>WAGES:</t>
  </si>
  <si>
    <t>PRODUCTION MANUF. GAS</t>
  </si>
  <si>
    <t>OTHER GAS SUPPLY</t>
  </si>
  <si>
    <t>STORAGE, LNG T&amp;G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</si>
  <si>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</si>
  <si>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</si>
  <si>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</si>
  <si>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</si>
  <si>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</si>
  <si>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</si>
  <si>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</si>
  <si>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</si>
  <si>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</si>
  <si>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INCREASE (DECREASE) OPERATING EXPENSE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</si>
  <si>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</si>
  <si>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</si>
  <si>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</si>
  <si>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</si>
  <si>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</si>
  <si>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</si>
  <si>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</si>
  <si>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</si>
  <si>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</si>
  <si>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</si>
  <si>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</si>
  <si>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</si>
  <si>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</si>
  <si>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</si>
  <si>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</si>
  <si>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</si>
  <si>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</si>
  <si>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</si>
  <si>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</si>
  <si>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</si>
  <si>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</si>
  <si>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</si>
  <si>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9.20 EMPLOYEE INSURANCE</t>
  </si>
  <si>
    <t>INCENTIVE/MERIT PAY</t>
  </si>
  <si>
    <t>TOTAL INCENTIVE PAY</t>
  </si>
  <si>
    <t>PAYROLL TAXES ASSOC WITH MERIT PAY</t>
  </si>
  <si>
    <t>ADJUSTMENT 9.21 INCENTIVE PAY</t>
  </si>
  <si>
    <t>MEGER COSTS</t>
  </si>
  <si>
    <t>TOTAL INCREASE (DECREASE) EXPENSES</t>
  </si>
  <si>
    <t>ADJUSTMENT 9.22 MERGER SAVINGS</t>
  </si>
  <si>
    <t>RATEBASE</t>
  </si>
  <si>
    <t>FLEET BALANCE</t>
  </si>
  <si>
    <t>ACCUMULATED DEPRECIATION</t>
  </si>
  <si>
    <t>DEFERRED FIT</t>
  </si>
  <si>
    <t>NET FLEET RATEBASE</t>
  </si>
  <si>
    <t>FLEET OPERATING EXPENSES</t>
  </si>
  <si>
    <t>LEASE PAYMENT</t>
  </si>
  <si>
    <t>DEPRECIATION EXPENSE</t>
  </si>
  <si>
    <t xml:space="preserve">INCREASE (DECREASE) NOI </t>
  </si>
  <si>
    <t>ADJUSTMENT 9.23 FLEET VEHICLES</t>
  </si>
  <si>
    <t>b</t>
  </si>
  <si>
    <t>a</t>
  </si>
  <si>
    <t>ANNUAL NORMALIZATION (LINE 3 / 2 YEARS)</t>
  </si>
  <si>
    <t>Docket UE-090704/UG-090705</t>
  </si>
  <si>
    <t>ADJUSTMENT 10.18 WAGE INCREASE</t>
  </si>
  <si>
    <t>Puget Sound Energy</t>
  </si>
  <si>
    <t>UE 090704/090705</t>
  </si>
  <si>
    <t>Test Year December 31, 2008</t>
  </si>
  <si>
    <t>Company Revenue Requirement Summary</t>
  </si>
  <si>
    <t>Gas Operations</t>
  </si>
  <si>
    <t>Net Operating</t>
  </si>
  <si>
    <t>Rev Req</t>
  </si>
  <si>
    <t>Adj. No.</t>
  </si>
  <si>
    <t>Income</t>
  </si>
  <si>
    <t>Rate Base</t>
  </si>
  <si>
    <t>@8.50</t>
  </si>
  <si>
    <t>@7.89%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</si>
  <si>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</si>
  <si>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</si>
  <si>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</si>
  <si>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</si>
  <si>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</si>
  <si>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</si>
  <si>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</si>
  <si>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Net Interest Paid to IRS</t>
  </si>
  <si>
    <t>Federal Income Tax</t>
  </si>
  <si>
    <t>Tax Benefits of Pro Forma Interest</t>
  </si>
  <si>
    <t>Depreciation Study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</si>
  <si>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</si>
  <si>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</si>
  <si>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</si>
  <si>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</si>
  <si>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</si>
  <si>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</si>
  <si>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</si>
  <si>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</si>
  <si>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</si>
  <si>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</si>
  <si>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</si>
  <si>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</si>
  <si>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</si>
  <si>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</si>
  <si>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</si>
  <si>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</si>
  <si>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Fleet Vehicles</t>
  </si>
  <si>
    <t>Total Adjustment</t>
  </si>
  <si>
    <t>Adjusted Results of Operations</t>
  </si>
  <si>
    <t>UE 090704</t>
  </si>
  <si>
    <t>Staff Revenue Requirement Summary</t>
  </si>
  <si>
    <t>Cost of Capital</t>
  </si>
  <si>
    <t>@ 8.50</t>
  </si>
  <si>
    <t>Difference</t>
  </si>
  <si>
    <t>Revenue Requirement Summary</t>
  </si>
  <si>
    <t>NOI</t>
  </si>
  <si>
    <t>(h)</t>
  </si>
  <si>
    <t>(i)</t>
  </si>
  <si>
    <t>(k)</t>
  </si>
  <si>
    <t>Per Company</t>
  </si>
  <si>
    <t>Per Staff</t>
  </si>
  <si>
    <t>Long-term Debt</t>
  </si>
  <si>
    <t>Short term Debt</t>
  </si>
  <si>
    <t>Preferred Stock</t>
  </si>
  <si>
    <t>Common Stock</t>
  </si>
  <si>
    <t>Tax Rate</t>
  </si>
  <si>
    <t>Decrease Operating Investment: Rate Base -Other</t>
  </si>
  <si>
    <t>Increase Allowance for Working Capital</t>
  </si>
  <si>
    <t>Conversion Factor - Gas</t>
  </si>
  <si>
    <t>Gross Utility Plant In Service</t>
  </si>
  <si>
    <t>Customer Accounts Expense</t>
  </si>
  <si>
    <t>Conversion Factor - Electric</t>
  </si>
  <si>
    <t>Company Store- Net Purchase/Sales of Merchandise in A&amp;G</t>
  </si>
  <si>
    <t>ADJUSTMENT 9.19 INVESTMENT PLAN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</si>
  <si>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</si>
  <si>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</si>
  <si>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GENERAL RATE CASE</t>
  </si>
  <si>
    <t>This does not agree with Stranik testimony because it does not reflect the change from 8.56 to 8.50</t>
  </si>
</sst>
</file>

<file path=xl/styles.xml><?xml version="1.0" encoding="utf-8"?>
<styleSheet xmlns="http://schemas.openxmlformats.org/spreadsheetml/2006/main">
  <numFmts count="3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"/>
    <numFmt numFmtId="172" formatCode="_(* #,##0.0_);_(* \(#,##0.0\);_(* &quot;-&quot;_);_(@_)"/>
    <numFmt numFmtId="173" formatCode="#,##0.0000000;\(#,##0.0000000\)"/>
    <numFmt numFmtId="174" formatCode="_(* #,##0.00000_);_(* \(#,##0.00000\);_(* &quot;-&quot;??_);_(@_)"/>
    <numFmt numFmtId="175" formatCode="d\.mmm\.yy"/>
    <numFmt numFmtId="176" formatCode="#."/>
    <numFmt numFmtId="177" formatCode="_(* ###0_);_(* \(###0\);_(* &quot;-&quot;_);_(@_)"/>
    <numFmt numFmtId="178" formatCode="_([$€-2]* #,##0.00_);_([$€-2]* \(#,##0.00\);_([$€-2]* &quot;-&quot;??_)"/>
    <numFmt numFmtId="179" formatCode="_(&quot;$&quot;* #,##0.000000_);_(&quot;$&quot;* \(#,##0.000000\);_(&quot;$&quot;* &quot;-&quot;??????_);_(@_)"/>
    <numFmt numFmtId="180" formatCode="&quot;$&quot;#,##0;\-&quot;$&quot;#,##0"/>
    <numFmt numFmtId="181" formatCode="_(&quot;$&quot;* #,##0.0000_);_(&quot;$&quot;* \(#,##0.0000\);_(&quot;$&quot;* &quot;-&quot;????_);_(@_)"/>
    <numFmt numFmtId="182" formatCode="&quot;$&quot;#,##0.00"/>
    <numFmt numFmtId="183" formatCode="0.00000_);[Red]\(0.00000\)"/>
    <numFmt numFmtId="184" formatCode="#,##0.00000"/>
    <numFmt numFmtId="185" formatCode="#,##0.00\ ;\(#,##0.00\)"/>
    <numFmt numFmtId="186" formatCode="0.000000%"/>
    <numFmt numFmtId="187" formatCode="0.00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sz val="10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b/>
      <u/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name val="Times New Roman"/>
      <family val="1"/>
    </font>
    <font>
      <vertAlign val="superscript"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name val="Arial"/>
      <family val="2"/>
    </font>
    <font>
      <sz val="11"/>
      <color theme="1"/>
      <name val="Times New Roman"/>
      <family val="1"/>
    </font>
    <font>
      <sz val="12"/>
      <color indexed="12"/>
      <name val="Times New Roman"/>
      <family val="1"/>
    </font>
    <font>
      <i/>
      <sz val="12"/>
      <name val="Times New Roman"/>
      <family val="1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1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174" fontId="2" fillId="0" borderId="0">
      <alignment horizontal="left" wrapText="1"/>
    </xf>
    <xf numFmtId="0" fontId="3" fillId="0" borderId="0"/>
    <xf numFmtId="175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6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8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79" fontId="6" fillId="0" borderId="0"/>
    <xf numFmtId="180" fontId="2" fillId="0" borderId="0"/>
    <xf numFmtId="180" fontId="2" fillId="0" borderId="0"/>
    <xf numFmtId="18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5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1" fontId="2" fillId="3" borderId="0"/>
    <xf numFmtId="165" fontId="23" fillId="0" borderId="0" applyBorder="0" applyAlignment="0"/>
    <xf numFmtId="42" fontId="2" fillId="3" borderId="11">
      <alignment horizontal="left"/>
    </xf>
    <xf numFmtId="181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2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2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5" fillId="0" borderId="0"/>
    <xf numFmtId="0" fontId="45" fillId="0" borderId="0"/>
    <xf numFmtId="0" fontId="45" fillId="0" borderId="21"/>
    <xf numFmtId="0" fontId="46" fillId="9" borderId="21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40" fontId="47" fillId="3" borderId="0">
      <alignment horizontal="right"/>
    </xf>
    <xf numFmtId="0" fontId="48" fillId="10" borderId="0">
      <alignment horizontal="center"/>
    </xf>
    <xf numFmtId="0" fontId="49" fillId="11" borderId="22"/>
    <xf numFmtId="0" fontId="50" fillId="0" borderId="0" applyBorder="0">
      <alignment horizontal="centerContinuous"/>
    </xf>
    <xf numFmtId="0" fontId="51" fillId="0" borderId="0" applyBorder="0">
      <alignment horizontal="centerContinuous"/>
    </xf>
    <xf numFmtId="0" fontId="45" fillId="0" borderId="0"/>
    <xf numFmtId="0" fontId="45" fillId="0" borderId="0"/>
    <xf numFmtId="0" fontId="45" fillId="0" borderId="21"/>
    <xf numFmtId="0" fontId="45" fillId="0" borderId="21"/>
    <xf numFmtId="0" fontId="52" fillId="12" borderId="0"/>
    <xf numFmtId="0" fontId="52" fillId="12" borderId="0"/>
    <xf numFmtId="0" fontId="46" fillId="0" borderId="23"/>
    <xf numFmtId="0" fontId="46" fillId="0" borderId="23"/>
    <xf numFmtId="0" fontId="46" fillId="0" borderId="21"/>
    <xf numFmtId="0" fontId="46" fillId="0" borderId="21"/>
    <xf numFmtId="9" fontId="2" fillId="0" borderId="0" applyFont="0" applyFill="0" applyBorder="0" applyAlignment="0" applyProtection="0"/>
    <xf numFmtId="0" fontId="54" fillId="0" borderId="0"/>
  </cellStyleXfs>
  <cellXfs count="733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5" xfId="1" applyNumberFormat="1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42" fontId="7" fillId="0" borderId="0" xfId="6" applyNumberFormat="1" applyFont="1" applyFill="1" applyBorder="1" applyAlignment="1"/>
    <xf numFmtId="42" fontId="7" fillId="0" borderId="5" xfId="6" applyNumberFormat="1" applyFont="1" applyFill="1" applyBorder="1" applyAlignment="1"/>
    <xf numFmtId="41" fontId="7" fillId="0" borderId="0" xfId="6" applyNumberFormat="1" applyFont="1" applyFill="1" applyBorder="1" applyAlignment="1"/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 applyProtection="1">
      <protection locked="0"/>
    </xf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42" fontId="3" fillId="0" borderId="0" xfId="4" applyNumberFormat="1" applyFont="1" applyFill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164" fontId="3" fillId="0" borderId="0" xfId="4" applyFont="1" applyFill="1" applyAlignment="1">
      <alignment horizontal="left"/>
    </xf>
    <xf numFmtId="0" fontId="5" fillId="0" borderId="0" xfId="4" applyNumberFormat="1" applyFont="1" applyFill="1" applyAlignment="1">
      <alignment horizontal="right"/>
    </xf>
    <xf numFmtId="0" fontId="5" fillId="0" borderId="9" xfId="4" applyNumberFormat="1" applyFont="1" applyFill="1" applyBorder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18" fontId="3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3" fontId="3" fillId="0" borderId="10" xfId="4" applyNumberFormat="1" applyFont="1" applyFill="1" applyBorder="1" applyAlignment="1" applyProtection="1">
      <protection locked="0"/>
    </xf>
    <xf numFmtId="0" fontId="3" fillId="0" borderId="0" xfId="4" applyNumberFormat="1" applyFont="1" applyFill="1" applyAlignment="1">
      <alignment horizontal="right"/>
    </xf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1" fontId="3" fillId="0" borderId="0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5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9" fillId="0" borderId="0" xfId="0" applyNumberFormat="1" applyFont="1" applyFill="1" applyAlignment="1" applyProtection="1">
      <alignment horizontal="centerContinuous"/>
      <protection locked="0"/>
    </xf>
    <xf numFmtId="0" fontId="9" fillId="0" borderId="0" xfId="0" applyNumberFormat="1" applyFont="1" applyFill="1" applyAlignment="1">
      <alignment horizontal="centerContinuous"/>
    </xf>
    <xf numFmtId="0" fontId="9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10" xfId="0" applyNumberFormat="1" applyFont="1" applyFill="1" applyBorder="1" applyAlignment="1">
      <alignment horizontal="center"/>
    </xf>
    <xf numFmtId="42" fontId="7" fillId="0" borderId="0" xfId="0" applyNumberFormat="1" applyFont="1" applyFill="1" applyAlignment="1"/>
    <xf numFmtId="41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164" fontId="7" fillId="0" borderId="0" xfId="0" applyNumberFormat="1" applyFont="1" applyFill="1" applyAlignment="1">
      <alignment horizontal="left"/>
    </xf>
    <xf numFmtId="42" fontId="3" fillId="0" borderId="0" xfId="6" applyNumberFormat="1" applyFont="1" applyFill="1"/>
    <xf numFmtId="164" fontId="7" fillId="0" borderId="0" xfId="0" applyNumberFormat="1" applyFont="1" applyFill="1" applyAlignment="1"/>
    <xf numFmtId="0" fontId="9" fillId="0" borderId="10" xfId="0" applyNumberFormat="1" applyFont="1" applyFill="1" applyBorder="1" applyAlignment="1" applyProtection="1">
      <alignment horizontal="center"/>
      <protection locked="0"/>
    </xf>
    <xf numFmtId="164" fontId="9" fillId="0" borderId="0" xfId="0" applyNumberFormat="1" applyFont="1" applyFill="1" applyBorder="1" applyAlignment="1">
      <alignment horizontal="center"/>
    </xf>
    <xf numFmtId="42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/>
    <xf numFmtId="42" fontId="7" fillId="0" borderId="0" xfId="6" applyNumberFormat="1" applyFont="1" applyFill="1" applyBorder="1" applyAlignment="1">
      <alignment horizontal="right"/>
    </xf>
    <xf numFmtId="164" fontId="7" fillId="0" borderId="0" xfId="0" quotePrefix="1" applyNumberFormat="1" applyFont="1" applyFill="1" applyAlignment="1">
      <alignment horizontal="left"/>
    </xf>
    <xf numFmtId="37" fontId="7" fillId="0" borderId="0" xfId="0" applyNumberFormat="1" applyFont="1" applyFill="1" applyBorder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/>
    </xf>
    <xf numFmtId="41" fontId="7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Alignment="1" applyProtection="1">
      <protection locked="0"/>
    </xf>
    <xf numFmtId="0" fontId="9" fillId="0" borderId="10" xfId="0" applyNumberFormat="1" applyFont="1" applyFill="1" applyBorder="1" applyAlignment="1">
      <alignment horizontal="left"/>
    </xf>
    <xf numFmtId="44" fontId="4" fillId="0" borderId="4" xfId="1" applyNumberFormat="1" applyFont="1" applyBorder="1"/>
    <xf numFmtId="41" fontId="4" fillId="0" borderId="0" xfId="1" applyNumberFormat="1" applyFont="1"/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6" fillId="0" borderId="5" xfId="5" applyNumberFormat="1" applyFont="1" applyFill="1" applyBorder="1" applyAlignment="1"/>
    <xf numFmtId="10" fontId="5" fillId="0" borderId="0" xfId="4" applyNumberFormat="1" applyFont="1" applyFill="1" applyAlignment="1"/>
    <xf numFmtId="10" fontId="5" fillId="0" borderId="11" xfId="4" applyNumberFormat="1" applyFont="1" applyFill="1" applyBorder="1" applyAlignment="1"/>
    <xf numFmtId="10" fontId="5" fillId="0" borderId="0" xfId="0" applyNumberFormat="1" applyFont="1" applyFill="1" applyAlignment="1"/>
    <xf numFmtId="10" fontId="5" fillId="0" borderId="0" xfId="0" applyNumberFormat="1" applyFont="1" applyFill="1" applyBorder="1" applyAlignment="1"/>
    <xf numFmtId="10" fontId="5" fillId="0" borderId="10" xfId="0" applyNumberFormat="1" applyFont="1" applyFill="1" applyBorder="1" applyAlignment="1"/>
    <xf numFmtId="10" fontId="5" fillId="0" borderId="0" xfId="4" applyNumberFormat="1" applyFont="1" applyFill="1" applyBorder="1" applyAlignment="1"/>
    <xf numFmtId="15" fontId="37" fillId="0" borderId="0" xfId="0" applyNumberFormat="1" applyFont="1" applyFill="1" applyAlignment="1">
      <alignment horizontal="centerContinuous"/>
    </xf>
    <xf numFmtId="18" fontId="9" fillId="0" borderId="0" xfId="0" applyNumberFormat="1" applyFont="1" applyFill="1" applyAlignment="1">
      <alignment horizontal="centerContinuous"/>
    </xf>
    <xf numFmtId="0" fontId="9" fillId="0" borderId="10" xfId="0" applyNumberFormat="1" applyFont="1" applyFill="1" applyBorder="1" applyAlignment="1"/>
    <xf numFmtId="0" fontId="38" fillId="0" borderId="0" xfId="0" applyNumberFormat="1" applyFont="1" applyFill="1" applyBorder="1" applyAlignment="1"/>
    <xf numFmtId="164" fontId="7" fillId="0" borderId="0" xfId="0" quotePrefix="1" applyNumberFormat="1" applyFont="1" applyFill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37" fontId="7" fillId="0" borderId="0" xfId="0" applyNumberFormat="1" applyFont="1" applyFill="1" applyBorder="1" applyAlignment="1">
      <alignment horizontal="center"/>
    </xf>
    <xf numFmtId="164" fontId="38" fillId="0" borderId="0" xfId="0" applyNumberFormat="1" applyFont="1" applyFill="1" applyAlignment="1">
      <alignment horizontal="center"/>
    </xf>
    <xf numFmtId="164" fontId="38" fillId="0" borderId="0" xfId="0" applyNumberFormat="1" applyFont="1" applyFill="1" applyBorder="1" applyAlignment="1">
      <alignment horizontal="center"/>
    </xf>
    <xf numFmtId="37" fontId="38" fillId="0" borderId="0" xfId="0" applyNumberFormat="1" applyFont="1" applyFill="1" applyBorder="1" applyAlignment="1">
      <alignment horizontal="center"/>
    </xf>
    <xf numFmtId="17" fontId="7" fillId="0" borderId="0" xfId="0" applyNumberFormat="1" applyFont="1" applyFill="1" applyAlignment="1"/>
    <xf numFmtId="165" fontId="7" fillId="0" borderId="0" xfId="5" applyNumberFormat="1" applyFont="1" applyFill="1" applyBorder="1" applyAlignment="1"/>
    <xf numFmtId="37" fontId="7" fillId="0" borderId="0" xfId="0" applyNumberFormat="1" applyFont="1" applyFill="1" applyAlignment="1">
      <alignment horizontal="right"/>
    </xf>
    <xf numFmtId="37" fontId="7" fillId="0" borderId="0" xfId="0" applyNumberFormat="1" applyFont="1" applyAlignment="1">
      <alignment horizontal="right"/>
    </xf>
    <xf numFmtId="165" fontId="7" fillId="0" borderId="0" xfId="5" applyNumberFormat="1" applyFont="1" applyFill="1" applyAlignment="1"/>
    <xf numFmtId="165" fontId="7" fillId="0" borderId="10" xfId="5" applyNumberFormat="1" applyFont="1" applyFill="1" applyBorder="1" applyAlignment="1"/>
    <xf numFmtId="37" fontId="7" fillId="0" borderId="10" xfId="0" applyNumberFormat="1" applyFont="1" applyBorder="1" applyAlignment="1">
      <alignment horizontal="right"/>
    </xf>
    <xf numFmtId="165" fontId="7" fillId="0" borderId="0" xfId="0" applyNumberFormat="1" applyFont="1" applyFill="1" applyAlignment="1"/>
    <xf numFmtId="3" fontId="7" fillId="0" borderId="0" xfId="5" applyNumberFormat="1" applyFont="1" applyFill="1" applyAlignment="1"/>
    <xf numFmtId="164" fontId="7" fillId="0" borderId="0" xfId="0" applyNumberFormat="1" applyFont="1" applyAlignment="1">
      <alignment horizontal="left"/>
    </xf>
    <xf numFmtId="41" fontId="7" fillId="0" borderId="0" xfId="5" applyNumberFormat="1" applyFont="1" applyFill="1" applyAlignment="1"/>
    <xf numFmtId="42" fontId="7" fillId="0" borderId="0" xfId="6" applyNumberFormat="1" applyFont="1" applyFill="1" applyAlignment="1"/>
    <xf numFmtId="164" fontId="7" fillId="0" borderId="0" xfId="0" applyNumberFormat="1" applyFont="1" applyFill="1" applyAlignment="1">
      <alignment horizontal="center"/>
    </xf>
    <xf numFmtId="164" fontId="7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/>
    <xf numFmtId="37" fontId="7" fillId="0" borderId="0" xfId="5" applyNumberFormat="1" applyFont="1" applyFill="1" applyBorder="1" applyAlignment="1"/>
    <xf numFmtId="164" fontId="7" fillId="0" borderId="0" xfId="199" applyNumberFormat="1" applyFont="1" applyFill="1" applyBorder="1" applyAlignment="1"/>
    <xf numFmtId="184" fontId="7" fillId="0" borderId="0" xfId="5" applyNumberFormat="1" applyFont="1" applyFill="1"/>
    <xf numFmtId="42" fontId="7" fillId="0" borderId="0" xfId="6" applyNumberFormat="1" applyFont="1" applyFill="1" applyAlignment="1">
      <alignment horizontal="right"/>
    </xf>
    <xf numFmtId="41" fontId="7" fillId="0" borderId="10" xfId="0" applyNumberFormat="1" applyFont="1" applyFill="1" applyBorder="1" applyAlignment="1">
      <alignment horizontal="right"/>
    </xf>
    <xf numFmtId="184" fontId="7" fillId="0" borderId="0" xfId="5" applyNumberFormat="1" applyFont="1" applyFill="1" applyAlignment="1">
      <alignment horizontal="left" wrapText="1"/>
    </xf>
    <xf numFmtId="41" fontId="7" fillId="0" borderId="0" xfId="6" applyNumberFormat="1" applyFont="1" applyFill="1" applyAlignment="1"/>
    <xf numFmtId="184" fontId="7" fillId="0" borderId="0" xfId="5" applyNumberFormat="1" applyFont="1" applyFill="1" applyAlignment="1"/>
    <xf numFmtId="42" fontId="7" fillId="0" borderId="10" xfId="6" applyNumberFormat="1" applyFont="1" applyFill="1" applyBorder="1" applyAlignment="1"/>
    <xf numFmtId="41" fontId="7" fillId="0" borderId="10" xfId="6" applyNumberFormat="1" applyFont="1" applyFill="1" applyBorder="1" applyAlignment="1"/>
    <xf numFmtId="9" fontId="7" fillId="0" borderId="0" xfId="8" applyFont="1" applyFill="1"/>
    <xf numFmtId="0" fontId="9" fillId="0" borderId="0" xfId="0" applyNumberFormat="1" applyFont="1" applyFill="1" applyBorder="1" applyAlignment="1" applyProtection="1">
      <alignment horizontal="centerContinuous"/>
      <protection locked="0"/>
    </xf>
    <xf numFmtId="0" fontId="9" fillId="0" borderId="0" xfId="0" applyNumberFormat="1" applyFont="1" applyFill="1" applyBorder="1" applyAlignment="1">
      <alignment horizontal="centerContinuous"/>
    </xf>
    <xf numFmtId="15" fontId="37" fillId="0" borderId="0" xfId="0" applyNumberFormat="1" applyFont="1" applyFill="1" applyBorder="1" applyAlignment="1">
      <alignment horizontal="centerContinuous"/>
    </xf>
    <xf numFmtId="18" fontId="9" fillId="0" borderId="0" xfId="0" applyNumberFormat="1" applyFont="1" applyFill="1" applyBorder="1" applyAlignment="1">
      <alignment horizontal="centerContinuous"/>
    </xf>
    <xf numFmtId="0" fontId="9" fillId="0" borderId="0" xfId="0" applyNumberFormat="1" applyFont="1" applyFill="1" applyBorder="1" applyAlignment="1" applyProtection="1">
      <alignment horizontal="center"/>
      <protection locked="0"/>
    </xf>
    <xf numFmtId="37" fontId="7" fillId="0" borderId="0" xfId="0" applyNumberFormat="1" applyFont="1" applyBorder="1" applyAlignment="1">
      <alignment horizontal="right"/>
    </xf>
    <xf numFmtId="184" fontId="7" fillId="0" borderId="0" xfId="5" applyNumberFormat="1" applyFont="1" applyFill="1" applyBorder="1"/>
    <xf numFmtId="164" fontId="7" fillId="0" borderId="0" xfId="0" quotePrefix="1" applyNumberFormat="1" applyFont="1" applyFill="1" applyBorder="1" applyAlignment="1">
      <alignment horizontal="left"/>
    </xf>
    <xf numFmtId="184" fontId="7" fillId="0" borderId="0" xfId="5" applyNumberFormat="1" applyFont="1" applyFill="1" applyBorder="1" applyAlignment="1">
      <alignment horizontal="left" wrapText="1"/>
    </xf>
    <xf numFmtId="184" fontId="7" fillId="0" borderId="0" xfId="5" applyNumberFormat="1" applyFont="1" applyFill="1" applyBorder="1" applyAlignment="1"/>
    <xf numFmtId="9" fontId="7" fillId="0" borderId="0" xfId="8" applyFont="1" applyFill="1" applyBorder="1"/>
    <xf numFmtId="0" fontId="3" fillId="0" borderId="0" xfId="0" applyFont="1"/>
    <xf numFmtId="164" fontId="40" fillId="0" borderId="0" xfId="9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7" fillId="0" borderId="0" xfId="0" applyFont="1" applyFill="1"/>
    <xf numFmtId="42" fontId="7" fillId="0" borderId="0" xfId="6" applyNumberFormat="1" applyFont="1" applyFill="1" applyProtection="1">
      <protection locked="0"/>
    </xf>
    <xf numFmtId="167" fontId="7" fillId="0" borderId="0" xfId="0" applyNumberFormat="1" applyFont="1" applyFill="1" applyBorder="1" applyAlignment="1" applyProtection="1">
      <protection locked="0"/>
    </xf>
    <xf numFmtId="37" fontId="7" fillId="0" borderId="0" xfId="0" applyNumberFormat="1" applyFont="1" applyFill="1" applyBorder="1" applyAlignment="1" applyProtection="1">
      <alignment horizontal="left" wrapText="1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41" fontId="7" fillId="0" borderId="0" xfId="0" applyNumberFormat="1" applyFont="1" applyFill="1" applyBorder="1" applyAlignment="1" applyProtection="1">
      <protection locked="0"/>
    </xf>
    <xf numFmtId="167" fontId="38" fillId="0" borderId="0" xfId="0" applyNumberFormat="1" applyFont="1" applyFill="1" applyBorder="1" applyAlignment="1" applyProtection="1">
      <protection locked="0"/>
    </xf>
    <xf numFmtId="164" fontId="9" fillId="0" borderId="0" xfId="0" applyNumberFormat="1" applyFont="1" applyFill="1" applyBorder="1" applyAlignment="1" applyProtection="1">
      <alignment horizontal="centerContinuous"/>
      <protection locked="0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42" fontId="7" fillId="0" borderId="0" xfId="0" applyNumberFormat="1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7" fontId="5" fillId="0" borderId="0" xfId="0" applyNumberFormat="1" applyFont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0" fontId="3" fillId="0" borderId="0" xfId="0" applyFont="1" applyAlignment="1">
      <alignment wrapText="1"/>
    </xf>
    <xf numFmtId="37" fontId="5" fillId="0" borderId="0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Alignment="1">
      <alignment horizontal="left" wrapText="1"/>
    </xf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0" fontId="41" fillId="0" borderId="0" xfId="0" applyFont="1"/>
    <xf numFmtId="37" fontId="3" fillId="0" borderId="0" xfId="9" applyNumberFormat="1" applyFont="1" applyFill="1" applyAlignment="1">
      <alignment horizontal="right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3" fillId="0" borderId="10" xfId="9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9" applyNumberFormat="1" applyFont="1" applyFill="1" applyAlignment="1">
      <alignment horizontal="left"/>
    </xf>
    <xf numFmtId="9" fontId="3" fillId="0" borderId="0" xfId="9" applyNumberFormat="1" applyFont="1" applyFill="1" applyAlignment="1">
      <alignment horizontal="left"/>
    </xf>
    <xf numFmtId="0" fontId="3" fillId="0" borderId="4" xfId="0" applyFont="1" applyBorder="1" applyAlignment="1">
      <alignment horizontal="left"/>
    </xf>
    <xf numFmtId="37" fontId="5" fillId="0" borderId="0" xfId="0" applyNumberFormat="1" applyFont="1"/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9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164" fontId="3" fillId="0" borderId="0" xfId="0" applyNumberFormat="1" applyFont="1" applyBorder="1" applyAlignment="1">
      <alignment horizontal="left"/>
    </xf>
    <xf numFmtId="41" fontId="3" fillId="0" borderId="0" xfId="0" applyNumberFormat="1" applyFont="1" applyFill="1" applyBorder="1" applyAlignment="1"/>
    <xf numFmtId="37" fontId="3" fillId="0" borderId="0" xfId="0" applyNumberFormat="1" applyFont="1" applyBorder="1" applyAlignment="1">
      <alignment horizontal="right"/>
    </xf>
    <xf numFmtId="42" fontId="3" fillId="0" borderId="0" xfId="0" applyNumberFormat="1" applyFont="1" applyFill="1" applyBorder="1" applyAlignment="1"/>
    <xf numFmtId="42" fontId="3" fillId="0" borderId="0" xfId="6" applyNumberFormat="1" applyFont="1" applyFill="1" applyBorder="1" applyAlignment="1">
      <alignment horizontal="right"/>
    </xf>
    <xf numFmtId="37" fontId="3" fillId="0" borderId="0" xfId="5" applyNumberFormat="1" applyFont="1" applyFill="1" applyBorder="1" applyAlignment="1"/>
    <xf numFmtId="42" fontId="3" fillId="0" borderId="0" xfId="6" applyNumberFormat="1" applyFont="1" applyFill="1" applyBorder="1" applyAlignment="1"/>
    <xf numFmtId="164" fontId="3" fillId="0" borderId="0" xfId="199" applyNumberFormat="1" applyFont="1" applyFill="1" applyBorder="1" applyAlignment="1"/>
    <xf numFmtId="164" fontId="3" fillId="0" borderId="0" xfId="0" applyNumberFormat="1" applyFont="1" applyFill="1" applyBorder="1" applyAlignment="1">
      <alignment horizontal="left"/>
    </xf>
    <xf numFmtId="184" fontId="3" fillId="0" borderId="0" xfId="5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164" fontId="3" fillId="0" borderId="0" xfId="0" quotePrefix="1" applyNumberFormat="1" applyFont="1" applyFill="1" applyBorder="1" applyAlignment="1">
      <alignment horizontal="left"/>
    </xf>
    <xf numFmtId="184" fontId="3" fillId="0" borderId="0" xfId="5" applyNumberFormat="1" applyFont="1" applyFill="1" applyBorder="1" applyAlignment="1">
      <alignment horizontal="left" wrapText="1"/>
    </xf>
    <xf numFmtId="37" fontId="3" fillId="0" borderId="0" xfId="0" applyNumberFormat="1" applyFont="1" applyFill="1" applyBorder="1" applyAlignment="1"/>
    <xf numFmtId="41" fontId="3" fillId="0" borderId="0" xfId="6" applyNumberFormat="1" applyFont="1" applyFill="1" applyBorder="1" applyAlignment="1"/>
    <xf numFmtId="184" fontId="3" fillId="0" borderId="0" xfId="5" applyNumberFormat="1" applyFont="1" applyFill="1" applyBorder="1" applyAlignment="1"/>
    <xf numFmtId="9" fontId="3" fillId="0" borderId="0" xfId="8" applyFont="1" applyFill="1" applyBorder="1"/>
    <xf numFmtId="0" fontId="3" fillId="0" borderId="0" xfId="0" applyNumberFormat="1" applyFont="1" applyFill="1" applyBorder="1" applyAlignment="1"/>
    <xf numFmtId="165" fontId="3" fillId="0" borderId="10" xfId="1" applyNumberFormat="1" applyFont="1" applyFill="1" applyBorder="1" applyAlignment="1">
      <alignment wrapText="1"/>
    </xf>
    <xf numFmtId="165" fontId="3" fillId="0" borderId="10" xfId="1" applyNumberFormat="1" applyFont="1" applyFill="1" applyBorder="1"/>
    <xf numFmtId="165" fontId="3" fillId="0" borderId="10" xfId="1" applyNumberFormat="1" applyFont="1" applyBorder="1"/>
    <xf numFmtId="165" fontId="3" fillId="0" borderId="10" xfId="1" applyNumberFormat="1" applyFont="1" applyBorder="1" applyAlignment="1">
      <alignment horizontal="right"/>
    </xf>
    <xf numFmtId="37" fontId="3" fillId="0" borderId="0" xfId="86" applyNumberFormat="1" applyFont="1" applyFill="1" applyAlignment="1">
      <alignment wrapText="1"/>
    </xf>
    <xf numFmtId="15" fontId="9" fillId="0" borderId="0" xfId="0" applyNumberFormat="1" applyFont="1" applyFill="1" applyAlignment="1">
      <alignment horizontal="centerContinuous"/>
    </xf>
    <xf numFmtId="0" fontId="7" fillId="0" borderId="0" xfId="6" applyNumberFormat="1" applyFont="1" applyFill="1" applyAlignment="1" applyProtection="1">
      <protection locked="0"/>
    </xf>
    <xf numFmtId="0" fontId="7" fillId="0" borderId="0" xfId="0" applyNumberFormat="1" applyFont="1" applyFill="1" applyAlignment="1" applyProtection="1">
      <protection locked="0"/>
    </xf>
    <xf numFmtId="41" fontId="7" fillId="0" borderId="10" xfId="0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 applyProtection="1">
      <protection locked="0"/>
    </xf>
    <xf numFmtId="0" fontId="7" fillId="0" borderId="0" xfId="6" quotePrefix="1" applyNumberFormat="1" applyFont="1" applyFill="1" applyAlignment="1" applyProtection="1">
      <protection locked="0"/>
    </xf>
    <xf numFmtId="0" fontId="7" fillId="0" borderId="0" xfId="6" quotePrefix="1" applyNumberFormat="1" applyFont="1" applyFill="1" applyBorder="1" applyAlignment="1" applyProtection="1">
      <protection locked="0"/>
    </xf>
    <xf numFmtId="42" fontId="7" fillId="0" borderId="0" xfId="6" applyNumberFormat="1" applyFont="1" applyFill="1" applyBorder="1"/>
    <xf numFmtId="9" fontId="7" fillId="0" borderId="0" xfId="8" applyFont="1" applyFill="1" applyAlignment="1">
      <alignment horizontal="center"/>
    </xf>
    <xf numFmtId="166" fontId="7" fillId="0" borderId="0" xfId="0" applyNumberFormat="1" applyFont="1" applyFill="1" applyAlignment="1"/>
    <xf numFmtId="42" fontId="7" fillId="0" borderId="5" xfId="0" applyNumberFormat="1" applyFont="1" applyFill="1" applyBorder="1" applyAlignment="1"/>
    <xf numFmtId="164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15" fontId="42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18" fontId="5" fillId="0" borderId="0" xfId="0" applyNumberFormat="1" applyFont="1" applyFill="1" applyBorder="1" applyAlignment="1">
      <alignment horizontal="centerContinuous"/>
    </xf>
    <xf numFmtId="0" fontId="4" fillId="0" borderId="10" xfId="0" applyFont="1" applyBorder="1"/>
    <xf numFmtId="0" fontId="3" fillId="0" borderId="0" xfId="155" applyFont="1"/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/>
    <xf numFmtId="9" fontId="3" fillId="0" borderId="0" xfId="155" applyNumberFormat="1" applyFont="1"/>
    <xf numFmtId="165" fontId="4" fillId="0" borderId="0" xfId="10" applyNumberFormat="1" applyFont="1" applyFill="1" applyBorder="1"/>
    <xf numFmtId="165" fontId="4" fillId="0" borderId="0" xfId="10" applyNumberFormat="1" applyFont="1"/>
    <xf numFmtId="165" fontId="43" fillId="0" borderId="0" xfId="10" applyNumberFormat="1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44" fillId="0" borderId="0" xfId="155" applyFont="1" applyAlignment="1">
      <alignment horizontal="left" vertical="top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4" fillId="0" borderId="0" xfId="155" applyFont="1" applyFill="1" applyAlignment="1">
      <alignment horizontal="left" vertical="top"/>
    </xf>
    <xf numFmtId="165" fontId="4" fillId="0" borderId="10" xfId="10" applyNumberFormat="1" applyFont="1" applyBorder="1"/>
    <xf numFmtId="165" fontId="4" fillId="0" borderId="20" xfId="10" applyNumberFormat="1" applyFont="1" applyBorder="1"/>
    <xf numFmtId="0" fontId="44" fillId="0" borderId="0" xfId="155" applyFont="1"/>
    <xf numFmtId="0" fontId="3" fillId="0" borderId="0" xfId="155" applyFont="1" applyFill="1" applyBorder="1"/>
    <xf numFmtId="187" fontId="44" fillId="0" borderId="0" xfId="155" applyNumberFormat="1" applyFont="1" applyFill="1" applyAlignment="1">
      <alignment horizontal="left" vertical="top"/>
    </xf>
    <xf numFmtId="165" fontId="4" fillId="0" borderId="0" xfId="10" applyNumberFormat="1" applyFont="1" applyBorder="1"/>
    <xf numFmtId="0" fontId="3" fillId="0" borderId="0" xfId="155" applyFont="1" applyFill="1" applyAlignment="1">
      <alignment horizontal="left" vertical="top"/>
    </xf>
    <xf numFmtId="0" fontId="44" fillId="0" borderId="0" xfId="155" applyFont="1" applyFill="1" applyAlignment="1">
      <alignment horizontal="right" vertical="top"/>
    </xf>
    <xf numFmtId="0" fontId="3" fillId="0" borderId="0" xfId="155" applyFont="1" applyFill="1"/>
    <xf numFmtId="167" fontId="3" fillId="0" borderId="0" xfId="0" applyNumberFormat="1" applyFont="1" applyFill="1" applyBorder="1" applyAlignment="1" applyProtection="1">
      <alignment horizontal="center"/>
      <protection locked="0"/>
    </xf>
    <xf numFmtId="42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208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5" xfId="208" applyNumberFormat="1" applyFont="1" applyFill="1" applyBorder="1" applyAlignment="1"/>
    <xf numFmtId="42" fontId="4" fillId="0" borderId="0" xfId="0" applyNumberFormat="1" applyFont="1" applyFill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166" fontId="4" fillId="0" borderId="20" xfId="208" applyNumberFormat="1" applyFont="1" applyBorder="1" applyAlignment="1"/>
    <xf numFmtId="167" fontId="3" fillId="0" borderId="0" xfId="0" applyNumberFormat="1" applyFont="1" applyFill="1" applyBorder="1" applyAlignment="1" applyProtection="1">
      <protection locked="0"/>
    </xf>
    <xf numFmtId="167" fontId="35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/>
    <xf numFmtId="186" fontId="3" fillId="0" borderId="0" xfId="8" applyNumberFormat="1" applyFont="1" applyFill="1" applyBorder="1"/>
    <xf numFmtId="186" fontId="3" fillId="0" borderId="0" xfId="0" applyNumberFormat="1" applyFont="1" applyFill="1" applyBorder="1" applyAlignment="1">
      <alignment horizontal="right" wrapText="1"/>
    </xf>
    <xf numFmtId="0" fontId="9" fillId="0" borderId="0" xfId="0" applyFont="1" applyFill="1" applyAlignment="1" applyProtection="1">
      <alignment horizontal="centerContinuous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Fill="1" applyAlignment="1">
      <alignment horizontal="center"/>
    </xf>
    <xf numFmtId="0" fontId="9" fillId="0" borderId="10" xfId="0" applyFont="1" applyFill="1" applyBorder="1" applyAlignment="1" applyProtection="1">
      <alignment horizontal="center"/>
      <protection locked="0"/>
    </xf>
    <xf numFmtId="0" fontId="9" fillId="0" borderId="10" xfId="0" applyFont="1" applyFill="1" applyBorder="1"/>
    <xf numFmtId="0" fontId="9" fillId="0" borderId="10" xfId="0" applyFont="1" applyFill="1" applyBorder="1" applyAlignment="1">
      <alignment horizontal="center"/>
    </xf>
    <xf numFmtId="167" fontId="7" fillId="0" borderId="0" xfId="0" applyNumberFormat="1" applyFont="1" applyFill="1" applyProtection="1">
      <protection locked="0"/>
    </xf>
    <xf numFmtId="167" fontId="7" fillId="0" borderId="0" xfId="0" applyNumberFormat="1" applyFont="1" applyFill="1" applyAlignment="1" applyProtection="1">
      <alignment horizontal="center"/>
      <protection locked="0"/>
    </xf>
    <xf numFmtId="0" fontId="7" fillId="0" borderId="0" xfId="0" applyFont="1" applyFill="1" applyAlignment="1">
      <alignment horizontal="left" indent="1"/>
    </xf>
    <xf numFmtId="166" fontId="7" fillId="0" borderId="0" xfId="108" applyNumberFormat="1" applyFont="1" applyFill="1" applyProtection="1">
      <protection locked="0"/>
    </xf>
    <xf numFmtId="165" fontId="7" fillId="0" borderId="0" xfId="86" applyNumberFormat="1" applyFont="1" applyFill="1" applyProtection="1">
      <protection locked="0"/>
    </xf>
    <xf numFmtId="165" fontId="7" fillId="0" borderId="11" xfId="86" applyNumberFormat="1" applyFont="1" applyFill="1" applyBorder="1" applyProtection="1">
      <protection locked="0"/>
    </xf>
    <xf numFmtId="10" fontId="7" fillId="0" borderId="0" xfId="168" applyNumberFormat="1" applyFont="1" applyFill="1" applyAlignment="1">
      <alignment horizontal="left"/>
    </xf>
    <xf numFmtId="165" fontId="7" fillId="0" borderId="10" xfId="86" applyNumberFormat="1" applyFont="1" applyFill="1" applyBorder="1" applyProtection="1">
      <protection locked="0"/>
    </xf>
    <xf numFmtId="166" fontId="7" fillId="0" borderId="11" xfId="108" applyNumberFormat="1" applyFont="1" applyFill="1" applyBorder="1" applyProtection="1">
      <protection locked="0"/>
    </xf>
    <xf numFmtId="0" fontId="7" fillId="0" borderId="0" xfId="0" applyFont="1" applyFill="1" applyAlignment="1">
      <alignment horizontal="left" vertical="center"/>
    </xf>
    <xf numFmtId="167" fontId="7" fillId="0" borderId="0" xfId="0" applyNumberFormat="1" applyFont="1" applyFill="1" applyAlignment="1" applyProtection="1">
      <alignment vertical="center"/>
      <protection locked="0"/>
    </xf>
    <xf numFmtId="166" fontId="7" fillId="0" borderId="0" xfId="108" applyNumberFormat="1" applyFont="1" applyFill="1" applyAlignment="1" applyProtection="1">
      <alignment vertical="center"/>
      <protection locked="0"/>
    </xf>
    <xf numFmtId="166" fontId="9" fillId="0" borderId="5" xfId="108" applyNumberFormat="1" applyFont="1" applyFill="1" applyBorder="1"/>
    <xf numFmtId="166" fontId="7" fillId="0" borderId="0" xfId="108" applyNumberFormat="1" applyFont="1" applyFill="1" applyBorder="1" applyProtection="1">
      <protection locked="0"/>
    </xf>
    <xf numFmtId="165" fontId="7" fillId="0" borderId="0" xfId="1" applyNumberFormat="1" applyFont="1" applyFill="1" applyProtection="1">
      <protection locked="0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37" fontId="3" fillId="0" borderId="0" xfId="9" applyNumberFormat="1" applyFont="1" applyFill="1" applyBorder="1" applyAlignment="1">
      <alignment horizontal="left"/>
    </xf>
    <xf numFmtId="37" fontId="3" fillId="0" borderId="0" xfId="0" applyNumberFormat="1" applyFont="1" applyBorder="1"/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53" fillId="0" borderId="6" xfId="0" applyFont="1" applyBorder="1"/>
    <xf numFmtId="0" fontId="4" fillId="0" borderId="26" xfId="0" applyFont="1" applyBorder="1" applyAlignment="1">
      <alignment horizontal="center"/>
    </xf>
    <xf numFmtId="0" fontId="36" fillId="0" borderId="7" xfId="0" applyFont="1" applyBorder="1" applyAlignment="1"/>
    <xf numFmtId="168" fontId="36" fillId="0" borderId="0" xfId="238" applyNumberFormat="1" applyFont="1" applyBorder="1"/>
    <xf numFmtId="10" fontId="3" fillId="0" borderId="22" xfId="239" applyNumberFormat="1" applyFont="1" applyFill="1" applyBorder="1" applyAlignment="1"/>
    <xf numFmtId="0" fontId="3" fillId="0" borderId="7" xfId="0" applyFont="1" applyBorder="1" applyAlignment="1"/>
    <xf numFmtId="0" fontId="36" fillId="0" borderId="7" xfId="0" applyFont="1" applyBorder="1" applyAlignment="1" applyProtection="1"/>
    <xf numFmtId="0" fontId="3" fillId="0" borderId="7" xfId="0" applyFont="1" applyFill="1" applyBorder="1" applyAlignment="1"/>
    <xf numFmtId="168" fontId="5" fillId="0" borderId="0" xfId="3" applyNumberFormat="1" applyFont="1" applyFill="1" applyBorder="1"/>
    <xf numFmtId="168" fontId="5" fillId="0" borderId="22" xfId="3" applyNumberFormat="1" applyFont="1" applyFill="1" applyBorder="1"/>
    <xf numFmtId="0" fontId="3" fillId="0" borderId="22" xfId="0" applyFont="1" applyFill="1" applyBorder="1"/>
    <xf numFmtId="0" fontId="3" fillId="0" borderId="8" xfId="0" applyFont="1" applyFill="1" applyBorder="1" applyAlignment="1"/>
    <xf numFmtId="0" fontId="3" fillId="0" borderId="10" xfId="0" applyFont="1" applyFill="1" applyBorder="1"/>
    <xf numFmtId="0" fontId="3" fillId="0" borderId="27" xfId="0" applyFont="1" applyFill="1" applyBorder="1"/>
    <xf numFmtId="166" fontId="4" fillId="0" borderId="0" xfId="208" applyNumberFormat="1" applyFont="1" applyAlignment="1"/>
    <xf numFmtId="41" fontId="4" fillId="0" borderId="1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9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3" fillId="0" borderId="0" xfId="155" applyFont="1" applyFill="1" applyAlignment="1">
      <alignment horizontal="left"/>
    </xf>
    <xf numFmtId="18" fontId="5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>
      <alignment horizontal="center" vertical="center" wrapText="1"/>
    </xf>
    <xf numFmtId="0" fontId="4" fillId="0" borderId="24" xfId="0" applyFont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2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9" fillId="0" borderId="0" xfId="0" applyFont="1"/>
    <xf numFmtId="42" fontId="3" fillId="0" borderId="4" xfId="1" applyNumberFormat="1" applyFont="1" applyFill="1" applyBorder="1" applyAlignment="1"/>
    <xf numFmtId="165" fontId="4" fillId="0" borderId="4" xfId="1" applyNumberFormat="1" applyFont="1" applyBorder="1"/>
    <xf numFmtId="43" fontId="4" fillId="0" borderId="0" xfId="1" applyFont="1"/>
    <xf numFmtId="165" fontId="3" fillId="0" borderId="0" xfId="1" applyNumberFormat="1" applyFont="1" applyFill="1" applyBorder="1" applyAlignment="1"/>
    <xf numFmtId="165" fontId="3" fillId="0" borderId="0" xfId="1" applyNumberFormat="1" applyFont="1" applyFill="1" applyAlignment="1"/>
    <xf numFmtId="42" fontId="5" fillId="0" borderId="4" xfId="1" applyNumberFormat="1" applyFont="1" applyFill="1" applyBorder="1" applyAlignment="1"/>
    <xf numFmtId="0" fontId="4" fillId="0" borderId="7" xfId="0" quotePrefix="1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165" fontId="3" fillId="0" borderId="4" xfId="1" applyNumberFormat="1" applyFont="1" applyFill="1" applyBorder="1" applyAlignment="1"/>
    <xf numFmtId="165" fontId="39" fillId="0" borderId="4" xfId="1" applyNumberFormat="1" applyFont="1" applyBorder="1"/>
    <xf numFmtId="165" fontId="4" fillId="0" borderId="4" xfId="0" applyNumberFormat="1" applyFont="1" applyBorder="1"/>
    <xf numFmtId="165" fontId="4" fillId="0" borderId="0" xfId="0" applyNumberFormat="1" applyFont="1"/>
    <xf numFmtId="0" fontId="55" fillId="0" borderId="0" xfId="0" applyFo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quotePrefix="1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"/>
      <protection locked="0"/>
    </xf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0" fontId="5" fillId="0" borderId="10" xfId="0" quotePrefix="1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alignment horizontal="center"/>
      <protection locked="0"/>
    </xf>
    <xf numFmtId="164" fontId="35" fillId="0" borderId="0" xfId="0" applyNumberFormat="1" applyFont="1" applyFill="1" applyBorder="1" applyAlignment="1">
      <alignment horizontal="left" indent="1"/>
    </xf>
    <xf numFmtId="164" fontId="3" fillId="0" borderId="0" xfId="0" applyNumberFormat="1" applyFont="1" applyFill="1" applyAlignment="1">
      <alignment horizontal="left" indent="2"/>
    </xf>
    <xf numFmtId="42" fontId="3" fillId="0" borderId="0" xfId="5" applyNumberFormat="1" applyFont="1" applyFill="1" applyBorder="1"/>
    <xf numFmtId="41" fontId="3" fillId="0" borderId="0" xfId="5" applyNumberFormat="1" applyFont="1" applyFill="1" applyBorder="1"/>
    <xf numFmtId="41" fontId="3" fillId="0" borderId="10" xfId="5" applyNumberFormat="1" applyFont="1" applyFill="1" applyBorder="1"/>
    <xf numFmtId="42" fontId="3" fillId="0" borderId="2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42" fontId="3" fillId="0" borderId="0" xfId="5" applyNumberFormat="1" applyFont="1" applyFill="1"/>
    <xf numFmtId="42" fontId="3" fillId="0" borderId="11" xfId="5" applyNumberFormat="1" applyFont="1" applyFill="1" applyBorder="1"/>
    <xf numFmtId="41" fontId="3" fillId="0" borderId="0" xfId="5" applyNumberFormat="1" applyFont="1" applyFill="1"/>
    <xf numFmtId="10" fontId="3" fillId="0" borderId="0" xfId="0" applyNumberFormat="1" applyFont="1" applyFill="1" applyAlignment="1"/>
    <xf numFmtId="41" fontId="3" fillId="0" borderId="10" xfId="9" applyNumberFormat="1" applyFont="1" applyFill="1" applyBorder="1" applyAlignment="1" applyProtection="1">
      <protection locked="0"/>
    </xf>
    <xf numFmtId="166" fontId="3" fillId="0" borderId="5" xfId="9" applyNumberFormat="1" applyFont="1" applyFill="1" applyBorder="1" applyAlignment="1"/>
    <xf numFmtId="165" fontId="56" fillId="0" borderId="0" xfId="5" applyNumberFormat="1" applyFont="1"/>
    <xf numFmtId="0" fontId="40" fillId="0" borderId="0" xfId="0" applyNumberFormat="1" applyFont="1" applyFill="1" applyBorder="1" applyAlignment="1">
      <alignment horizontal="left"/>
    </xf>
    <xf numFmtId="42" fontId="3" fillId="0" borderId="0" xfId="5" applyNumberFormat="1" applyFont="1" applyFill="1" applyAlignment="1"/>
    <xf numFmtId="164" fontId="3" fillId="0" borderId="0" xfId="9" applyFont="1" applyFill="1" applyAlignment="1"/>
    <xf numFmtId="3" fontId="3" fillId="0" borderId="0" xfId="209" applyNumberFormat="1" applyFont="1" applyFill="1" applyBorder="1" applyAlignment="1"/>
    <xf numFmtId="41" fontId="3" fillId="0" borderId="0" xfId="9" applyNumberFormat="1" applyFont="1" applyFill="1" applyAlignment="1"/>
    <xf numFmtId="41" fontId="3" fillId="0" borderId="0" xfId="9" applyNumberFormat="1" applyFont="1" applyFill="1" applyBorder="1" applyAlignment="1"/>
    <xf numFmtId="165" fontId="3" fillId="0" borderId="10" xfId="91" applyNumberFormat="1" applyFont="1" applyFill="1" applyBorder="1" applyAlignment="1"/>
    <xf numFmtId="37" fontId="3" fillId="0" borderId="0" xfId="9" applyNumberFormat="1" applyFont="1" applyFill="1" applyAlignment="1"/>
    <xf numFmtId="41" fontId="3" fillId="0" borderId="0" xfId="210" applyNumberFormat="1" applyFont="1" applyFill="1" applyBorder="1" applyAlignment="1"/>
    <xf numFmtId="9" fontId="3" fillId="0" borderId="0" xfId="9" applyNumberFormat="1" applyFont="1" applyFill="1" applyAlignment="1">
      <alignment horizontal="right"/>
    </xf>
    <xf numFmtId="42" fontId="3" fillId="0" borderId="0" xfId="210" applyNumberFormat="1" applyFont="1" applyFill="1" applyBorder="1" applyAlignment="1"/>
    <xf numFmtId="164" fontId="3" fillId="0" borderId="0" xfId="9" applyFont="1" applyFill="1" applyBorder="1">
      <alignment horizontal="left" wrapText="1"/>
    </xf>
    <xf numFmtId="9" fontId="3" fillId="0" borderId="0" xfId="211" applyFont="1" applyFill="1" applyBorder="1" applyAlignment="1">
      <alignment horizontal="right" wrapText="1"/>
    </xf>
    <xf numFmtId="166" fontId="3" fillId="0" borderId="4" xfId="210" applyNumberFormat="1" applyFont="1" applyFill="1" applyBorder="1" applyAlignment="1"/>
    <xf numFmtId="166" fontId="3" fillId="0" borderId="5" xfId="21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 applyAlignment="1"/>
    <xf numFmtId="42" fontId="3" fillId="0" borderId="10" xfId="5" applyNumberFormat="1" applyFont="1" applyFill="1" applyBorder="1" applyAlignment="1"/>
    <xf numFmtId="42" fontId="3" fillId="0" borderId="0" xfId="0" applyNumberFormat="1" applyFont="1" applyFill="1" applyAlignment="1"/>
    <xf numFmtId="41" fontId="3" fillId="0" borderId="0" xfId="5" applyNumberFormat="1" applyFont="1" applyFill="1" applyAlignment="1"/>
    <xf numFmtId="41" fontId="3" fillId="0" borderId="11" xfId="5" applyNumberFormat="1" applyFont="1" applyFill="1" applyBorder="1" applyAlignment="1"/>
    <xf numFmtId="0" fontId="3" fillId="0" borderId="0" xfId="0" applyNumberFormat="1" applyFont="1" applyFill="1" applyAlignment="1">
      <alignment horizontal="left"/>
    </xf>
    <xf numFmtId="9" fontId="3" fillId="0" borderId="0" xfId="8" applyFont="1" applyFill="1" applyAlignment="1"/>
    <xf numFmtId="42" fontId="3" fillId="0" borderId="5" xfId="0" applyNumberFormat="1" applyFont="1" applyFill="1" applyBorder="1" applyAlignment="1"/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/>
    <xf numFmtId="164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37" fontId="3" fillId="0" borderId="0" xfId="0" applyNumberFormat="1" applyFont="1" applyFill="1" applyAlignment="1"/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9" fontId="3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3" fillId="0" borderId="0" xfId="0" applyNumberFormat="1" applyFont="1" applyFill="1" applyAlignment="1" applyProtection="1"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Protection="1">
      <protection locked="0"/>
    </xf>
    <xf numFmtId="0" fontId="5" fillId="0" borderId="10" xfId="0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Alignment="1" applyProtection="1">
      <alignment horizontal="right"/>
      <protection locked="0"/>
    </xf>
    <xf numFmtId="167" fontId="3" fillId="0" borderId="0" xfId="0" applyNumberFormat="1" applyFont="1" applyFill="1" applyAlignment="1" applyProtection="1">
      <protection locked="0"/>
    </xf>
    <xf numFmtId="0" fontId="5" fillId="0" borderId="10" xfId="0" applyFont="1" applyFill="1" applyBorder="1" applyAlignment="1">
      <alignment horizontal="left"/>
    </xf>
    <xf numFmtId="167" fontId="3" fillId="0" borderId="0" xfId="0" applyNumberFormat="1" applyFont="1" applyFill="1"/>
    <xf numFmtId="5" fontId="3" fillId="0" borderId="0" xfId="108" applyNumberFormat="1" applyFont="1" applyFill="1" applyBorder="1"/>
    <xf numFmtId="10" fontId="3" fillId="0" borderId="0" xfId="0" applyNumberFormat="1" applyFont="1" applyFill="1" applyAlignment="1">
      <alignment horizontal="center"/>
    </xf>
    <xf numFmtId="37" fontId="3" fillId="0" borderId="10" xfId="86" applyNumberFormat="1" applyFont="1" applyFill="1" applyBorder="1"/>
    <xf numFmtId="0" fontId="3" fillId="0" borderId="0" xfId="0" applyFont="1" applyFill="1" applyAlignment="1">
      <alignment vertical="center"/>
    </xf>
    <xf numFmtId="167" fontId="3" fillId="0" borderId="0" xfId="0" applyNumberFormat="1" applyFont="1" applyFill="1" applyAlignment="1">
      <alignment horizontal="center"/>
    </xf>
    <xf numFmtId="37" fontId="3" fillId="0" borderId="0" xfId="86" applyNumberFormat="1" applyFont="1" applyFill="1"/>
    <xf numFmtId="10" fontId="3" fillId="0" borderId="0" xfId="0" applyNumberFormat="1" applyFont="1" applyFill="1" applyBorder="1" applyAlignment="1">
      <alignment horizontal="center"/>
    </xf>
    <xf numFmtId="37" fontId="3" fillId="0" borderId="11" xfId="86" applyNumberFormat="1" applyFont="1" applyFill="1" applyBorder="1"/>
    <xf numFmtId="0" fontId="5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37" fontId="3" fillId="0" borderId="0" xfId="86" applyNumberFormat="1" applyFont="1" applyFill="1" applyAlignment="1">
      <alignment vertical="top"/>
    </xf>
    <xf numFmtId="15" fontId="3" fillId="0" borderId="0" xfId="0" applyNumberFormat="1" applyFont="1" applyFill="1"/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7" fontId="3" fillId="0" borderId="0" xfId="86" applyNumberFormat="1" applyFont="1" applyFill="1" applyAlignment="1" applyProtection="1">
      <alignment vertical="center"/>
      <protection locked="0"/>
    </xf>
    <xf numFmtId="37" fontId="3" fillId="0" borderId="0" xfId="86" applyNumberFormat="1" applyFont="1" applyFill="1" applyBorder="1" applyProtection="1">
      <protection locked="0"/>
    </xf>
    <xf numFmtId="5" fontId="5" fillId="0" borderId="5" xfId="108" applyNumberFormat="1" applyFont="1" applyFill="1" applyBorder="1"/>
    <xf numFmtId="44" fontId="3" fillId="0" borderId="0" xfId="108" applyFont="1" applyFill="1"/>
    <xf numFmtId="39" fontId="4" fillId="0" borderId="0" xfId="0" applyNumberFormat="1" applyFont="1"/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NumberFormat="1" applyFont="1" applyFill="1" applyAlignment="1">
      <alignment horizontal="left"/>
    </xf>
    <xf numFmtId="42" fontId="3" fillId="0" borderId="0" xfId="6" applyNumberFormat="1" applyFont="1" applyFill="1" applyProtection="1">
      <protection locked="0"/>
    </xf>
    <xf numFmtId="41" fontId="3" fillId="0" borderId="0" xfId="6" applyNumberFormat="1" applyFont="1" applyFill="1" applyProtection="1">
      <protection locked="0"/>
    </xf>
    <xf numFmtId="37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Protection="1">
      <protection locked="0"/>
    </xf>
    <xf numFmtId="42" fontId="3" fillId="0" borderId="5" xfId="6" applyNumberFormat="1" applyFont="1" applyFill="1" applyBorder="1"/>
    <xf numFmtId="166" fontId="3" fillId="0" borderId="0" xfId="0" applyNumberFormat="1" applyFont="1" applyFill="1" applyBorder="1" applyAlignment="1"/>
    <xf numFmtId="0" fontId="40" fillId="0" borderId="0" xfId="0" applyNumberFormat="1" applyFont="1" applyFill="1" applyAlignment="1">
      <alignment horizontal="left"/>
    </xf>
    <xf numFmtId="165" fontId="3" fillId="0" borderId="10" xfId="5" applyNumberFormat="1" applyFont="1" applyFill="1" applyBorder="1"/>
    <xf numFmtId="164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9" fontId="3" fillId="0" borderId="0" xfId="0" applyNumberFormat="1" applyFont="1" applyFill="1" applyBorder="1" applyAlignment="1" applyProtection="1">
      <alignment horizontal="left"/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1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Border="1" applyAlignment="1" applyProtection="1">
      <alignment vertical="center"/>
      <protection locked="0"/>
    </xf>
    <xf numFmtId="166" fontId="3" fillId="0" borderId="11" xfId="0" applyNumberFormat="1" applyFont="1" applyFill="1" applyBorder="1" applyAlignment="1"/>
    <xf numFmtId="165" fontId="3" fillId="0" borderId="0" xfId="6" applyNumberFormat="1" applyFont="1" applyFill="1" applyBorder="1" applyAlignment="1"/>
    <xf numFmtId="3" fontId="3" fillId="0" borderId="0" xfId="5" applyNumberFormat="1" applyFont="1" applyFill="1" applyBorder="1" applyAlignment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/>
    <xf numFmtId="3" fontId="3" fillId="0" borderId="0" xfId="5" applyNumberFormat="1" applyFont="1" applyFill="1" applyAlignment="1"/>
    <xf numFmtId="165" fontId="3" fillId="0" borderId="0" xfId="5" applyNumberFormat="1" applyFont="1" applyBorder="1"/>
    <xf numFmtId="9" fontId="3" fillId="0" borderId="0" xfId="0" applyNumberFormat="1" applyFont="1" applyFill="1" applyBorder="1" applyAlignment="1">
      <alignment horizontal="left" wrapText="1"/>
    </xf>
    <xf numFmtId="164" fontId="3" fillId="0" borderId="11" xfId="0" applyNumberFormat="1" applyFont="1" applyFill="1" applyBorder="1" applyAlignment="1"/>
    <xf numFmtId="166" fontId="3" fillId="0" borderId="20" xfId="0" applyNumberFormat="1" applyFont="1" applyFill="1" applyBorder="1" applyAlignment="1"/>
    <xf numFmtId="41" fontId="3" fillId="0" borderId="0" xfId="0" applyNumberFormat="1" applyFont="1" applyFill="1" applyBorder="1" applyAlignment="1">
      <alignment vertical="top"/>
    </xf>
    <xf numFmtId="0" fontId="3" fillId="0" borderId="0" xfId="0" applyNumberFormat="1" applyFont="1" applyFill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0" fontId="3" fillId="0" borderId="0" xfId="0" applyNumberFormat="1" applyFont="1" applyFill="1" applyAlignment="1">
      <alignment horizontal="left" indent="2"/>
    </xf>
    <xf numFmtId="164" fontId="3" fillId="0" borderId="11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vertical="top"/>
    </xf>
    <xf numFmtId="37" fontId="3" fillId="0" borderId="11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166" fontId="3" fillId="0" borderId="5" xfId="6" applyNumberFormat="1" applyFont="1" applyFill="1" applyBorder="1" applyProtection="1">
      <protection locked="0"/>
    </xf>
    <xf numFmtId="165" fontId="4" fillId="0" borderId="0" xfId="10" applyNumberFormat="1" applyFont="1" applyFill="1"/>
    <xf numFmtId="164" fontId="5" fillId="0" borderId="0" xfId="0" applyNumberFormat="1" applyFont="1" applyFill="1" applyAlignment="1" applyProtection="1">
      <alignment horizontal="center"/>
      <protection locked="0"/>
    </xf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0" xfId="0" applyFont="1" applyAlignment="1">
      <alignment horizontal="center"/>
    </xf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5" fontId="3" fillId="0" borderId="0" xfId="160" applyNumberFormat="1" applyFont="1" applyAlignment="1">
      <alignment horizontal="left"/>
    </xf>
    <xf numFmtId="41" fontId="3" fillId="0" borderId="0" xfId="160" applyNumberFormat="1" applyFont="1" applyBorder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42" fontId="3" fillId="0" borderId="0" xfId="0" applyNumberFormat="1" applyFont="1"/>
    <xf numFmtId="0" fontId="5" fillId="0" borderId="1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 indent="1"/>
    </xf>
    <xf numFmtId="42" fontId="3" fillId="0" borderId="0" xfId="0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0" fontId="3" fillId="0" borderId="0" xfId="0" applyNumberFormat="1" applyFont="1" applyFill="1" applyAlignment="1" applyProtection="1">
      <alignment horizontal="left" indent="1"/>
      <protection locked="0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0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left"/>
    </xf>
    <xf numFmtId="169" fontId="3" fillId="0" borderId="10" xfId="0" applyNumberFormat="1" applyFont="1" applyFill="1" applyBorder="1" applyAlignment="1"/>
    <xf numFmtId="1" fontId="3" fillId="0" borderId="0" xfId="0" quotePrefix="1" applyNumberFormat="1" applyFont="1" applyFill="1" applyAlignment="1">
      <alignment horizontal="left"/>
    </xf>
    <xf numFmtId="1" fontId="3" fillId="0" borderId="0" xfId="0" applyNumberFormat="1" applyFont="1" applyFill="1" applyAlignment="1"/>
    <xf numFmtId="42" fontId="3" fillId="0" borderId="5" xfId="5" applyNumberFormat="1" applyFont="1" applyFill="1" applyBorder="1"/>
    <xf numFmtId="18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left" wrapText="1"/>
      <protection locked="0"/>
    </xf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left"/>
    </xf>
    <xf numFmtId="164" fontId="5" fillId="0" borderId="10" xfId="0" applyNumberFormat="1" applyFont="1" applyFill="1" applyBorder="1" applyAlignment="1">
      <alignment horizontal="left" wrapText="1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left"/>
    </xf>
    <xf numFmtId="42" fontId="3" fillId="0" borderId="4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Alignment="1"/>
    <xf numFmtId="186" fontId="3" fillId="0" borderId="0" xfId="8" applyNumberFormat="1" applyFont="1" applyFill="1"/>
    <xf numFmtId="186" fontId="3" fillId="0" borderId="4" xfId="0" applyNumberFormat="1" applyFont="1" applyFill="1" applyBorder="1" applyAlignment="1">
      <alignment horizontal="right" wrapText="1"/>
    </xf>
    <xf numFmtId="167" fontId="3" fillId="0" borderId="11" xfId="0" applyNumberFormat="1" applyFont="1" applyFill="1" applyBorder="1" applyAlignment="1" applyProtection="1">
      <protection locked="0"/>
    </xf>
    <xf numFmtId="166" fontId="3" fillId="0" borderId="0" xfId="6" applyNumberFormat="1" applyFont="1" applyFill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0" xfId="5" applyNumberFormat="1" applyFont="1" applyFill="1" applyBorder="1" applyAlignment="1" applyProtection="1">
      <protection locked="0"/>
    </xf>
    <xf numFmtId="42" fontId="3" fillId="0" borderId="11" xfId="5" applyNumberFormat="1" applyFont="1" applyFill="1" applyBorder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42" fontId="3" fillId="0" borderId="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165" fontId="3" fillId="0" borderId="11" xfId="5" applyNumberFormat="1" applyFont="1" applyFill="1" applyBorder="1" applyAlignment="1"/>
    <xf numFmtId="166" fontId="3" fillId="0" borderId="0" xfId="6" applyNumberFormat="1" applyFont="1" applyFill="1" applyBorder="1" applyAlignment="1" applyProtection="1">
      <protection locked="0"/>
    </xf>
    <xf numFmtId="0" fontId="40" fillId="0" borderId="0" xfId="0" applyNumberFormat="1" applyFont="1" applyFill="1" applyAlignment="1">
      <alignment horizontal="center"/>
    </xf>
    <xf numFmtId="9" fontId="3" fillId="0" borderId="0" xfId="8" applyNumberFormat="1" applyFont="1" applyFill="1" applyAlignment="1"/>
    <xf numFmtId="166" fontId="3" fillId="0" borderId="20" xfId="6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applyNumberFormat="1" applyFont="1" applyFill="1" applyAlignment="1">
      <alignment horizontal="centerContinuous"/>
    </xf>
    <xf numFmtId="166" fontId="3" fillId="0" borderId="5" xfId="6" applyNumberFormat="1" applyFont="1" applyFill="1" applyBorder="1" applyAlignment="1" applyProtection="1">
      <protection locked="0"/>
    </xf>
    <xf numFmtId="42" fontId="5" fillId="0" borderId="0" xfId="0" applyNumberFormat="1" applyFont="1" applyFill="1" applyAlignment="1" applyProtection="1">
      <protection locked="0"/>
    </xf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/>
    <xf numFmtId="3" fontId="5" fillId="0" borderId="10" xfId="5" applyNumberFormat="1" applyFont="1" applyFill="1" applyBorder="1" applyAlignment="1">
      <alignment horizontal="center"/>
    </xf>
    <xf numFmtId="3" fontId="3" fillId="0" borderId="0" xfId="5" applyNumberFormat="1" applyFont="1" applyFill="1"/>
    <xf numFmtId="185" fontId="3" fillId="0" borderId="0" xfId="0" applyNumberFormat="1" applyFont="1" applyFill="1" applyAlignment="1">
      <alignment horizontal="left"/>
    </xf>
    <xf numFmtId="185" fontId="3" fillId="0" borderId="0" xfId="0" applyNumberFormat="1" applyFont="1" applyFill="1" applyAlignment="1">
      <alignment horizontal="right"/>
    </xf>
    <xf numFmtId="37" fontId="3" fillId="0" borderId="0" xfId="5" applyNumberFormat="1" applyFont="1" applyFill="1"/>
    <xf numFmtId="37" fontId="3" fillId="0" borderId="0" xfId="5" applyNumberFormat="1" applyFont="1" applyFill="1" applyBorder="1" applyProtection="1">
      <protection locked="0"/>
    </xf>
    <xf numFmtId="9" fontId="3" fillId="0" borderId="0" xfId="8" applyNumberFormat="1" applyFont="1" applyFill="1"/>
    <xf numFmtId="41" fontId="3" fillId="0" borderId="0" xfId="5" applyNumberFormat="1" applyFont="1" applyFill="1" applyBorder="1" applyProtection="1">
      <protection locked="0"/>
    </xf>
    <xf numFmtId="41" fontId="3" fillId="0" borderId="10" xfId="5" applyNumberFormat="1" applyFont="1" applyFill="1" applyBorder="1" applyProtection="1">
      <protection locked="0"/>
    </xf>
    <xf numFmtId="0" fontId="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left" vertical="top"/>
    </xf>
    <xf numFmtId="42" fontId="3" fillId="0" borderId="0" xfId="6" applyNumberFormat="1" applyFont="1" applyFill="1" applyBorder="1" applyAlignment="1" applyProtection="1">
      <alignment vertical="top"/>
      <protection locked="0"/>
    </xf>
    <xf numFmtId="41" fontId="3" fillId="0" borderId="0" xfId="5" applyNumberFormat="1" applyFont="1" applyFill="1" applyAlignment="1">
      <alignment horizontal="left" vertical="top"/>
    </xf>
    <xf numFmtId="6" fontId="3" fillId="0" borderId="0" xfId="6" applyNumberFormat="1" applyFont="1" applyFill="1"/>
    <xf numFmtId="164" fontId="5" fillId="0" borderId="0" xfId="9" applyFont="1" applyFill="1" applyAlignment="1" applyProtection="1">
      <alignment horizontal="center"/>
      <protection locked="0"/>
    </xf>
    <xf numFmtId="164" fontId="5" fillId="0" borderId="0" xfId="9" applyFont="1" applyFill="1" applyAlignment="1" applyProtection="1">
      <alignment horizontal="centerContinuous"/>
      <protection locked="0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2" fontId="3" fillId="0" borderId="0" xfId="1" applyNumberFormat="1" applyFont="1" applyFill="1" applyBorder="1"/>
    <xf numFmtId="41" fontId="3" fillId="0" borderId="0" xfId="1" applyNumberFormat="1" applyFont="1"/>
    <xf numFmtId="41" fontId="3" fillId="0" borderId="0" xfId="1" applyNumberFormat="1" applyFont="1" applyFill="1" applyBorder="1"/>
    <xf numFmtId="164" fontId="3" fillId="0" borderId="0" xfId="9" applyFont="1" applyAlignment="1">
      <alignment horizontal="left"/>
    </xf>
    <xf numFmtId="42" fontId="3" fillId="0" borderId="11" xfId="208" applyNumberFormat="1" applyFont="1" applyBorder="1"/>
    <xf numFmtId="41" fontId="3" fillId="0" borderId="11" xfId="9" applyNumberFormat="1" applyFont="1" applyBorder="1">
      <alignment horizontal="left" wrapText="1"/>
    </xf>
    <xf numFmtId="41" fontId="40" fillId="0" borderId="11" xfId="9" applyNumberFormat="1" applyFont="1" applyBorder="1">
      <alignment horizontal="left" wrapText="1"/>
    </xf>
    <xf numFmtId="41" fontId="40" fillId="0" borderId="11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40" fillId="0" borderId="0" xfId="9" applyNumberFormat="1" applyFont="1" applyBorder="1">
      <alignment horizontal="left" wrapText="1"/>
    </xf>
    <xf numFmtId="41" fontId="40" fillId="0" borderId="0" xfId="1" applyNumberFormat="1" applyFont="1" applyFill="1" applyBorder="1"/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11" xfId="9" applyFont="1" applyFill="1" applyBorder="1" applyAlignment="1"/>
    <xf numFmtId="164" fontId="3" fillId="0" borderId="0" xfId="9" applyFont="1" applyAlignment="1"/>
    <xf numFmtId="164" fontId="3" fillId="0" borderId="0" xfId="9" quotePrefix="1" applyFont="1" applyFill="1" applyAlignment="1">
      <alignment horizontal="left"/>
    </xf>
    <xf numFmtId="41" fontId="3" fillId="0" borderId="0" xfId="1" applyNumberFormat="1" applyFont="1" applyFill="1" applyBorder="1" applyAlignment="1"/>
    <xf numFmtId="166" fontId="3" fillId="0" borderId="0" xfId="208" applyNumberFormat="1" applyFont="1" applyFill="1" applyBorder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4" fontId="3" fillId="0" borderId="0" xfId="9" applyFont="1" applyFill="1" applyAlignment="1">
      <alignment horizontal="center"/>
    </xf>
    <xf numFmtId="41" fontId="3" fillId="0" borderId="0" xfId="9" applyNumberFormat="1" applyFont="1" applyFill="1" applyBorder="1">
      <alignment horizontal="left" wrapText="1"/>
    </xf>
    <xf numFmtId="17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41" fontId="3" fillId="0" borderId="0" xfId="5" applyNumberFormat="1" applyFont="1" applyFill="1" applyBorder="1" applyAlignment="1"/>
    <xf numFmtId="0" fontId="58" fillId="0" borderId="0" xfId="0" applyFont="1" applyAlignment="1"/>
    <xf numFmtId="0" fontId="3" fillId="0" borderId="10" xfId="0" applyNumberFormat="1" applyFont="1" applyFill="1" applyBorder="1" applyAlignment="1" applyProtection="1">
      <alignment horizontal="center"/>
      <protection locked="0"/>
    </xf>
    <xf numFmtId="164" fontId="3" fillId="0" borderId="10" xfId="0" applyNumberFormat="1" applyFont="1" applyFill="1" applyBorder="1" applyAlignment="1"/>
    <xf numFmtId="164" fontId="3" fillId="0" borderId="1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3" fillId="0" borderId="0" xfId="0" applyNumberFormat="1" applyFont="1" applyFill="1" applyBorder="1" applyAlignment="1">
      <alignment horizontal="left" indent="1"/>
    </xf>
    <xf numFmtId="166" fontId="3" fillId="0" borderId="0" xfId="6" applyNumberFormat="1" applyFont="1" applyFill="1" applyBorder="1" applyAlignment="1"/>
    <xf numFmtId="164" fontId="3" fillId="0" borderId="0" xfId="0" applyNumberFormat="1" applyFont="1" applyFill="1" applyAlignment="1">
      <alignment horizontal="left" indent="1"/>
    </xf>
    <xf numFmtId="164" fontId="54" fillId="0" borderId="0" xfId="0" applyNumberFormat="1" applyFont="1" applyAlignment="1">
      <alignment horizontal="left" wrapText="1"/>
    </xf>
    <xf numFmtId="41" fontId="3" fillId="0" borderId="0" xfId="5" applyNumberFormat="1" applyFont="1" applyAlignment="1">
      <alignment wrapText="1"/>
    </xf>
    <xf numFmtId="4" fontId="3" fillId="0" borderId="0" xfId="5" applyFont="1" applyFill="1" applyAlignment="1"/>
    <xf numFmtId="164" fontId="3" fillId="0" borderId="0" xfId="0" applyNumberFormat="1" applyFont="1" applyFill="1" applyAlignment="1">
      <alignment horizontal="left" indent="3"/>
    </xf>
    <xf numFmtId="164" fontId="3" fillId="0" borderId="0" xfId="0" applyNumberFormat="1" applyFont="1" applyFill="1" applyBorder="1" applyAlignment="1">
      <alignment horizontal="left" indent="2"/>
    </xf>
    <xf numFmtId="41" fontId="3" fillId="0" borderId="0" xfId="5" applyNumberFormat="1" applyFont="1" applyFill="1" applyAlignment="1">
      <alignment wrapText="1"/>
    </xf>
    <xf numFmtId="164" fontId="3" fillId="0" borderId="0" xfId="199" applyNumberFormat="1" applyFont="1" applyFill="1" applyAlignment="1">
      <alignment horizontal="left" indent="3"/>
    </xf>
    <xf numFmtId="3" fontId="3" fillId="0" borderId="11" xfId="5" applyNumberFormat="1" applyFont="1" applyFill="1" applyBorder="1" applyAlignment="1"/>
    <xf numFmtId="164" fontId="3" fillId="0" borderId="0" xfId="199" applyNumberFormat="1" applyFont="1" applyFill="1" applyAlignment="1">
      <alignment horizontal="left" indent="1"/>
    </xf>
    <xf numFmtId="164" fontId="3" fillId="0" borderId="0" xfId="199" applyNumberFormat="1" applyFont="1" applyFill="1" applyAlignment="1">
      <alignment horizontal="left" indent="2"/>
    </xf>
    <xf numFmtId="164" fontId="3" fillId="0" borderId="0" xfId="199" applyNumberFormat="1" applyFont="1" applyFill="1" applyAlignment="1">
      <alignment horizontal="left"/>
    </xf>
    <xf numFmtId="42" fontId="3" fillId="0" borderId="4" xfId="6" applyNumberFormat="1" applyFont="1" applyFill="1" applyBorder="1" applyAlignment="1">
      <alignment horizontal="right"/>
    </xf>
    <xf numFmtId="183" fontId="3" fillId="0" borderId="0" xfId="0" applyNumberFormat="1" applyFont="1" applyFill="1" applyAlignment="1"/>
    <xf numFmtId="37" fontId="3" fillId="0" borderId="11" xfId="0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42" fontId="3" fillId="0" borderId="5" xfId="6" applyNumberFormat="1" applyFont="1" applyFill="1" applyBorder="1" applyAlignment="1"/>
  </cellXfs>
  <cellStyles count="240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2" xfId="5"/>
    <cellStyle name="Comma 2 2" xfId="10"/>
    <cellStyle name="Comma 3" xfId="88"/>
    <cellStyle name="Comma 3 2" xfId="209"/>
    <cellStyle name="Comma 4 2" xfId="89"/>
    <cellStyle name="Comma 7" xfId="90"/>
    <cellStyle name="Comma 8" xfId="91"/>
    <cellStyle name="Comma 9" xfId="92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8" builtinId="4"/>
    <cellStyle name="Currency 10" xfId="108"/>
    <cellStyle name="Currency 2" xfId="6"/>
    <cellStyle name="Currency 3" xfId="109"/>
    <cellStyle name="Currency 3 2" xfId="210"/>
    <cellStyle name="Currency 7" xfId="110"/>
    <cellStyle name="Currency 8" xfId="111"/>
    <cellStyle name="Currency 9" xfId="112"/>
    <cellStyle name="Currency0" xfId="113"/>
    <cellStyle name="Custom - Style1" xfId="212"/>
    <cellStyle name="Custom - Style8" xfId="213"/>
    <cellStyle name="Data   - Style2" xfId="214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15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16"/>
    <cellStyle name="Normal - Style3" xfId="217"/>
    <cellStyle name="Normal - Style4" xfId="218"/>
    <cellStyle name="Normal - Style5" xfId="219"/>
    <cellStyle name="Normal - Style6" xfId="220"/>
    <cellStyle name="Normal - Style7" xfId="221"/>
    <cellStyle name="Normal - Style8" xfId="222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39"/>
    <cellStyle name="Normal 4 2" xfId="159"/>
    <cellStyle name="Normal 6" xfId="160"/>
    <cellStyle name="Normal 7" xfId="161"/>
    <cellStyle name="Normal 8" xfId="162"/>
    <cellStyle name="Normal 9" xfId="163"/>
    <cellStyle name="Output Amounts" xfId="223"/>
    <cellStyle name="Output Column Headings" xfId="224"/>
    <cellStyle name="Output Line Items" xfId="225"/>
    <cellStyle name="Output Report Heading" xfId="226"/>
    <cellStyle name="Output Report Title" xfId="227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38"/>
    <cellStyle name="Percent 3" xfId="168"/>
    <cellStyle name="Percent 4 2" xfId="169"/>
    <cellStyle name="Percent 6" xfId="211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28"/>
    <cellStyle name="Reset  - Style7" xfId="229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0"/>
    <cellStyle name="Table  - Style6" xfId="231"/>
    <cellStyle name="Title  - Style1" xfId="232"/>
    <cellStyle name="Title  - Style6" xfId="233"/>
    <cellStyle name="Title: Major" xfId="204"/>
    <cellStyle name="Title: Minor" xfId="205"/>
    <cellStyle name="Title: Worksheet" xfId="206"/>
    <cellStyle name="Total4 - Style4" xfId="207"/>
    <cellStyle name="TotCol - Style5" xfId="234"/>
    <cellStyle name="TotCol - Style7" xfId="235"/>
    <cellStyle name="TotRow - Style4" xfId="236"/>
    <cellStyle name="TotRow - Style8" xfId="237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breda\My%20Documents\PSE%20UE090704\Adjustments%20from%20Staff\4.26E%20&amp;%204.19G%20Investment%20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4.26 E"/>
      <sheetName val="4.19 G"/>
      <sheetName val="Inv Plan"/>
      <sheetName val="rate case 2009"/>
    </sheetNames>
    <sheetDataSet>
      <sheetData sheetId="0" refreshError="1"/>
      <sheetData sheetId="1" refreshError="1"/>
      <sheetData sheetId="2" refreshError="1">
        <row r="11">
          <cell r="D11">
            <v>2765561.1887863865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I51"/>
  <sheetViews>
    <sheetView topLeftCell="A4" zoomScaleNormal="100" workbookViewId="0">
      <selection activeCell="F12" sqref="F12"/>
    </sheetView>
  </sheetViews>
  <sheetFormatPr defaultColWidth="6" defaultRowHeight="15.75"/>
  <cols>
    <col min="1" max="1" width="6" style="2"/>
    <col min="2" max="2" width="36.140625" style="2" customWidth="1"/>
    <col min="3" max="3" width="24" style="2" customWidth="1"/>
    <col min="4" max="4" width="18.5703125" style="2" customWidth="1"/>
    <col min="5" max="5" width="20.5703125" style="2" customWidth="1"/>
    <col min="6" max="6" width="21.85546875" style="2" customWidth="1"/>
    <col min="7" max="7" width="20.4257812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401" t="s">
        <v>188</v>
      </c>
      <c r="B2" s="401"/>
      <c r="C2" s="401"/>
      <c r="D2" s="401"/>
      <c r="E2" s="401"/>
      <c r="F2" s="401"/>
      <c r="G2" s="401"/>
    </row>
    <row r="3" spans="1:9">
      <c r="A3" s="401" t="s">
        <v>45</v>
      </c>
      <c r="B3" s="401"/>
      <c r="C3" s="401"/>
      <c r="D3" s="401"/>
      <c r="E3" s="401"/>
      <c r="F3" s="401"/>
      <c r="G3" s="401"/>
    </row>
    <row r="4" spans="1:9">
      <c r="A4" s="401" t="s">
        <v>44</v>
      </c>
      <c r="B4" s="401"/>
      <c r="C4" s="401"/>
      <c r="D4" s="401"/>
      <c r="E4" s="401"/>
      <c r="F4" s="401"/>
      <c r="G4" s="401"/>
    </row>
    <row r="5" spans="1:9">
      <c r="A5" s="402"/>
      <c r="B5" s="402"/>
      <c r="C5" s="402"/>
      <c r="D5" s="402"/>
      <c r="E5" s="402"/>
      <c r="F5" s="402"/>
      <c r="G5" s="402"/>
    </row>
    <row r="6" spans="1:9">
      <c r="A6" s="11"/>
      <c r="B6" s="11"/>
      <c r="C6" s="11" t="s">
        <v>35</v>
      </c>
      <c r="D6" s="11"/>
      <c r="E6" s="11" t="s">
        <v>38</v>
      </c>
      <c r="F6" s="11" t="s">
        <v>34</v>
      </c>
      <c r="G6" s="11" t="s">
        <v>42</v>
      </c>
    </row>
    <row r="7" spans="1:9">
      <c r="A7" s="12" t="s">
        <v>28</v>
      </c>
      <c r="B7" s="12"/>
      <c r="C7" s="12" t="s">
        <v>36</v>
      </c>
      <c r="D7" s="12" t="s">
        <v>32</v>
      </c>
      <c r="E7" s="12" t="s">
        <v>39</v>
      </c>
      <c r="F7" s="12" t="s">
        <v>40</v>
      </c>
      <c r="G7" s="12" t="s">
        <v>36</v>
      </c>
    </row>
    <row r="8" spans="1:9">
      <c r="A8" s="13" t="s">
        <v>29</v>
      </c>
      <c r="B8" s="12" t="s">
        <v>30</v>
      </c>
      <c r="C8" s="12" t="s">
        <v>31</v>
      </c>
      <c r="D8" s="12" t="s">
        <v>37</v>
      </c>
      <c r="E8" s="12" t="s">
        <v>31</v>
      </c>
      <c r="F8" s="12" t="s">
        <v>41</v>
      </c>
      <c r="G8" s="12" t="s">
        <v>31</v>
      </c>
    </row>
    <row r="9" spans="1:9">
      <c r="A9" s="14"/>
      <c r="B9" s="15"/>
      <c r="C9" s="14" t="s">
        <v>57</v>
      </c>
      <c r="D9" s="14" t="s">
        <v>58</v>
      </c>
      <c r="E9" s="14" t="s">
        <v>59</v>
      </c>
      <c r="F9" s="14" t="s">
        <v>33</v>
      </c>
      <c r="G9" s="14" t="s">
        <v>47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13">
        <v>1</v>
      </c>
      <c r="B11" s="3" t="s">
        <v>0</v>
      </c>
      <c r="C11" s="16"/>
      <c r="D11" s="16"/>
      <c r="E11" s="16"/>
      <c r="F11" s="16"/>
      <c r="G11" s="16"/>
      <c r="I11" s="111" t="s">
        <v>187</v>
      </c>
    </row>
    <row r="12" spans="1:9">
      <c r="A12" s="113">
        <f>1+A11</f>
        <v>2</v>
      </c>
      <c r="B12" s="3" t="s">
        <v>1</v>
      </c>
      <c r="C12" s="110">
        <v>1149587390.5799999</v>
      </c>
      <c r="D12" s="110">
        <f>+'EXH KBH-3 P3.5'!F11</f>
        <v>61608936.032015681</v>
      </c>
      <c r="E12" s="110">
        <f>+D12+C12</f>
        <v>1211196326.6120157</v>
      </c>
      <c r="F12" s="110">
        <f>+'Gen Inc P3.29'!E24</f>
        <v>7130348</v>
      </c>
      <c r="G12" s="110">
        <f>+F12+E12</f>
        <v>1218326674.6120157</v>
      </c>
      <c r="I12" s="112">
        <f>F12/E12</f>
        <v>5.8870290830101528E-3</v>
      </c>
    </row>
    <row r="13" spans="1:9">
      <c r="A13" s="113">
        <f t="shared" ref="A13:A45" si="0">1+A12</f>
        <v>3</v>
      </c>
      <c r="B13" s="4" t="s">
        <v>189</v>
      </c>
      <c r="C13" s="16">
        <v>49951005.50999999</v>
      </c>
      <c r="D13" s="143">
        <f>+'EXH KBH-3 P3.5'!F12</f>
        <v>-49951005.50999999</v>
      </c>
      <c r="E13" s="16">
        <f t="shared" ref="E13:E14" si="1">+D13+C13</f>
        <v>0</v>
      </c>
      <c r="F13" s="16">
        <f>+'Gen Inc P3.29'!E23</f>
        <v>0</v>
      </c>
      <c r="G13" s="16">
        <f t="shared" ref="G13:G14" si="2">+F13+E13</f>
        <v>0</v>
      </c>
    </row>
    <row r="14" spans="1:9">
      <c r="A14" s="113">
        <f t="shared" si="0"/>
        <v>4</v>
      </c>
      <c r="B14" s="4" t="s">
        <v>2</v>
      </c>
      <c r="C14" s="16">
        <v>17329860.359999999</v>
      </c>
      <c r="D14" s="143">
        <f>+'EXH KBH-3 P3.5'!F13</f>
        <v>-278297.67981011141</v>
      </c>
      <c r="E14" s="16">
        <f t="shared" si="1"/>
        <v>17051562.680189889</v>
      </c>
      <c r="F14" s="16">
        <f>+'Gen Inc P3.29'!E22</f>
        <v>205780</v>
      </c>
      <c r="G14" s="16">
        <f t="shared" si="2"/>
        <v>17257342.680189889</v>
      </c>
    </row>
    <row r="15" spans="1:9">
      <c r="A15" s="113">
        <f t="shared" si="0"/>
        <v>5</v>
      </c>
      <c r="B15" s="5" t="s">
        <v>3</v>
      </c>
      <c r="C15" s="30">
        <f>SUM(C12:C14)</f>
        <v>1216868256.4499998</v>
      </c>
      <c r="D15" s="30">
        <f t="shared" ref="D15:G15" si="3">SUM(D12:D14)</f>
        <v>11379632.84220558</v>
      </c>
      <c r="E15" s="30">
        <f t="shared" si="3"/>
        <v>1228247889.2922056</v>
      </c>
      <c r="F15" s="30">
        <f t="shared" si="3"/>
        <v>7336128</v>
      </c>
      <c r="G15" s="30">
        <f t="shared" si="3"/>
        <v>1235584017.2922056</v>
      </c>
    </row>
    <row r="16" spans="1:9">
      <c r="A16" s="113">
        <f t="shared" si="0"/>
        <v>6</v>
      </c>
      <c r="B16" s="4"/>
      <c r="C16" s="16"/>
      <c r="D16" s="16"/>
      <c r="E16" s="16"/>
      <c r="F16" s="16"/>
      <c r="G16" s="16"/>
    </row>
    <row r="17" spans="1:8">
      <c r="A17" s="113">
        <f t="shared" si="0"/>
        <v>7</v>
      </c>
      <c r="B17" s="4" t="s">
        <v>190</v>
      </c>
      <c r="C17" s="16"/>
      <c r="D17" s="16"/>
      <c r="E17" s="16"/>
      <c r="F17" s="16"/>
      <c r="G17" s="16"/>
    </row>
    <row r="18" spans="1:8">
      <c r="A18" s="113">
        <f t="shared" si="0"/>
        <v>8</v>
      </c>
      <c r="B18" s="4" t="s">
        <v>191</v>
      </c>
      <c r="C18" s="16"/>
      <c r="D18" s="16"/>
      <c r="E18" s="16"/>
      <c r="F18" s="16"/>
      <c r="G18" s="16"/>
    </row>
    <row r="19" spans="1:8">
      <c r="A19" s="113">
        <f t="shared" si="0"/>
        <v>9</v>
      </c>
      <c r="B19" s="4" t="s">
        <v>192</v>
      </c>
      <c r="C19" s="110">
        <v>737851057.96000004</v>
      </c>
      <c r="D19" s="110">
        <f>+'EXH KBH-3 P3.5'!F18</f>
        <v>50189196.170110464</v>
      </c>
      <c r="E19" s="110">
        <f t="shared" ref="E19" si="4">+D19+C19</f>
        <v>788040254.1301105</v>
      </c>
      <c r="F19" s="110"/>
      <c r="G19" s="110">
        <f t="shared" ref="G19" si="5">+F19+E19</f>
        <v>788040254.1301105</v>
      </c>
    </row>
    <row r="20" spans="1:8">
      <c r="A20" s="113">
        <f t="shared" si="0"/>
        <v>10</v>
      </c>
      <c r="B20" s="6" t="s">
        <v>4</v>
      </c>
      <c r="C20" s="31">
        <f>+C19</f>
        <v>737851057.96000004</v>
      </c>
      <c r="D20" s="31">
        <f t="shared" ref="D20:G20" si="6">+D19</f>
        <v>50189196.170110464</v>
      </c>
      <c r="E20" s="31">
        <f t="shared" si="6"/>
        <v>788040254.1301105</v>
      </c>
      <c r="F20" s="31">
        <f t="shared" si="6"/>
        <v>0</v>
      </c>
      <c r="G20" s="31">
        <f t="shared" si="6"/>
        <v>788040254.1301105</v>
      </c>
      <c r="H20" s="31"/>
    </row>
    <row r="21" spans="1:8">
      <c r="A21" s="113">
        <f t="shared" si="0"/>
        <v>11</v>
      </c>
      <c r="B21" s="1"/>
      <c r="C21" s="16"/>
      <c r="D21" s="16"/>
      <c r="E21" s="16"/>
      <c r="F21" s="16"/>
      <c r="G21" s="16"/>
    </row>
    <row r="22" spans="1:8">
      <c r="A22" s="113">
        <f t="shared" si="0"/>
        <v>12</v>
      </c>
      <c r="B22" s="1" t="s">
        <v>248</v>
      </c>
      <c r="C22" s="16">
        <v>1873117.13</v>
      </c>
      <c r="D22" s="110">
        <f>+'EXH KBH-3 P3.5'!F21</f>
        <v>23880</v>
      </c>
      <c r="E22" s="16">
        <f t="shared" ref="E22:E36" si="7">+D22+C22</f>
        <v>1896997.13</v>
      </c>
      <c r="F22" s="16"/>
      <c r="G22" s="16">
        <f t="shared" ref="G22:G36" si="8">+F22+E22</f>
        <v>1896997.13</v>
      </c>
    </row>
    <row r="23" spans="1:8">
      <c r="A23" s="113">
        <f t="shared" si="0"/>
        <v>13</v>
      </c>
      <c r="B23" s="4" t="s">
        <v>6</v>
      </c>
      <c r="C23" s="16">
        <v>394280.38</v>
      </c>
      <c r="D23" s="143">
        <f>+'EXH KBH-3 P3.5'!F22</f>
        <v>4041</v>
      </c>
      <c r="E23" s="16">
        <f t="shared" si="7"/>
        <v>398321.38</v>
      </c>
      <c r="F23" s="16"/>
      <c r="G23" s="16">
        <f t="shared" si="8"/>
        <v>398321.38</v>
      </c>
    </row>
    <row r="24" spans="1:8">
      <c r="A24" s="113">
        <f t="shared" si="0"/>
        <v>14</v>
      </c>
      <c r="B24" s="4" t="s">
        <v>7</v>
      </c>
      <c r="C24" s="16">
        <v>51612728.75</v>
      </c>
      <c r="D24" s="143">
        <f>+'EXH KBH-3 P3.5'!F23</f>
        <v>552348</v>
      </c>
      <c r="E24" s="16">
        <f t="shared" si="7"/>
        <v>52165076.75</v>
      </c>
      <c r="F24" s="16"/>
      <c r="G24" s="16">
        <f t="shared" si="8"/>
        <v>52165076.75</v>
      </c>
    </row>
    <row r="25" spans="1:8">
      <c r="A25" s="113">
        <f t="shared" si="0"/>
        <v>15</v>
      </c>
      <c r="B25" s="4" t="s">
        <v>529</v>
      </c>
      <c r="C25" s="16">
        <v>28177044.969388001</v>
      </c>
      <c r="D25" s="143">
        <f>+'EXH KBH-3 P3.5'!F24</f>
        <v>-499851.63130722044</v>
      </c>
      <c r="E25" s="16">
        <f t="shared" si="7"/>
        <v>27677193.338080779</v>
      </c>
      <c r="F25" s="16">
        <f>ROUND(+'Gen Inc P3.29'!E21*'Conv Fact P3.31'!E15,0)</f>
        <v>20783</v>
      </c>
      <c r="G25" s="16">
        <f t="shared" si="8"/>
        <v>27697976.338080779</v>
      </c>
    </row>
    <row r="26" spans="1:8">
      <c r="A26" s="113">
        <f t="shared" si="0"/>
        <v>16</v>
      </c>
      <c r="B26" s="4" t="s">
        <v>8</v>
      </c>
      <c r="C26" s="16">
        <v>4829560.0283300001</v>
      </c>
      <c r="D26" s="143">
        <f>+'EXH KBH-3 P3.5'!F25</f>
        <v>-3403137</v>
      </c>
      <c r="E26" s="16">
        <f t="shared" si="7"/>
        <v>1426423.0283300001</v>
      </c>
      <c r="F26" s="16"/>
      <c r="G26" s="16">
        <f t="shared" si="8"/>
        <v>1426423.0283300001</v>
      </c>
    </row>
    <row r="27" spans="1:8">
      <c r="A27" s="113">
        <f t="shared" si="0"/>
        <v>17</v>
      </c>
      <c r="B27" s="1" t="s">
        <v>9</v>
      </c>
      <c r="C27" s="16">
        <v>7669601.2000000002</v>
      </c>
      <c r="D27" s="143">
        <f>+'EXH KBH-3 P3.5'!F26</f>
        <v>-7669601</v>
      </c>
      <c r="E27" s="16">
        <f t="shared" si="7"/>
        <v>0.20000000018626451</v>
      </c>
      <c r="F27" s="16"/>
      <c r="G27" s="16">
        <f t="shared" si="8"/>
        <v>0.20000000018626451</v>
      </c>
    </row>
    <row r="28" spans="1:8">
      <c r="A28" s="113">
        <f t="shared" si="0"/>
        <v>18</v>
      </c>
      <c r="B28" s="4" t="s">
        <v>10</v>
      </c>
      <c r="C28" s="16">
        <v>44215772.715511002</v>
      </c>
      <c r="D28" s="143">
        <f>+'EXH KBH-3 P3.5'!F27</f>
        <v>1051641.8905771617</v>
      </c>
      <c r="E28" s="16">
        <f t="shared" si="7"/>
        <v>45267414.606088161</v>
      </c>
      <c r="F28" s="16">
        <f>ROUND(+'Gen Inc P3.29'!E21*'Conv Fact P3.31'!E16,0)</f>
        <v>14672</v>
      </c>
      <c r="G28" s="16">
        <f t="shared" si="8"/>
        <v>45282086.606088161</v>
      </c>
    </row>
    <row r="29" spans="1:8">
      <c r="A29" s="113">
        <f t="shared" si="0"/>
        <v>19</v>
      </c>
      <c r="B29" s="4" t="s">
        <v>11</v>
      </c>
      <c r="C29" s="16">
        <v>82190938.45786199</v>
      </c>
      <c r="D29" s="143">
        <f>+'EXH KBH-3 P3.5'!F28</f>
        <v>6298798.0948673133</v>
      </c>
      <c r="E29" s="16">
        <f t="shared" si="7"/>
        <v>88489736.552729309</v>
      </c>
      <c r="F29" s="16"/>
      <c r="G29" s="16">
        <f t="shared" si="8"/>
        <v>88489736.552729309</v>
      </c>
    </row>
    <row r="30" spans="1:8">
      <c r="A30" s="113">
        <f t="shared" si="0"/>
        <v>20</v>
      </c>
      <c r="B30" s="4" t="s">
        <v>12</v>
      </c>
      <c r="C30" s="16">
        <v>15618788.142220002</v>
      </c>
      <c r="D30" s="143">
        <f>+'EXH KBH-3 P3.5'!F29</f>
        <v>2.6489033189136535E-11</v>
      </c>
      <c r="E30" s="16">
        <f t="shared" si="7"/>
        <v>15618788.142220002</v>
      </c>
      <c r="F30" s="16"/>
      <c r="G30" s="16">
        <f t="shared" si="8"/>
        <v>15618788.142220002</v>
      </c>
    </row>
    <row r="31" spans="1:8">
      <c r="A31" s="113">
        <f t="shared" si="0"/>
        <v>21</v>
      </c>
      <c r="B31" s="3" t="s">
        <v>13</v>
      </c>
      <c r="C31" s="16">
        <v>0</v>
      </c>
      <c r="D31" s="143">
        <f>+'EXH KBH-3 P3.5'!F30</f>
        <v>0</v>
      </c>
      <c r="E31" s="16">
        <f t="shared" si="7"/>
        <v>0</v>
      </c>
      <c r="F31" s="16"/>
      <c r="G31" s="16">
        <f t="shared" si="8"/>
        <v>0</v>
      </c>
    </row>
    <row r="32" spans="1:8">
      <c r="A32" s="113">
        <f t="shared" si="0"/>
        <v>22</v>
      </c>
      <c r="B32" s="1" t="s">
        <v>14</v>
      </c>
      <c r="C32" s="16">
        <v>781403.92</v>
      </c>
      <c r="D32" s="143">
        <f>+'EXH KBH-3 P3.5'!F31</f>
        <v>-932758.61</v>
      </c>
      <c r="E32" s="16">
        <f t="shared" si="7"/>
        <v>-151354.68999999994</v>
      </c>
      <c r="F32" s="16"/>
      <c r="G32" s="16">
        <f t="shared" si="8"/>
        <v>-151354.68999999994</v>
      </c>
    </row>
    <row r="33" spans="1:7">
      <c r="A33" s="113">
        <f t="shared" si="0"/>
        <v>23</v>
      </c>
      <c r="B33" s="1" t="s">
        <v>15</v>
      </c>
      <c r="C33" s="16">
        <v>0</v>
      </c>
      <c r="D33" s="143">
        <f>+'EXH KBH-3 P3.5'!F32</f>
        <v>0</v>
      </c>
      <c r="E33" s="16">
        <f t="shared" si="7"/>
        <v>0</v>
      </c>
      <c r="F33" s="16"/>
      <c r="G33" s="16">
        <f t="shared" si="8"/>
        <v>0</v>
      </c>
    </row>
    <row r="34" spans="1:7">
      <c r="A34" s="113">
        <f t="shared" si="0"/>
        <v>24</v>
      </c>
      <c r="B34" s="4" t="s">
        <v>16</v>
      </c>
      <c r="C34" s="16">
        <v>108410162.19257601</v>
      </c>
      <c r="D34" s="143">
        <f>+'EXH KBH-3 P3.5'!F33</f>
        <v>-48920576.776705377</v>
      </c>
      <c r="E34" s="16">
        <f t="shared" si="7"/>
        <v>59489585.415870629</v>
      </c>
      <c r="F34" s="16">
        <f>ROUND('Gen Inc P3.29'!E21*'Conv Fact P3.31'!E17,0)</f>
        <v>281788</v>
      </c>
      <c r="G34" s="16">
        <f t="shared" si="8"/>
        <v>59771373.415870629</v>
      </c>
    </row>
    <row r="35" spans="1:7">
      <c r="A35" s="113">
        <f t="shared" si="0"/>
        <v>25</v>
      </c>
      <c r="B35" s="4" t="s">
        <v>17</v>
      </c>
      <c r="C35" s="16">
        <v>-21984884</v>
      </c>
      <c r="D35" s="143">
        <f>+'EXH KBH-3 P3.5'!F34</f>
        <v>16625059.105798628</v>
      </c>
      <c r="E35" s="16">
        <f t="shared" si="7"/>
        <v>-5359824.8942013718</v>
      </c>
      <c r="F35" s="16">
        <f>ROUND(+'Gen Inc P3.29'!E21*'Conv Fact P3.31'!E22,0)</f>
        <v>2456613</v>
      </c>
      <c r="G35" s="16">
        <f t="shared" si="8"/>
        <v>-2903211.8942013718</v>
      </c>
    </row>
    <row r="36" spans="1:7">
      <c r="A36" s="113">
        <f t="shared" si="0"/>
        <v>26</v>
      </c>
      <c r="B36" s="4" t="s">
        <v>18</v>
      </c>
      <c r="C36" s="16">
        <v>43878483.919399999</v>
      </c>
      <c r="D36" s="143">
        <f>+'EXH KBH-3 P3.5'!F35</f>
        <v>-1827805.2324228685</v>
      </c>
      <c r="E36" s="16">
        <f t="shared" si="7"/>
        <v>42050678.686977133</v>
      </c>
      <c r="F36" s="16"/>
      <c r="G36" s="16">
        <f t="shared" si="8"/>
        <v>42050678.686977133</v>
      </c>
    </row>
    <row r="37" spans="1:7">
      <c r="A37" s="113">
        <f t="shared" si="0"/>
        <v>27</v>
      </c>
      <c r="B37" s="7" t="s">
        <v>19</v>
      </c>
      <c r="C37" s="31">
        <f>SUM(C20:C36)</f>
        <v>1105518055.7652869</v>
      </c>
      <c r="D37" s="31">
        <f t="shared" ref="D37:G37" si="9">SUM(D20:D36)</f>
        <v>11491234.010918098</v>
      </c>
      <c r="E37" s="31">
        <f t="shared" si="9"/>
        <v>1117009289.7762053</v>
      </c>
      <c r="F37" s="31">
        <f t="shared" si="9"/>
        <v>2773856</v>
      </c>
      <c r="G37" s="31">
        <f t="shared" si="9"/>
        <v>1119783145.7762053</v>
      </c>
    </row>
    <row r="38" spans="1:7">
      <c r="A38" s="113">
        <f t="shared" si="0"/>
        <v>28</v>
      </c>
      <c r="B38" s="7"/>
      <c r="C38" s="16"/>
      <c r="D38" s="16"/>
      <c r="E38" s="16"/>
      <c r="F38" s="16"/>
      <c r="G38" s="16"/>
    </row>
    <row r="39" spans="1:7" ht="16.5" thickBot="1">
      <c r="A39" s="113">
        <f t="shared" si="0"/>
        <v>29</v>
      </c>
      <c r="B39" s="8" t="s">
        <v>20</v>
      </c>
      <c r="C39" s="32">
        <f>+C15-C37</f>
        <v>111350200.68471289</v>
      </c>
      <c r="D39" s="32">
        <f t="shared" ref="D39:G39" si="10">+D15-D37</f>
        <v>-111601.16871251725</v>
      </c>
      <c r="E39" s="32">
        <f t="shared" si="10"/>
        <v>111238599.51600027</v>
      </c>
      <c r="F39" s="32">
        <f t="shared" si="10"/>
        <v>4562272</v>
      </c>
      <c r="G39" s="32">
        <f t="shared" si="10"/>
        <v>115800871.51600027</v>
      </c>
    </row>
    <row r="40" spans="1:7" ht="16.5" thickTop="1">
      <c r="A40" s="113">
        <f t="shared" si="0"/>
        <v>30</v>
      </c>
      <c r="B40" s="4"/>
      <c r="C40" s="16"/>
      <c r="D40" s="16"/>
      <c r="E40" s="16"/>
      <c r="F40" s="16"/>
      <c r="G40" s="16"/>
    </row>
    <row r="41" spans="1:7">
      <c r="A41" s="113">
        <f t="shared" si="0"/>
        <v>31</v>
      </c>
      <c r="B41" s="5" t="s">
        <v>21</v>
      </c>
      <c r="C41" s="16"/>
      <c r="D41" s="16"/>
      <c r="E41" s="16"/>
      <c r="F41" s="16"/>
      <c r="G41" s="16"/>
    </row>
    <row r="42" spans="1:7">
      <c r="A42" s="113">
        <f t="shared" si="0"/>
        <v>32</v>
      </c>
      <c r="B42" s="4" t="s">
        <v>528</v>
      </c>
      <c r="C42" s="110">
        <v>2496529564</v>
      </c>
      <c r="D42" s="143">
        <f>+'EXH KBH-3 P3.5'!F41</f>
        <v>4805828.4263344631</v>
      </c>
      <c r="E42" s="110">
        <f t="shared" ref="E42:G47" si="11">+D42+C42</f>
        <v>2501335392.4263344</v>
      </c>
      <c r="F42" s="110"/>
      <c r="G42" s="110">
        <f t="shared" ref="G42:G44" si="12">+F42+E42</f>
        <v>2501335392.4263344</v>
      </c>
    </row>
    <row r="43" spans="1:7">
      <c r="A43" s="113">
        <f t="shared" si="0"/>
        <v>33</v>
      </c>
      <c r="B43" s="4" t="s">
        <v>22</v>
      </c>
      <c r="C43" s="16">
        <v>-837320044</v>
      </c>
      <c r="D43" s="143">
        <f>+'EXH KBH-3 P3.5'!F42</f>
        <v>-3439575.3211939898</v>
      </c>
      <c r="E43" s="16">
        <f t="shared" si="11"/>
        <v>-840759619.32119393</v>
      </c>
      <c r="F43" s="16"/>
      <c r="G43" s="16">
        <f t="shared" si="12"/>
        <v>-840759619.32119393</v>
      </c>
    </row>
    <row r="44" spans="1:7">
      <c r="A44" s="113">
        <f t="shared" si="0"/>
        <v>34</v>
      </c>
      <c r="B44" s="4" t="s">
        <v>23</v>
      </c>
      <c r="C44" s="16">
        <v>-208946049</v>
      </c>
      <c r="D44" s="143">
        <f>+'EXH KBH-3 P3.5'!F43</f>
        <v>-1018707.0416666666</v>
      </c>
      <c r="E44" s="16">
        <f t="shared" si="11"/>
        <v>-209964756.04166666</v>
      </c>
      <c r="F44" s="16"/>
      <c r="G44" s="16">
        <f t="shared" si="12"/>
        <v>-209964756.04166666</v>
      </c>
    </row>
    <row r="45" spans="1:7">
      <c r="A45" s="113">
        <f t="shared" si="0"/>
        <v>35</v>
      </c>
      <c r="B45" s="4" t="s">
        <v>25</v>
      </c>
      <c r="C45" s="16">
        <v>-27028861</v>
      </c>
      <c r="D45" s="143">
        <f>+'EXH KBH-3 P3.5'!F44</f>
        <v>-8796188.4849999957</v>
      </c>
      <c r="E45" s="16">
        <f t="shared" si="11"/>
        <v>-35825049.484999999</v>
      </c>
      <c r="F45" s="16"/>
      <c r="G45" s="16">
        <f t="shared" si="11"/>
        <v>-35825049.484999999</v>
      </c>
    </row>
    <row r="46" spans="1:7">
      <c r="A46" s="113">
        <f>1+A45</f>
        <v>36</v>
      </c>
      <c r="B46" s="4" t="s">
        <v>193</v>
      </c>
      <c r="C46" s="30">
        <f>SUM(C42:C45)</f>
        <v>1423234610</v>
      </c>
      <c r="D46" s="30">
        <f t="shared" ref="D46:G46" si="13">SUM(D42:D45)</f>
        <v>-8448642.4215261899</v>
      </c>
      <c r="E46" s="30">
        <f t="shared" si="13"/>
        <v>1414785967.5784738</v>
      </c>
      <c r="F46" s="30">
        <f t="shared" si="13"/>
        <v>0</v>
      </c>
      <c r="G46" s="30">
        <f t="shared" si="13"/>
        <v>1414785967.5784738</v>
      </c>
    </row>
    <row r="47" spans="1:7">
      <c r="A47" s="113">
        <f t="shared" ref="A47:A50" si="14">1+A46</f>
        <v>37</v>
      </c>
      <c r="B47" s="4" t="s">
        <v>24</v>
      </c>
      <c r="C47" s="27">
        <v>51276690</v>
      </c>
      <c r="D47" s="143">
        <f>+'EXH KBH-3 P3.5'!F46</f>
        <v>1628997.9547713771</v>
      </c>
      <c r="E47" s="16">
        <f t="shared" si="11"/>
        <v>52905687.954771377</v>
      </c>
      <c r="F47" s="27"/>
      <c r="G47" s="16">
        <f t="shared" si="11"/>
        <v>52905687.954771377</v>
      </c>
    </row>
    <row r="48" spans="1:7" ht="16.5" thickBot="1">
      <c r="A48" s="113">
        <f t="shared" si="14"/>
        <v>38</v>
      </c>
      <c r="B48" s="4" t="s">
        <v>26</v>
      </c>
      <c r="C48" s="32">
        <f>+C47+C46</f>
        <v>1474511300</v>
      </c>
      <c r="D48" s="32">
        <f t="shared" ref="D48:G48" si="15">+D47+D46</f>
        <v>-6819644.4667548127</v>
      </c>
      <c r="E48" s="32">
        <f t="shared" si="15"/>
        <v>1467691655.5332451</v>
      </c>
      <c r="F48" s="32">
        <f t="shared" si="15"/>
        <v>0</v>
      </c>
      <c r="G48" s="32">
        <f t="shared" si="15"/>
        <v>1467691655.5332451</v>
      </c>
    </row>
    <row r="49" spans="1:7" ht="16.5" thickTop="1">
      <c r="A49" s="113">
        <f t="shared" si="14"/>
        <v>39</v>
      </c>
      <c r="B49" s="4"/>
      <c r="D49" s="16"/>
      <c r="E49" s="16"/>
      <c r="F49" s="16"/>
      <c r="G49" s="16"/>
    </row>
    <row r="50" spans="1:7">
      <c r="A50" s="113">
        <f t="shared" si="14"/>
        <v>40</v>
      </c>
      <c r="B50" s="4" t="s">
        <v>27</v>
      </c>
      <c r="C50" s="102">
        <f>ROUND(C39/C48,4)</f>
        <v>7.5499999999999998E-2</v>
      </c>
      <c r="D50" s="16"/>
      <c r="E50" s="102">
        <f>ROUND(E39/E48,4)</f>
        <v>7.5800000000000006E-2</v>
      </c>
      <c r="F50" s="16"/>
      <c r="G50" s="102">
        <f>ROUND(G39/G48,4)</f>
        <v>7.8899999999999998E-2</v>
      </c>
    </row>
    <row r="51" spans="1:7">
      <c r="A51" s="1"/>
      <c r="B51" s="1"/>
    </row>
  </sheetData>
  <mergeCells count="4">
    <mergeCell ref="A2:G2"/>
    <mergeCell ref="A5:G5"/>
    <mergeCell ref="A3:G3"/>
    <mergeCell ref="A4:G4"/>
  </mergeCells>
  <printOptions horizontalCentered="1"/>
  <pageMargins left="0.2" right="0.45" top="0.75" bottom="0.75" header="0.75" footer="0.3"/>
  <pageSetup scale="65" orientation="landscape" r:id="rId1"/>
  <headerFooter scaleWithDoc="0">
    <oddHeader>&amp;R&amp;"Times New Roman,Regular"&amp;12UE-090704/UG-090705
EXHIBIT KHB-3
Page 3.1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17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3" t="s">
        <v>222</v>
      </c>
      <c r="B4" s="39"/>
      <c r="C4" s="39"/>
      <c r="D4" s="39"/>
    </row>
    <row r="5" spans="1:4">
      <c r="A5" s="43" t="s">
        <v>300</v>
      </c>
      <c r="B5" s="39"/>
      <c r="C5" s="39"/>
      <c r="D5" s="44"/>
    </row>
    <row r="6" spans="1:4">
      <c r="A6" s="39" t="str">
        <f>TY</f>
        <v>FOR THE TWELVE MONTHS ENDED DECEMBER  31, 2008</v>
      </c>
      <c r="B6" s="39"/>
      <c r="C6" s="39"/>
      <c r="D6" s="45"/>
    </row>
    <row r="7" spans="1:4">
      <c r="A7" s="43" t="s">
        <v>111</v>
      </c>
      <c r="B7" s="39"/>
      <c r="C7" s="39"/>
      <c r="D7" s="45"/>
    </row>
    <row r="8" spans="1:4">
      <c r="A8" s="46"/>
      <c r="B8" s="83"/>
      <c r="C8" s="51"/>
      <c r="D8" s="51"/>
    </row>
    <row r="9" spans="1:4">
      <c r="A9" s="47" t="s">
        <v>112</v>
      </c>
      <c r="B9" s="46"/>
      <c r="C9" s="46"/>
      <c r="D9" s="47" t="s">
        <v>50</v>
      </c>
    </row>
    <row r="10" spans="1:4">
      <c r="A10" s="49" t="s">
        <v>115</v>
      </c>
      <c r="B10" s="67" t="s">
        <v>116</v>
      </c>
      <c r="C10" s="49"/>
      <c r="D10" s="49" t="s">
        <v>118</v>
      </c>
    </row>
    <row r="11" spans="1:4">
      <c r="A11" s="64"/>
      <c r="B11" s="84"/>
      <c r="C11" s="85"/>
      <c r="D11" s="86"/>
    </row>
    <row r="12" spans="1:4">
      <c r="A12" s="52">
        <v>1</v>
      </c>
      <c r="B12" s="84" t="s">
        <v>123</v>
      </c>
      <c r="C12" s="144">
        <f>+'EXH KBH-3 P3.1'!E48</f>
        <v>1467691655.5332451</v>
      </c>
      <c r="D12" s="86" t="s">
        <v>50</v>
      </c>
    </row>
    <row r="13" spans="1:4">
      <c r="A13" s="52">
        <f t="shared" ref="A13:A33" si="0">A12+1</f>
        <v>2</v>
      </c>
      <c r="B13" s="84" t="s">
        <v>50</v>
      </c>
      <c r="C13" s="87" t="s">
        <v>50</v>
      </c>
      <c r="D13" s="55"/>
    </row>
    <row r="14" spans="1:4">
      <c r="A14" s="52">
        <f t="shared" si="0"/>
        <v>3</v>
      </c>
      <c r="B14" s="88" t="s">
        <v>130</v>
      </c>
      <c r="C14" s="145">
        <f>SUM(C12:C13)</f>
        <v>1467691655.5332451</v>
      </c>
      <c r="D14" s="55"/>
    </row>
    <row r="15" spans="1:4">
      <c r="A15" s="52">
        <f t="shared" si="0"/>
        <v>4</v>
      </c>
      <c r="B15" s="88"/>
      <c r="C15" s="88"/>
      <c r="D15" s="88"/>
    </row>
    <row r="16" spans="1:4">
      <c r="A16" s="52">
        <f t="shared" si="0"/>
        <v>5</v>
      </c>
      <c r="B16" s="84" t="s">
        <v>132</v>
      </c>
      <c r="C16" s="146">
        <f>+'Capital P3.30'!E16+'Capital P3.30'!E17</f>
        <v>3.39E-2</v>
      </c>
      <c r="D16" s="89" t="s">
        <v>50</v>
      </c>
    </row>
    <row r="17" spans="1:4">
      <c r="A17" s="52">
        <f t="shared" si="0"/>
        <v>6</v>
      </c>
      <c r="B17" s="84" t="s">
        <v>136</v>
      </c>
      <c r="C17" s="88"/>
      <c r="D17" s="147">
        <f>+C14*C16</f>
        <v>49754747.122577004</v>
      </c>
    </row>
    <row r="18" spans="1:4">
      <c r="A18" s="52">
        <f t="shared" si="0"/>
        <v>7</v>
      </c>
      <c r="B18" s="84"/>
      <c r="C18" s="90"/>
      <c r="D18" s="91"/>
    </row>
    <row r="19" spans="1:4">
      <c r="A19" s="52">
        <f t="shared" si="0"/>
        <v>8</v>
      </c>
      <c r="B19" s="88"/>
      <c r="C19" s="88"/>
      <c r="D19" s="89"/>
    </row>
    <row r="20" spans="1:4">
      <c r="A20" s="52">
        <f t="shared" si="0"/>
        <v>9</v>
      </c>
      <c r="B20" s="92" t="s">
        <v>141</v>
      </c>
      <c r="C20" s="90"/>
      <c r="D20" s="89"/>
    </row>
    <row r="21" spans="1:4">
      <c r="A21" s="52">
        <f t="shared" si="0"/>
        <v>10</v>
      </c>
      <c r="B21" s="88" t="s">
        <v>143</v>
      </c>
      <c r="C21" s="93">
        <v>64633838</v>
      </c>
      <c r="D21" s="89"/>
    </row>
    <row r="22" spans="1:4">
      <c r="A22" s="52">
        <f t="shared" si="0"/>
        <v>11</v>
      </c>
      <c r="B22" s="88" t="s">
        <v>145</v>
      </c>
      <c r="C22" s="88"/>
      <c r="D22" s="89"/>
    </row>
    <row r="23" spans="1:4">
      <c r="A23" s="52">
        <f t="shared" si="0"/>
        <v>12</v>
      </c>
      <c r="B23" s="88" t="s">
        <v>146</v>
      </c>
      <c r="C23" s="87">
        <v>1199627</v>
      </c>
      <c r="D23" s="89"/>
    </row>
    <row r="24" spans="1:4">
      <c r="A24" s="52">
        <f t="shared" si="0"/>
        <v>13</v>
      </c>
      <c r="B24" s="88" t="s">
        <v>149</v>
      </c>
      <c r="C24" s="87"/>
      <c r="D24" s="89"/>
    </row>
    <row r="25" spans="1:4">
      <c r="A25" s="52">
        <f t="shared" si="0"/>
        <v>14</v>
      </c>
      <c r="B25" s="94" t="s">
        <v>150</v>
      </c>
      <c r="C25" s="87">
        <v>288111</v>
      </c>
      <c r="D25" s="89"/>
    </row>
    <row r="26" spans="1:4">
      <c r="A26" s="52">
        <f t="shared" si="0"/>
        <v>15</v>
      </c>
      <c r="B26" s="88" t="s">
        <v>152</v>
      </c>
      <c r="C26" s="87">
        <v>7623489</v>
      </c>
      <c r="D26" s="89"/>
    </row>
    <row r="27" spans="1:4">
      <c r="A27" s="52">
        <f t="shared" si="0"/>
        <v>16</v>
      </c>
      <c r="B27" s="58" t="s">
        <v>156</v>
      </c>
      <c r="C27" s="41">
        <f>-'EXH KBH-3 P3.3'!I24</f>
        <v>-30273.092195121953</v>
      </c>
      <c r="D27" s="89"/>
    </row>
    <row r="28" spans="1:4">
      <c r="A28" s="52">
        <f t="shared" si="0"/>
        <v>17</v>
      </c>
      <c r="B28" s="88" t="s">
        <v>157</v>
      </c>
      <c r="C28" s="95"/>
      <c r="D28" s="41">
        <f>SUM(C21:C27)</f>
        <v>73714791.907804877</v>
      </c>
    </row>
    <row r="29" spans="1:4">
      <c r="A29" s="52">
        <f t="shared" si="0"/>
        <v>18</v>
      </c>
      <c r="B29" s="88"/>
      <c r="C29" s="88"/>
      <c r="D29" s="95"/>
    </row>
    <row r="30" spans="1:4">
      <c r="A30" s="52">
        <f t="shared" si="0"/>
        <v>19</v>
      </c>
      <c r="B30" s="88" t="s">
        <v>158</v>
      </c>
      <c r="C30" s="55"/>
      <c r="D30" s="148">
        <f>-D17+D28-C30</f>
        <v>23960044.785227872</v>
      </c>
    </row>
    <row r="31" spans="1:4">
      <c r="A31" s="52">
        <f t="shared" si="0"/>
        <v>20</v>
      </c>
      <c r="B31" s="88"/>
      <c r="C31" s="96"/>
      <c r="D31" s="86" t="s">
        <v>50</v>
      </c>
    </row>
    <row r="32" spans="1:4">
      <c r="A32" s="52">
        <f t="shared" si="0"/>
        <v>21</v>
      </c>
      <c r="B32" s="88" t="s">
        <v>140</v>
      </c>
      <c r="C32" s="72">
        <f>FIT</f>
        <v>0.35</v>
      </c>
      <c r="D32" s="56">
        <f>+D30*FIT</f>
        <v>8386015.674829755</v>
      </c>
    </row>
    <row r="33" spans="1:4" ht="16.5" thickBot="1">
      <c r="A33" s="52">
        <f t="shared" si="0"/>
        <v>22</v>
      </c>
      <c r="B33" s="88" t="s">
        <v>131</v>
      </c>
      <c r="C33" s="88"/>
      <c r="D33" s="149">
        <f>-D32</f>
        <v>-8386015.674829755</v>
      </c>
    </row>
    <row r="34" spans="1:4" ht="16.5" thickTop="1">
      <c r="A34" s="52"/>
      <c r="B34" s="53"/>
      <c r="C34" s="53"/>
      <c r="D34" s="53"/>
    </row>
    <row r="35" spans="1:4">
      <c r="A35" s="58"/>
      <c r="B35" s="53"/>
      <c r="C35" s="97"/>
      <c r="D35" s="89"/>
    </row>
    <row r="36" spans="1:4">
      <c r="A36" s="57"/>
      <c r="B36" s="53"/>
      <c r="C36" s="97"/>
      <c r="D36" s="89"/>
    </row>
  </sheetData>
  <pageMargins left="0.7" right="0.7" top="0.75" bottom="0.75" header="0.75" footer="0.3"/>
  <pageSetup scale="91" orientation="portrait" r:id="rId1"/>
  <headerFooter>
    <oddHeader>&amp;R&amp;"Times New Roman,Regular"&amp;12EXHIBIT KHB-3
Page 3.10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3"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66" style="2" customWidth="1"/>
    <col min="3" max="3" width="18" style="2" customWidth="1"/>
    <col min="4" max="4" width="15.5703125" style="2" customWidth="1"/>
    <col min="5" max="5" width="16.425781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555" t="str">
        <f>Title</f>
        <v xml:space="preserve">PUGET SOUND ENERGY-GAS </v>
      </c>
      <c r="B4" s="402"/>
      <c r="C4" s="402"/>
      <c r="D4" s="402"/>
      <c r="E4" s="402"/>
      <c r="F4" s="402"/>
    </row>
    <row r="5" spans="1:6">
      <c r="A5" s="437" t="s">
        <v>322</v>
      </c>
      <c r="B5" s="439"/>
      <c r="C5" s="437"/>
      <c r="D5" s="437"/>
      <c r="E5" s="439"/>
      <c r="F5" s="297"/>
    </row>
    <row r="6" spans="1:6">
      <c r="A6" s="439" t="str">
        <f>TY</f>
        <v>FOR THE TWELVE MONTHS ENDED DECEMBER  31, 2008</v>
      </c>
      <c r="B6" s="439"/>
      <c r="C6" s="437"/>
      <c r="D6" s="437"/>
      <c r="E6" s="439"/>
      <c r="F6" s="298"/>
    </row>
    <row r="7" spans="1:6">
      <c r="A7" s="437" t="str">
        <f>GRC</f>
        <v>GENERAL RATE INCREASE</v>
      </c>
      <c r="B7" s="439"/>
      <c r="C7" s="437"/>
      <c r="D7" s="437"/>
      <c r="E7" s="437"/>
      <c r="F7" s="300"/>
    </row>
    <row r="8" spans="1:6">
      <c r="A8" s="329"/>
      <c r="B8" s="329"/>
      <c r="C8" s="329"/>
      <c r="D8" s="329"/>
      <c r="E8" s="329"/>
      <c r="F8" s="297"/>
    </row>
    <row r="9" spans="1:6">
      <c r="A9" s="624" t="s">
        <v>112</v>
      </c>
      <c r="B9" s="493"/>
      <c r="C9" s="493"/>
      <c r="D9" s="493"/>
      <c r="E9" s="493"/>
      <c r="F9" s="331"/>
    </row>
    <row r="10" spans="1:6">
      <c r="A10" s="495" t="s">
        <v>115</v>
      </c>
      <c r="B10" s="625" t="s">
        <v>116</v>
      </c>
      <c r="C10" s="627" t="s">
        <v>251</v>
      </c>
      <c r="D10" s="627" t="s">
        <v>252</v>
      </c>
      <c r="E10" s="627" t="s">
        <v>117</v>
      </c>
      <c r="F10" s="400"/>
    </row>
    <row r="11" spans="1:6">
      <c r="A11" s="498"/>
      <c r="B11" s="498"/>
      <c r="C11" s="498"/>
      <c r="D11" s="498"/>
      <c r="E11" s="498"/>
      <c r="F11" s="400"/>
    </row>
    <row r="12" spans="1:6">
      <c r="A12" s="337">
        <v>1</v>
      </c>
      <c r="B12" s="501" t="s">
        <v>301</v>
      </c>
      <c r="C12" s="498"/>
      <c r="D12" s="498"/>
      <c r="E12" s="498"/>
      <c r="F12" s="278"/>
    </row>
    <row r="13" spans="1:6">
      <c r="A13" s="337">
        <f t="shared" ref="A13:A40" si="0">A12+1</f>
        <v>2</v>
      </c>
      <c r="B13" s="498" t="s">
        <v>302</v>
      </c>
      <c r="C13" s="635">
        <v>76528829.560000017</v>
      </c>
      <c r="D13" s="635">
        <v>81276393.299999997</v>
      </c>
      <c r="E13" s="635">
        <f>D13-C13</f>
        <v>4747563.7399999797</v>
      </c>
      <c r="F13" s="278"/>
    </row>
    <row r="14" spans="1:6">
      <c r="A14" s="337">
        <f t="shared" si="0"/>
        <v>3</v>
      </c>
      <c r="B14" s="498" t="s">
        <v>303</v>
      </c>
      <c r="C14" s="636">
        <v>2951555.2224679999</v>
      </c>
      <c r="D14" s="636">
        <v>4422340.1248559998</v>
      </c>
      <c r="E14" s="637">
        <f>D14-C14</f>
        <v>1470784.9023879999</v>
      </c>
      <c r="F14" s="278"/>
    </row>
    <row r="15" spans="1:6">
      <c r="A15" s="337">
        <f t="shared" si="0"/>
        <v>4</v>
      </c>
      <c r="B15" s="498" t="s">
        <v>304</v>
      </c>
      <c r="C15" s="636">
        <v>1147453.3284420001</v>
      </c>
      <c r="D15" s="636">
        <v>1147453.3284420001</v>
      </c>
      <c r="E15" s="637">
        <f>D15-C15</f>
        <v>0</v>
      </c>
      <c r="F15" s="278"/>
    </row>
    <row r="16" spans="1:6">
      <c r="A16" s="337">
        <f t="shared" si="0"/>
        <v>5</v>
      </c>
      <c r="B16" s="498" t="s">
        <v>305</v>
      </c>
      <c r="C16" s="638">
        <f>SUM(C13:C15)</f>
        <v>80627838.110910028</v>
      </c>
      <c r="D16" s="638">
        <f>SUM(D13:D15)</f>
        <v>86846186.753298</v>
      </c>
      <c r="E16" s="638">
        <f>SUM(E13:E15)</f>
        <v>6218348.6423879797</v>
      </c>
      <c r="F16" s="278"/>
    </row>
    <row r="17" spans="1:6">
      <c r="A17" s="337">
        <f t="shared" si="0"/>
        <v>6</v>
      </c>
      <c r="B17" s="498"/>
      <c r="C17" s="639"/>
      <c r="D17" s="639"/>
      <c r="E17" s="639"/>
      <c r="F17" s="274"/>
    </row>
    <row r="18" spans="1:6">
      <c r="A18" s="337">
        <f t="shared" si="0"/>
        <v>7</v>
      </c>
      <c r="B18" s="498" t="s">
        <v>306</v>
      </c>
      <c r="C18" s="637">
        <v>1562355.23</v>
      </c>
      <c r="D18" s="637">
        <v>1563100.3469519999</v>
      </c>
      <c r="E18" s="636">
        <f>D18-C18</f>
        <v>745.11695199995302</v>
      </c>
      <c r="F18" s="278"/>
    </row>
    <row r="19" spans="1:6">
      <c r="A19" s="337">
        <f t="shared" si="0"/>
        <v>8</v>
      </c>
      <c r="B19" s="498" t="s">
        <v>307</v>
      </c>
      <c r="C19" s="637">
        <v>745.11695199999997</v>
      </c>
      <c r="D19" s="637">
        <v>0</v>
      </c>
      <c r="E19" s="640">
        <f>D19-C19</f>
        <v>-745.11695199999997</v>
      </c>
      <c r="F19" s="278"/>
    </row>
    <row r="20" spans="1:6">
      <c r="A20" s="337">
        <f t="shared" si="0"/>
        <v>9</v>
      </c>
      <c r="B20" s="498" t="s">
        <v>308</v>
      </c>
      <c r="C20" s="638">
        <f>SUM(C17:C19)</f>
        <v>1563100.3469519999</v>
      </c>
      <c r="D20" s="638">
        <f>SUM(D17:D19)</f>
        <v>1563100.3469519999</v>
      </c>
      <c r="E20" s="638">
        <f>SUM(E18:E19)</f>
        <v>-4.695266397902742E-11</v>
      </c>
      <c r="F20" s="278"/>
    </row>
    <row r="21" spans="1:6">
      <c r="A21" s="337">
        <f t="shared" si="0"/>
        <v>10</v>
      </c>
      <c r="B21" s="498"/>
      <c r="C21" s="639"/>
      <c r="D21" s="639"/>
      <c r="E21" s="639"/>
      <c r="F21" s="278"/>
    </row>
    <row r="22" spans="1:6">
      <c r="A22" s="337">
        <f t="shared" si="0"/>
        <v>11</v>
      </c>
      <c r="B22" s="498" t="s">
        <v>309</v>
      </c>
      <c r="C22" s="640">
        <f>C16+C20</f>
        <v>82190938.457862034</v>
      </c>
      <c r="D22" s="640">
        <f>D16+D20</f>
        <v>88409287.100250006</v>
      </c>
      <c r="E22" s="640">
        <f>E16+E20</f>
        <v>6218348.6423879797</v>
      </c>
      <c r="F22" s="278"/>
    </row>
    <row r="23" spans="1:6">
      <c r="A23" s="337">
        <f t="shared" si="0"/>
        <v>12</v>
      </c>
      <c r="B23" s="498"/>
      <c r="C23" s="639"/>
      <c r="D23" s="639"/>
      <c r="E23" s="639"/>
      <c r="F23" s="278"/>
    </row>
    <row r="24" spans="1:6">
      <c r="A24" s="337">
        <f t="shared" si="0"/>
        <v>13</v>
      </c>
      <c r="B24" s="498" t="s">
        <v>310</v>
      </c>
      <c r="C24" s="637">
        <v>403916.76999999996</v>
      </c>
      <c r="D24" s="637">
        <v>404886.68793399999</v>
      </c>
      <c r="E24" s="636">
        <f>D24-C24</f>
        <v>969.91793400002643</v>
      </c>
      <c r="F24" s="278"/>
    </row>
    <row r="25" spans="1:6">
      <c r="A25" s="337">
        <f>A24+1</f>
        <v>14</v>
      </c>
      <c r="B25" s="498" t="s">
        <v>311</v>
      </c>
      <c r="C25" s="640">
        <v>969.91793399999995</v>
      </c>
      <c r="D25" s="640">
        <v>0</v>
      </c>
      <c r="E25" s="640">
        <f>D25-C25</f>
        <v>-969.91793399999995</v>
      </c>
      <c r="F25" s="278"/>
    </row>
    <row r="26" spans="1:6">
      <c r="A26" s="337">
        <f t="shared" si="0"/>
        <v>15</v>
      </c>
      <c r="B26" s="498" t="s">
        <v>312</v>
      </c>
      <c r="C26" s="638">
        <f>SUM(C24:C25)</f>
        <v>404886.68793399999</v>
      </c>
      <c r="D26" s="638">
        <f>SUM(D24:D25)</f>
        <v>404886.68793399999</v>
      </c>
      <c r="E26" s="638">
        <f>SUM(E24:E25)</f>
        <v>2.6489033189136535E-11</v>
      </c>
      <c r="F26" s="278"/>
    </row>
    <row r="27" spans="1:6">
      <c r="A27" s="337">
        <f t="shared" si="0"/>
        <v>16</v>
      </c>
      <c r="B27" s="498"/>
      <c r="C27" s="641"/>
      <c r="D27" s="641"/>
      <c r="E27" s="641"/>
      <c r="F27" s="278"/>
    </row>
    <row r="28" spans="1:6">
      <c r="A28" s="337">
        <f t="shared" si="0"/>
        <v>17</v>
      </c>
      <c r="B28" s="498" t="s">
        <v>313</v>
      </c>
      <c r="C28" s="642"/>
      <c r="D28" s="642"/>
      <c r="E28" s="643">
        <f>D28-C28</f>
        <v>0</v>
      </c>
      <c r="F28" s="278"/>
    </row>
    <row r="29" spans="1:6">
      <c r="A29" s="337">
        <f t="shared" si="0"/>
        <v>18</v>
      </c>
      <c r="B29" s="498"/>
      <c r="C29" s="644">
        <v>0</v>
      </c>
      <c r="D29" s="644">
        <v>0</v>
      </c>
      <c r="E29" s="641"/>
      <c r="F29" s="278"/>
    </row>
    <row r="30" spans="1:6">
      <c r="A30" s="337">
        <f t="shared" si="0"/>
        <v>19</v>
      </c>
      <c r="B30" s="503" t="s">
        <v>314</v>
      </c>
      <c r="C30" s="614"/>
      <c r="D30" s="614"/>
      <c r="E30" s="645">
        <f>E22+E26+E28</f>
        <v>6218348.6423879797</v>
      </c>
      <c r="F30" s="260"/>
    </row>
    <row r="31" spans="1:6">
      <c r="A31" s="646">
        <f t="shared" si="0"/>
        <v>20</v>
      </c>
      <c r="B31" s="503" t="s">
        <v>295</v>
      </c>
      <c r="C31" s="614"/>
      <c r="D31" s="614"/>
      <c r="E31" s="614">
        <v>0</v>
      </c>
      <c r="F31" s="260"/>
    </row>
    <row r="32" spans="1:6">
      <c r="A32" s="646">
        <f t="shared" si="0"/>
        <v>21</v>
      </c>
      <c r="B32" s="503" t="s">
        <v>315</v>
      </c>
      <c r="C32" s="614"/>
      <c r="D32" s="614"/>
      <c r="E32" s="614">
        <v>0</v>
      </c>
      <c r="F32" s="260"/>
    </row>
    <row r="33" spans="1:6">
      <c r="A33" s="337">
        <f t="shared" si="0"/>
        <v>22</v>
      </c>
      <c r="B33" s="503" t="s">
        <v>316</v>
      </c>
      <c r="C33" s="614"/>
      <c r="D33" s="647">
        <v>0.35</v>
      </c>
      <c r="E33" s="614"/>
      <c r="F33" s="260"/>
    </row>
    <row r="34" spans="1:6" ht="16.5" thickBot="1">
      <c r="A34" s="337">
        <f t="shared" si="0"/>
        <v>23</v>
      </c>
      <c r="B34" s="503" t="s">
        <v>317</v>
      </c>
      <c r="C34" s="614"/>
      <c r="D34" s="614"/>
      <c r="E34" s="648">
        <f>-E30-E31-E33</f>
        <v>-6218348.6423879797</v>
      </c>
      <c r="F34" s="260"/>
    </row>
    <row r="35" spans="1:6" ht="16.5" thickTop="1">
      <c r="A35" s="337">
        <f t="shared" si="0"/>
        <v>24</v>
      </c>
      <c r="B35" s="503"/>
      <c r="C35" s="614"/>
      <c r="D35" s="614"/>
      <c r="E35" s="614"/>
      <c r="F35" s="260"/>
    </row>
    <row r="36" spans="1:6">
      <c r="A36" s="337">
        <f t="shared" si="0"/>
        <v>25</v>
      </c>
      <c r="B36" s="503"/>
      <c r="C36" s="614"/>
      <c r="D36" s="614"/>
      <c r="E36" s="614"/>
      <c r="F36" s="260"/>
    </row>
    <row r="37" spans="1:6">
      <c r="A37" s="337">
        <f t="shared" si="0"/>
        <v>26</v>
      </c>
      <c r="B37" s="501" t="s">
        <v>318</v>
      </c>
      <c r="C37" s="614"/>
      <c r="D37" s="614"/>
      <c r="E37" s="614"/>
      <c r="F37" s="260"/>
    </row>
    <row r="38" spans="1:6">
      <c r="A38" s="337">
        <f t="shared" si="0"/>
        <v>27</v>
      </c>
      <c r="B38" s="503" t="s">
        <v>319</v>
      </c>
      <c r="C38" s="508"/>
      <c r="D38" s="498"/>
      <c r="E38" s="645">
        <f>-E30*0.5</f>
        <v>-3109174.3211939898</v>
      </c>
      <c r="F38" s="260"/>
    </row>
    <row r="39" spans="1:6">
      <c r="A39" s="337">
        <f t="shared" si="0"/>
        <v>28</v>
      </c>
      <c r="B39" s="503" t="s">
        <v>320</v>
      </c>
      <c r="C39" s="649"/>
      <c r="D39" s="649"/>
      <c r="E39" s="614">
        <f>-E33*0.5</f>
        <v>0</v>
      </c>
      <c r="F39" s="260"/>
    </row>
    <row r="40" spans="1:6" ht="16.5" thickBot="1">
      <c r="A40" s="337">
        <f t="shared" si="0"/>
        <v>29</v>
      </c>
      <c r="B40" s="503" t="s">
        <v>321</v>
      </c>
      <c r="C40" s="650"/>
      <c r="D40" s="650"/>
      <c r="E40" s="651">
        <f>SUM(E38:E39)</f>
        <v>-3109174.3211939898</v>
      </c>
      <c r="F40" s="265"/>
    </row>
    <row r="41" spans="1:6" ht="16.5" thickTop="1">
      <c r="A41" s="330"/>
      <c r="B41" s="326"/>
      <c r="C41" s="649"/>
      <c r="D41" s="649"/>
      <c r="E41" s="649"/>
      <c r="F41" s="260"/>
    </row>
    <row r="42" spans="1:6">
      <c r="A42" s="329"/>
      <c r="B42" s="330"/>
      <c r="C42" s="330"/>
      <c r="D42" s="652"/>
      <c r="E42" s="330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70" orientation="portrait" r:id="rId1"/>
  <headerFooter>
    <oddHeader>&amp;R&amp;"Times New Roman,Regular"&amp;12EXHIBIT KHB-3
Page 3.11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5703125" style="2" customWidth="1"/>
    <col min="6" max="6" width="3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587" t="s">
        <v>249</v>
      </c>
      <c r="B4" s="402"/>
      <c r="C4" s="402"/>
      <c r="D4" s="402"/>
      <c r="E4" s="402"/>
      <c r="F4" s="402"/>
    </row>
    <row r="5" spans="1:6">
      <c r="A5" s="554" t="s">
        <v>339</v>
      </c>
      <c r="B5" s="554"/>
      <c r="C5" s="554"/>
      <c r="D5" s="554"/>
      <c r="E5" s="554"/>
      <c r="F5" s="297"/>
    </row>
    <row r="6" spans="1:6">
      <c r="A6" s="439" t="str">
        <f>TY</f>
        <v>FOR THE TWELVE MONTHS ENDED DECEMBER  31, 2008</v>
      </c>
      <c r="B6" s="439"/>
      <c r="C6" s="439"/>
      <c r="D6" s="439"/>
      <c r="E6" s="439"/>
      <c r="F6" s="298"/>
    </row>
    <row r="7" spans="1:6">
      <c r="A7" s="437" t="s">
        <v>111</v>
      </c>
      <c r="B7" s="437"/>
      <c r="C7" s="437"/>
      <c r="D7" s="437"/>
      <c r="E7" s="437"/>
      <c r="F7" s="300"/>
    </row>
    <row r="8" spans="1:6">
      <c r="A8" s="621"/>
      <c r="B8" s="622"/>
      <c r="C8" s="622"/>
      <c r="D8" s="622"/>
      <c r="E8" s="623"/>
      <c r="F8" s="297"/>
    </row>
    <row r="9" spans="1:6">
      <c r="A9" s="494" t="s">
        <v>112</v>
      </c>
      <c r="B9" s="623"/>
      <c r="C9" s="623"/>
      <c r="D9" s="624"/>
      <c r="E9" s="624"/>
      <c r="F9" s="331"/>
    </row>
    <row r="10" spans="1:6">
      <c r="A10" s="495" t="s">
        <v>115</v>
      </c>
      <c r="B10" s="625" t="s">
        <v>116</v>
      </c>
      <c r="C10" s="626"/>
      <c r="D10" s="627"/>
      <c r="E10" s="495" t="s">
        <v>117</v>
      </c>
      <c r="F10" s="400"/>
    </row>
    <row r="11" spans="1:6">
      <c r="A11" s="628"/>
      <c r="B11" s="556"/>
      <c r="C11" s="556"/>
      <c r="D11" s="556"/>
      <c r="E11" s="557"/>
      <c r="F11" s="400"/>
    </row>
    <row r="12" spans="1:6">
      <c r="A12" s="500">
        <v>1</v>
      </c>
      <c r="B12" s="629" t="s">
        <v>323</v>
      </c>
      <c r="C12" s="264"/>
      <c r="D12" s="264"/>
      <c r="E12" s="264"/>
      <c r="F12" s="278"/>
    </row>
    <row r="13" spans="1:6">
      <c r="A13" s="324">
        <f>A12+1</f>
        <v>2</v>
      </c>
      <c r="B13" s="503" t="s">
        <v>324</v>
      </c>
      <c r="C13" s="347"/>
      <c r="D13" s="347"/>
      <c r="E13" s="480">
        <v>3573780.92</v>
      </c>
      <c r="F13" s="278" t="s">
        <v>462</v>
      </c>
    </row>
    <row r="14" spans="1:6">
      <c r="A14" s="324">
        <f t="shared" ref="A14:A36" si="0">A13+1</f>
        <v>3</v>
      </c>
      <c r="B14" s="503" t="s">
        <v>325</v>
      </c>
      <c r="C14" s="347"/>
      <c r="D14" s="347"/>
      <c r="E14" s="26">
        <v>8020556.6100000003</v>
      </c>
      <c r="F14" s="278" t="s">
        <v>462</v>
      </c>
    </row>
    <row r="15" spans="1:6">
      <c r="A15" s="324">
        <f t="shared" si="0"/>
        <v>4</v>
      </c>
      <c r="B15" s="503" t="s">
        <v>326</v>
      </c>
      <c r="C15" s="559"/>
      <c r="D15" s="559"/>
      <c r="E15" s="26">
        <v>-52870391.100893579</v>
      </c>
      <c r="F15" s="278" t="s">
        <v>462</v>
      </c>
    </row>
    <row r="16" spans="1:6">
      <c r="A16" s="324">
        <f t="shared" si="0"/>
        <v>5</v>
      </c>
      <c r="B16" s="503" t="s">
        <v>327</v>
      </c>
      <c r="C16" s="347"/>
      <c r="D16" s="347"/>
      <c r="E16" s="26">
        <v>49586556.459999993</v>
      </c>
      <c r="F16" s="278" t="s">
        <v>461</v>
      </c>
    </row>
    <row r="17" spans="1:6">
      <c r="A17" s="324">
        <f t="shared" si="0"/>
        <v>6</v>
      </c>
      <c r="B17" s="498" t="s">
        <v>328</v>
      </c>
      <c r="C17" s="347"/>
      <c r="D17" s="347"/>
      <c r="E17" s="26">
        <v>364449.05</v>
      </c>
      <c r="F17" s="274" t="s">
        <v>461</v>
      </c>
    </row>
    <row r="18" spans="1:6">
      <c r="A18" s="324">
        <f t="shared" si="0"/>
        <v>7</v>
      </c>
      <c r="B18" s="347" t="s">
        <v>329</v>
      </c>
      <c r="C18" s="347"/>
      <c r="D18" s="347"/>
      <c r="E18" s="630">
        <f>SUM(E13:E17)</f>
        <v>8674951.939106416</v>
      </c>
      <c r="F18" s="278"/>
    </row>
    <row r="19" spans="1:6">
      <c r="A19" s="324">
        <f t="shared" si="0"/>
        <v>8</v>
      </c>
      <c r="B19" s="347"/>
      <c r="C19" s="347"/>
      <c r="D19" s="347"/>
      <c r="E19" s="347"/>
      <c r="F19" s="278"/>
    </row>
    <row r="20" spans="1:6">
      <c r="A20" s="324">
        <f t="shared" si="0"/>
        <v>9</v>
      </c>
      <c r="B20" s="348" t="s">
        <v>330</v>
      </c>
      <c r="C20" s="347"/>
      <c r="D20" s="347"/>
      <c r="E20" s="347"/>
      <c r="F20" s="278"/>
    </row>
    <row r="21" spans="1:6">
      <c r="A21" s="324">
        <f t="shared" si="0"/>
        <v>10</v>
      </c>
      <c r="B21" s="631" t="s">
        <v>109</v>
      </c>
      <c r="C21" s="347"/>
      <c r="D21" s="632">
        <f>+'Conv Fact P3.31'!E15</f>
        <v>2.833E-3</v>
      </c>
      <c r="E21" s="26">
        <f>-$E$18*D21</f>
        <v>-24576.138843488476</v>
      </c>
      <c r="F21" s="278"/>
    </row>
    <row r="22" spans="1:6">
      <c r="A22" s="324">
        <f t="shared" si="0"/>
        <v>11</v>
      </c>
      <c r="B22" s="347" t="s">
        <v>129</v>
      </c>
      <c r="C22" s="347"/>
      <c r="D22" s="632">
        <f>+'Conv Fact P3.31'!E16</f>
        <v>2E-3</v>
      </c>
      <c r="E22" s="26">
        <f t="shared" ref="E22:E23" si="1">-$E$18*D22</f>
        <v>-17349.903878212834</v>
      </c>
      <c r="F22" s="278"/>
    </row>
    <row r="23" spans="1:6">
      <c r="A23" s="324">
        <f t="shared" si="0"/>
        <v>12</v>
      </c>
      <c r="B23" s="347" t="s">
        <v>331</v>
      </c>
      <c r="C23" s="347"/>
      <c r="D23" s="632">
        <f>+'Conv Fact P3.31'!E17</f>
        <v>3.8411000000000001E-2</v>
      </c>
      <c r="E23" s="26">
        <f t="shared" si="1"/>
        <v>-333213.57893301657</v>
      </c>
      <c r="F23" s="278"/>
    </row>
    <row r="24" spans="1:6">
      <c r="A24" s="324">
        <f t="shared" si="0"/>
        <v>13</v>
      </c>
      <c r="B24" s="347" t="s">
        <v>332</v>
      </c>
      <c r="C24" s="347"/>
      <c r="D24" s="633">
        <v>4.3691778948360002E-2</v>
      </c>
      <c r="E24" s="630">
        <f>SUM(E21:E23)</f>
        <v>-375139.62165471789</v>
      </c>
      <c r="F24" s="278"/>
    </row>
    <row r="25" spans="1:6">
      <c r="A25" s="324">
        <f>A24+1</f>
        <v>14</v>
      </c>
      <c r="B25" s="347"/>
      <c r="C25" s="347"/>
      <c r="D25" s="347"/>
      <c r="E25" s="347"/>
      <c r="F25" s="278"/>
    </row>
    <row r="26" spans="1:6">
      <c r="A26" s="324">
        <f t="shared" si="0"/>
        <v>15</v>
      </c>
      <c r="B26" s="348" t="s">
        <v>333</v>
      </c>
      <c r="C26" s="347"/>
      <c r="D26" s="347"/>
      <c r="E26" s="347"/>
      <c r="F26" s="278"/>
    </row>
    <row r="27" spans="1:6">
      <c r="A27" s="324">
        <f t="shared" si="0"/>
        <v>16</v>
      </c>
      <c r="B27" s="503" t="s">
        <v>334</v>
      </c>
      <c r="C27" s="347"/>
      <c r="D27" s="347"/>
      <c r="E27" s="26">
        <v>-3417545</v>
      </c>
      <c r="F27" s="278"/>
    </row>
    <row r="28" spans="1:6">
      <c r="A28" s="324">
        <f t="shared" si="0"/>
        <v>17</v>
      </c>
      <c r="B28" s="503" t="s">
        <v>335</v>
      </c>
      <c r="C28" s="347"/>
      <c r="D28" s="347"/>
      <c r="E28" s="26">
        <v>-7669601</v>
      </c>
      <c r="F28" s="278"/>
    </row>
    <row r="29" spans="1:6">
      <c r="A29" s="324">
        <f t="shared" si="0"/>
        <v>18</v>
      </c>
      <c r="B29" s="503" t="s">
        <v>336</v>
      </c>
      <c r="C29" s="347"/>
      <c r="D29" s="347"/>
      <c r="E29" s="26">
        <v>50560390</v>
      </c>
      <c r="F29" s="278"/>
    </row>
    <row r="30" spans="1:6">
      <c r="A30" s="324">
        <f t="shared" si="0"/>
        <v>19</v>
      </c>
      <c r="B30" s="503" t="s">
        <v>327</v>
      </c>
      <c r="C30" s="347"/>
      <c r="D30" s="347"/>
      <c r="E30" s="26">
        <v>-48300625</v>
      </c>
      <c r="F30" s="260"/>
    </row>
    <row r="31" spans="1:6">
      <c r="A31" s="324">
        <f t="shared" si="0"/>
        <v>20</v>
      </c>
      <c r="B31" s="498" t="s">
        <v>328</v>
      </c>
      <c r="C31" s="347"/>
      <c r="D31" s="347"/>
      <c r="E31" s="347" t="s">
        <v>337</v>
      </c>
      <c r="F31" s="260"/>
    </row>
    <row r="32" spans="1:6">
      <c r="A32" s="324">
        <f t="shared" si="0"/>
        <v>21</v>
      </c>
      <c r="B32" s="347" t="s">
        <v>332</v>
      </c>
      <c r="C32" s="347"/>
      <c r="D32" s="347"/>
      <c r="E32" s="630">
        <f>SUM(E27:E31)</f>
        <v>-8827381</v>
      </c>
      <c r="F32" s="260"/>
    </row>
    <row r="33" spans="1:6">
      <c r="A33" s="324">
        <f t="shared" si="0"/>
        <v>22</v>
      </c>
      <c r="B33" s="347"/>
      <c r="C33" s="347"/>
      <c r="D33" s="347"/>
      <c r="E33" s="634"/>
      <c r="F33" s="260"/>
    </row>
    <row r="34" spans="1:6">
      <c r="A34" s="324">
        <f t="shared" si="0"/>
        <v>23</v>
      </c>
      <c r="B34" s="347" t="s">
        <v>338</v>
      </c>
      <c r="C34" s="347"/>
      <c r="D34" s="347"/>
      <c r="E34" s="26">
        <f>-E18-E24-E32</f>
        <v>527568.68254830223</v>
      </c>
      <c r="F34" s="260"/>
    </row>
    <row r="35" spans="1:6">
      <c r="A35" s="324">
        <f t="shared" si="0"/>
        <v>24</v>
      </c>
      <c r="B35" s="326" t="s">
        <v>153</v>
      </c>
      <c r="C35" s="326"/>
      <c r="D35" s="326"/>
      <c r="E35" s="26">
        <f>E34*0.35</f>
        <v>184649.03889190577</v>
      </c>
      <c r="F35" s="260"/>
    </row>
    <row r="36" spans="1:6">
      <c r="A36" s="324">
        <f t="shared" si="0"/>
        <v>25</v>
      </c>
      <c r="B36" s="326" t="s">
        <v>131</v>
      </c>
      <c r="C36" s="326"/>
      <c r="D36" s="326"/>
      <c r="E36" s="630">
        <f>E34-E35</f>
        <v>342919.64365639642</v>
      </c>
      <c r="F36" s="260"/>
    </row>
    <row r="37" spans="1:6">
      <c r="A37" s="326"/>
      <c r="B37" s="326"/>
      <c r="C37" s="326"/>
      <c r="D37" s="326"/>
      <c r="E37" s="326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10">
      <c r="A1" s="2" t="str">
        <f>CO</f>
        <v>Puget Sound Energy</v>
      </c>
    </row>
    <row r="2" spans="1:10">
      <c r="A2" s="2" t="str">
        <f>DOCKET</f>
        <v>Docket UE-090704/UG-090705</v>
      </c>
    </row>
    <row r="4" spans="1:10">
      <c r="A4" s="437" t="str">
        <f>Title</f>
        <v xml:space="preserve">PUGET SOUND ENERGY-GAS </v>
      </c>
      <c r="B4" s="439"/>
      <c r="C4" s="439"/>
      <c r="D4" s="439"/>
      <c r="E4" s="439"/>
      <c r="F4" s="297"/>
    </row>
    <row r="5" spans="1:10">
      <c r="A5" s="437" t="s">
        <v>340</v>
      </c>
      <c r="B5" s="439"/>
      <c r="C5" s="439"/>
      <c r="D5" s="439"/>
      <c r="E5" s="439"/>
      <c r="F5" s="298"/>
    </row>
    <row r="6" spans="1:10">
      <c r="A6" s="437" t="str">
        <f>TY</f>
        <v>FOR THE TWELVE MONTHS ENDED DECEMBER  31, 2008</v>
      </c>
      <c r="B6" s="439"/>
      <c r="C6" s="439"/>
      <c r="D6" s="439"/>
      <c r="E6" s="439"/>
      <c r="F6" s="300"/>
    </row>
    <row r="7" spans="1:10">
      <c r="A7" s="437" t="str">
        <f>GRC</f>
        <v>GENERAL RATE INCREASE</v>
      </c>
      <c r="B7" s="439"/>
      <c r="C7" s="439"/>
      <c r="D7" s="439"/>
      <c r="E7" s="439"/>
      <c r="F7" s="297"/>
    </row>
    <row r="8" spans="1:10">
      <c r="A8" s="329"/>
      <c r="B8" s="329"/>
      <c r="C8" s="329"/>
      <c r="D8" s="329"/>
      <c r="E8" s="329"/>
      <c r="F8" s="331"/>
    </row>
    <row r="9" spans="1:10">
      <c r="A9" s="440" t="s">
        <v>112</v>
      </c>
      <c r="B9" s="330"/>
      <c r="C9" s="440" t="s">
        <v>113</v>
      </c>
      <c r="D9" s="440" t="s">
        <v>114</v>
      </c>
      <c r="E9" s="329"/>
      <c r="F9" s="400"/>
    </row>
    <row r="10" spans="1:10">
      <c r="A10" s="444" t="s">
        <v>115</v>
      </c>
      <c r="B10" s="543" t="s">
        <v>116</v>
      </c>
      <c r="C10" s="334" t="s">
        <v>221</v>
      </c>
      <c r="D10" s="334" t="s">
        <v>119</v>
      </c>
      <c r="E10" s="607" t="s">
        <v>118</v>
      </c>
      <c r="F10" s="400"/>
    </row>
    <row r="11" spans="1:10">
      <c r="A11" s="326"/>
      <c r="B11" s="326"/>
      <c r="C11" s="326"/>
      <c r="D11" s="326"/>
      <c r="E11" s="326"/>
      <c r="F11" s="278"/>
    </row>
    <row r="12" spans="1:10">
      <c r="A12" s="571" t="s">
        <v>127</v>
      </c>
      <c r="B12" s="326" t="s">
        <v>124</v>
      </c>
      <c r="C12" s="337" t="s">
        <v>125</v>
      </c>
      <c r="D12" s="337" t="s">
        <v>126</v>
      </c>
      <c r="E12" s="326"/>
      <c r="F12" s="278"/>
    </row>
    <row r="13" spans="1:10">
      <c r="A13" s="571">
        <f t="shared" ref="A13:A27" si="0">1+A12</f>
        <v>2</v>
      </c>
      <c r="B13" s="608">
        <v>2004</v>
      </c>
      <c r="C13" s="480">
        <v>2215291.98</v>
      </c>
      <c r="D13" s="609">
        <v>727351085</v>
      </c>
      <c r="E13" s="610">
        <f>ROUND(C13/D13,6)</f>
        <v>3.0460000000000001E-3</v>
      </c>
      <c r="F13" s="278"/>
    </row>
    <row r="14" spans="1:10">
      <c r="A14" s="571">
        <f t="shared" si="0"/>
        <v>3</v>
      </c>
      <c r="B14" s="611">
        <v>2005</v>
      </c>
      <c r="C14" s="480">
        <v>2918686.3904000004</v>
      </c>
      <c r="D14" s="609">
        <v>1224844682</v>
      </c>
      <c r="E14" s="610">
        <f>ROUND(C14/D14,6)</f>
        <v>2.3830000000000001E-3</v>
      </c>
      <c r="F14" s="278"/>
    </row>
    <row r="15" spans="1:10">
      <c r="A15" s="571">
        <f t="shared" si="0"/>
        <v>4</v>
      </c>
      <c r="B15" s="476">
        <v>2007</v>
      </c>
      <c r="C15" s="480">
        <v>3664591.6</v>
      </c>
      <c r="D15" s="609">
        <v>1193302341</v>
      </c>
      <c r="E15" s="612">
        <f>ROUND(C15/D15,6)</f>
        <v>3.0709999999999999E-3</v>
      </c>
      <c r="F15" s="278"/>
      <c r="J15" s="326"/>
    </row>
    <row r="16" spans="1:10">
      <c r="A16" s="571">
        <f t="shared" si="0"/>
        <v>5</v>
      </c>
      <c r="B16" s="613" t="s">
        <v>133</v>
      </c>
      <c r="C16" s="614"/>
      <c r="D16" s="615"/>
      <c r="E16" s="610">
        <f>ROUND(SUM(E13:E15)/3,6)</f>
        <v>2.833E-3</v>
      </c>
      <c r="F16" s="274"/>
    </row>
    <row r="17" spans="1:6">
      <c r="A17" s="571">
        <f t="shared" si="0"/>
        <v>6</v>
      </c>
      <c r="B17" s="326"/>
      <c r="C17" s="614"/>
      <c r="D17" s="615"/>
      <c r="E17" s="326"/>
      <c r="F17" s="278"/>
    </row>
    <row r="18" spans="1:6">
      <c r="A18" s="571">
        <f>1+A17</f>
        <v>7</v>
      </c>
      <c r="B18" s="616" t="s">
        <v>137</v>
      </c>
      <c r="C18" s="326"/>
      <c r="D18" s="609">
        <f>+'EXH KBH-3 P3.1'!C15</f>
        <v>1216868256.4499998</v>
      </c>
      <c r="E18" s="326"/>
      <c r="F18" s="278"/>
    </row>
    <row r="19" spans="1:6">
      <c r="A19" s="571">
        <f>1+A18</f>
        <v>8</v>
      </c>
      <c r="B19" s="326"/>
      <c r="C19" s="326"/>
      <c r="D19" s="326"/>
      <c r="E19" s="326"/>
      <c r="F19" s="278"/>
    </row>
    <row r="20" spans="1:6">
      <c r="A20" s="571">
        <f>1+A19</f>
        <v>9</v>
      </c>
      <c r="B20" s="326" t="s">
        <v>142</v>
      </c>
      <c r="C20" s="326"/>
      <c r="D20" s="617">
        <f>E16</f>
        <v>2.833E-3</v>
      </c>
      <c r="E20" s="326"/>
      <c r="F20" s="278"/>
    </row>
    <row r="21" spans="1:6">
      <c r="A21" s="571">
        <f t="shared" si="0"/>
        <v>10</v>
      </c>
      <c r="B21" s="326" t="s">
        <v>144</v>
      </c>
      <c r="C21" s="326"/>
      <c r="D21" s="609">
        <f>D18*D20</f>
        <v>3447387.7705228496</v>
      </c>
      <c r="E21" s="326"/>
      <c r="F21" s="278"/>
    </row>
    <row r="22" spans="1:6">
      <c r="A22" s="571">
        <f t="shared" si="0"/>
        <v>11</v>
      </c>
      <c r="B22" s="326"/>
      <c r="C22" s="326"/>
      <c r="D22" s="326"/>
      <c r="E22" s="326"/>
      <c r="F22" s="278"/>
    </row>
    <row r="23" spans="1:6">
      <c r="A23" s="571">
        <f t="shared" si="0"/>
        <v>12</v>
      </c>
      <c r="B23" s="483" t="s">
        <v>147</v>
      </c>
      <c r="C23" s="326"/>
      <c r="D23" s="553">
        <v>4146730</v>
      </c>
      <c r="E23" s="326"/>
      <c r="F23" s="278"/>
    </row>
    <row r="24" spans="1:6">
      <c r="A24" s="571">
        <f>1+A23</f>
        <v>13</v>
      </c>
      <c r="B24" s="618" t="s">
        <v>134</v>
      </c>
      <c r="C24" s="326"/>
      <c r="D24" s="326"/>
      <c r="E24" s="480">
        <f>ROUND(D21-D23,0)</f>
        <v>-699342</v>
      </c>
      <c r="F24" s="278"/>
    </row>
    <row r="25" spans="1:6">
      <c r="A25" s="571">
        <f>1+A24</f>
        <v>14</v>
      </c>
      <c r="B25" s="619"/>
      <c r="C25" s="326"/>
      <c r="D25" s="326"/>
      <c r="E25" s="326"/>
      <c r="F25" s="278"/>
    </row>
    <row r="26" spans="1:6">
      <c r="A26" s="571">
        <f t="shared" si="0"/>
        <v>15</v>
      </c>
      <c r="B26" s="618" t="s">
        <v>153</v>
      </c>
      <c r="C26" s="326"/>
      <c r="D26" s="535">
        <v>0.35</v>
      </c>
      <c r="E26" s="455">
        <f>ROUND(-E24*D26,0)</f>
        <v>244770</v>
      </c>
      <c r="F26" s="278"/>
    </row>
    <row r="27" spans="1:6" ht="16.5" thickBot="1">
      <c r="A27" s="571">
        <f t="shared" si="0"/>
        <v>16</v>
      </c>
      <c r="B27" s="618" t="s">
        <v>131</v>
      </c>
      <c r="D27" s="326"/>
      <c r="E27" s="620">
        <f>-E24-E26</f>
        <v>454572</v>
      </c>
      <c r="F27" s="278"/>
    </row>
    <row r="28" spans="1:6" ht="16.5" thickTop="1">
      <c r="A28" s="552"/>
      <c r="B28" s="326"/>
      <c r="C28" s="326"/>
      <c r="D28" s="326"/>
      <c r="E28" s="326"/>
      <c r="F28" s="278"/>
    </row>
    <row r="29" spans="1:6">
      <c r="A29" s="326"/>
      <c r="B29" s="326"/>
      <c r="C29" s="326"/>
      <c r="D29" s="326"/>
      <c r="E29" s="326"/>
      <c r="F29" s="260"/>
    </row>
    <row r="30" spans="1:6">
      <c r="A30" s="326"/>
      <c r="B30" s="326"/>
      <c r="C30" s="326"/>
      <c r="D30" s="326"/>
      <c r="E30" s="326"/>
      <c r="F30" s="260"/>
    </row>
    <row r="31" spans="1:6">
      <c r="A31" s="324"/>
      <c r="B31" s="347"/>
      <c r="C31" s="347"/>
      <c r="D31" s="347"/>
      <c r="E31" s="325"/>
      <c r="F31" s="260"/>
    </row>
    <row r="32" spans="1:6">
      <c r="A32" s="324"/>
      <c r="B32" s="347"/>
      <c r="C32" s="347"/>
      <c r="D32" s="347"/>
      <c r="E32" s="347"/>
      <c r="F32" s="260"/>
    </row>
    <row r="33" spans="1:6">
      <c r="A33" s="324"/>
      <c r="B33" s="347"/>
      <c r="C33" s="347"/>
      <c r="D33" s="347"/>
      <c r="E33" s="26"/>
      <c r="F33" s="260"/>
    </row>
    <row r="34" spans="1:6">
      <c r="A34" s="324"/>
      <c r="B34" s="278"/>
      <c r="C34" s="278"/>
      <c r="D34" s="278"/>
      <c r="E34" s="26"/>
      <c r="F34" s="260"/>
    </row>
    <row r="35" spans="1:6">
      <c r="A35" s="324"/>
      <c r="B35" s="278"/>
      <c r="C35" s="278"/>
      <c r="D35" s="278"/>
      <c r="E35" s="325"/>
      <c r="F35" s="260"/>
    </row>
    <row r="36" spans="1:6">
      <c r="A36" s="278"/>
      <c r="B36" s="278"/>
      <c r="C36" s="278"/>
      <c r="D36" s="278"/>
      <c r="E36" s="278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0"/>
      <c r="D39" s="260"/>
      <c r="E39" s="264"/>
      <c r="F39" s="265"/>
    </row>
    <row r="40" spans="1:6">
      <c r="A40" s="259"/>
      <c r="B40" s="260"/>
      <c r="C40" s="260"/>
      <c r="D40" s="266"/>
      <c r="E40" s="267"/>
      <c r="F40" s="260"/>
    </row>
    <row r="41" spans="1:6">
      <c r="A41" s="259"/>
      <c r="B41" s="268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0"/>
      <c r="C43" s="260"/>
      <c r="D43" s="266"/>
      <c r="E43" s="267"/>
      <c r="F43" s="264"/>
    </row>
    <row r="44" spans="1:6">
      <c r="A44" s="259"/>
      <c r="B44" s="260"/>
      <c r="C44" s="260"/>
      <c r="D44" s="266"/>
      <c r="E44" s="267"/>
      <c r="F44" s="260"/>
    </row>
    <row r="45" spans="1:6">
      <c r="A45" s="259"/>
      <c r="B45" s="269"/>
      <c r="C45" s="269"/>
      <c r="D45" s="270"/>
      <c r="E45" s="265"/>
      <c r="F45" s="262"/>
    </row>
    <row r="46" spans="1:6">
      <c r="A46" s="259"/>
      <c r="B46" s="269"/>
      <c r="C46" s="269"/>
      <c r="D46" s="270"/>
      <c r="E46" s="271"/>
      <c r="F46" s="262"/>
    </row>
    <row r="47" spans="1:6">
      <c r="A47" s="259"/>
      <c r="B47" s="272"/>
      <c r="C47" s="269"/>
      <c r="D47" s="273"/>
      <c r="E47" s="274"/>
      <c r="F47" s="275"/>
    </row>
    <row r="48" spans="1:6">
      <c r="A48" s="259"/>
      <c r="B48" s="269"/>
      <c r="C48" s="269"/>
      <c r="D48" s="276"/>
      <c r="E48" s="274"/>
      <c r="F48" s="262"/>
    </row>
    <row r="49" spans="1:6">
      <c r="A49" s="259"/>
      <c r="B49" s="269"/>
      <c r="C49" s="269"/>
      <c r="D49" s="270"/>
      <c r="E49" s="267"/>
      <c r="F49" s="262"/>
    </row>
    <row r="50" spans="1:6">
      <c r="A50" s="259"/>
      <c r="B50" s="272"/>
      <c r="C50" s="269"/>
      <c r="D50" s="260"/>
      <c r="E50" s="274"/>
      <c r="F50" s="275"/>
    </row>
    <row r="51" spans="1:6">
      <c r="A51" s="259"/>
      <c r="B51" s="269"/>
      <c r="C51" s="269"/>
      <c r="D51" s="260"/>
      <c r="E51" s="260"/>
      <c r="F51" s="262"/>
    </row>
    <row r="52" spans="1:6">
      <c r="A52" s="259"/>
      <c r="B52" s="269"/>
      <c r="C52" s="269"/>
      <c r="D52" s="260"/>
      <c r="E52" s="274"/>
      <c r="F52" s="275"/>
    </row>
    <row r="53" spans="1:6">
      <c r="A53" s="259"/>
      <c r="B53" s="269"/>
      <c r="C53" s="269"/>
      <c r="D53" s="260"/>
      <c r="E53" s="274"/>
      <c r="F53" s="274"/>
    </row>
    <row r="54" spans="1:6">
      <c r="A54" s="259"/>
      <c r="B54" s="269"/>
      <c r="C54" s="269"/>
      <c r="D54" s="277"/>
      <c r="E54" s="274"/>
      <c r="F54" s="262"/>
    </row>
    <row r="55" spans="1:6">
      <c r="A55" s="259"/>
      <c r="B55" s="269"/>
      <c r="C55" s="269"/>
      <c r="D55" s="260"/>
      <c r="E55" s="274"/>
      <c r="F55" s="267"/>
    </row>
    <row r="56" spans="1:6">
      <c r="A56" s="259"/>
      <c r="B56" s="278"/>
      <c r="C56" s="278"/>
      <c r="D56" s="278"/>
      <c r="E56" s="278"/>
      <c r="F56" s="25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9.85546875" style="2" customWidth="1"/>
    <col min="4" max="4" width="7.28515625" style="2" customWidth="1"/>
    <col min="5" max="5" width="12.5703125" style="2" customWidth="1"/>
    <col min="6" max="6" width="14" style="2" customWidth="1"/>
    <col min="7" max="7" width="12.85546875" style="2" customWidth="1"/>
    <col min="8" max="8" width="13.42578125" style="2" customWidth="1"/>
    <col min="9" max="16384" width="9.14062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409" t="str">
        <f>Title</f>
        <v xml:space="preserve">PUGET SOUND ENERGY-GAS </v>
      </c>
      <c r="B4" s="409"/>
      <c r="C4" s="409"/>
      <c r="D4" s="409"/>
      <c r="E4" s="409"/>
      <c r="F4" s="409"/>
      <c r="G4" s="409"/>
      <c r="H4" s="409"/>
    </row>
    <row r="5" spans="1:8">
      <c r="A5" s="407" t="s">
        <v>360</v>
      </c>
      <c r="B5" s="402"/>
      <c r="C5" s="402"/>
      <c r="D5" s="402"/>
      <c r="E5" s="402"/>
      <c r="F5" s="402"/>
      <c r="G5" s="402"/>
      <c r="H5" s="402"/>
    </row>
    <row r="6" spans="1:8">
      <c r="A6" s="408" t="str">
        <f>TY</f>
        <v>FOR THE TWELVE MONTHS ENDED DECEMBER  31, 2008</v>
      </c>
      <c r="B6" s="401"/>
      <c r="C6" s="401"/>
      <c r="D6" s="401"/>
      <c r="E6" s="401"/>
      <c r="F6" s="401"/>
      <c r="G6" s="401"/>
      <c r="H6" s="401"/>
    </row>
    <row r="7" spans="1:8">
      <c r="A7" s="407" t="str">
        <f>GRC</f>
        <v>GENERAL RATE INCREASE</v>
      </c>
      <c r="B7" s="402"/>
      <c r="C7" s="402"/>
      <c r="D7" s="402"/>
      <c r="E7" s="402"/>
      <c r="F7" s="402"/>
      <c r="G7" s="402"/>
      <c r="H7" s="402"/>
    </row>
    <row r="8" spans="1:8">
      <c r="A8" s="220"/>
      <c r="B8" s="203"/>
      <c r="C8" s="203"/>
      <c r="D8" s="203"/>
      <c r="E8" s="221"/>
      <c r="F8" s="221"/>
      <c r="G8" s="221"/>
      <c r="H8" s="221"/>
    </row>
    <row r="9" spans="1:8">
      <c r="A9" s="222" t="s">
        <v>112</v>
      </c>
      <c r="B9" s="220"/>
      <c r="C9" s="203"/>
      <c r="D9" s="203"/>
      <c r="E9" s="223"/>
      <c r="F9" s="224"/>
      <c r="G9" s="223"/>
      <c r="H9" s="225"/>
    </row>
    <row r="10" spans="1:8" ht="31.5">
      <c r="A10" s="226" t="s">
        <v>115</v>
      </c>
      <c r="B10" s="227" t="s">
        <v>116</v>
      </c>
      <c r="C10" s="228"/>
      <c r="D10" s="228"/>
      <c r="E10" s="229" t="s">
        <v>341</v>
      </c>
      <c r="F10" s="226" t="s">
        <v>342</v>
      </c>
      <c r="G10" s="229" t="s">
        <v>343</v>
      </c>
      <c r="H10" s="229" t="s">
        <v>344</v>
      </c>
    </row>
    <row r="11" spans="1:8">
      <c r="A11" s="257"/>
      <c r="B11" s="203"/>
      <c r="C11" s="203"/>
      <c r="D11" s="203"/>
      <c r="E11" s="223"/>
      <c r="F11" s="230"/>
      <c r="G11" s="223"/>
      <c r="H11" s="225"/>
    </row>
    <row r="12" spans="1:8">
      <c r="A12" s="257">
        <v>1</v>
      </c>
      <c r="B12" s="231" t="s">
        <v>345</v>
      </c>
      <c r="C12" s="203"/>
      <c r="D12" s="203"/>
      <c r="E12" s="223"/>
      <c r="F12" s="232"/>
      <c r="G12" s="223"/>
      <c r="H12" s="225"/>
    </row>
    <row r="13" spans="1:8">
      <c r="A13" s="257">
        <f>A12+1</f>
        <v>2</v>
      </c>
      <c r="B13" s="203" t="s">
        <v>2</v>
      </c>
      <c r="C13" s="203"/>
      <c r="D13" s="203"/>
      <c r="E13" s="223"/>
      <c r="F13" s="203"/>
      <c r="G13" s="223"/>
      <c r="H13" s="225"/>
    </row>
    <row r="14" spans="1:8" ht="31.5">
      <c r="A14" s="257">
        <f t="shared" ref="A14:A34" si="0">A13+1</f>
        <v>3</v>
      </c>
      <c r="B14" s="233" t="s">
        <v>346</v>
      </c>
      <c r="C14" s="203"/>
      <c r="D14" s="203"/>
      <c r="E14" s="279">
        <v>92873</v>
      </c>
      <c r="F14" s="280">
        <v>557235</v>
      </c>
      <c r="G14" s="281">
        <v>1017765</v>
      </c>
      <c r="H14" s="282">
        <f>G14-E14-1</f>
        <v>924891</v>
      </c>
    </row>
    <row r="15" spans="1:8">
      <c r="A15" s="257">
        <f t="shared" si="0"/>
        <v>4</v>
      </c>
      <c r="B15" s="203" t="s">
        <v>347</v>
      </c>
      <c r="C15" s="203"/>
      <c r="D15" s="203"/>
      <c r="E15" s="236">
        <f>SUM(E14)</f>
        <v>92873</v>
      </c>
      <c r="F15" s="237">
        <f>SUM(F14)</f>
        <v>557235</v>
      </c>
      <c r="G15" s="223">
        <v>1017765</v>
      </c>
      <c r="H15" s="225">
        <f>H14</f>
        <v>924891</v>
      </c>
    </row>
    <row r="16" spans="1:8">
      <c r="A16" s="257">
        <f t="shared" si="0"/>
        <v>5</v>
      </c>
      <c r="B16" s="203"/>
      <c r="C16" s="203"/>
      <c r="D16" s="203"/>
      <c r="E16" s="223"/>
      <c r="F16" s="203"/>
      <c r="G16" s="223"/>
      <c r="H16" s="225"/>
    </row>
    <row r="17" spans="1:9">
      <c r="A17" s="257">
        <f t="shared" si="0"/>
        <v>6</v>
      </c>
      <c r="B17" s="203"/>
      <c r="C17" s="203"/>
      <c r="D17" s="203"/>
      <c r="E17" s="236"/>
      <c r="F17" s="230"/>
      <c r="G17" s="223"/>
      <c r="H17" s="225"/>
    </row>
    <row r="18" spans="1:9">
      <c r="A18" s="257">
        <f>A17+1</f>
        <v>7</v>
      </c>
      <c r="B18" s="231" t="s">
        <v>269</v>
      </c>
      <c r="C18" s="203"/>
      <c r="D18" s="203"/>
      <c r="E18" s="234"/>
      <c r="F18" s="238"/>
      <c r="G18" s="234"/>
      <c r="H18" s="235"/>
    </row>
    <row r="19" spans="1:9" ht="31.5">
      <c r="A19" s="257">
        <f t="shared" si="0"/>
        <v>8</v>
      </c>
      <c r="B19" s="233" t="s">
        <v>348</v>
      </c>
      <c r="C19" s="203"/>
      <c r="D19" s="239"/>
      <c r="E19" s="223"/>
      <c r="F19" s="203"/>
      <c r="G19" s="223"/>
      <c r="H19" s="240"/>
    </row>
    <row r="20" spans="1:9" ht="31.5">
      <c r="A20" s="257">
        <f t="shared" si="0"/>
        <v>9</v>
      </c>
      <c r="B20" s="233" t="s">
        <v>349</v>
      </c>
      <c r="C20" s="203"/>
      <c r="D20" s="203"/>
      <c r="E20" s="236">
        <v>1414931</v>
      </c>
      <c r="F20" s="283">
        <v>0</v>
      </c>
      <c r="G20" s="223">
        <v>0</v>
      </c>
      <c r="H20" s="240">
        <f>G20-E20</f>
        <v>-1414931</v>
      </c>
      <c r="I20" s="2" t="s">
        <v>461</v>
      </c>
    </row>
    <row r="21" spans="1:9">
      <c r="A21" s="257">
        <f t="shared" si="0"/>
        <v>10</v>
      </c>
      <c r="B21" s="241" t="s">
        <v>350</v>
      </c>
      <c r="C21" s="203"/>
      <c r="D21" s="203"/>
      <c r="E21" s="242">
        <v>60713</v>
      </c>
      <c r="F21" s="242">
        <v>63718</v>
      </c>
      <c r="G21" s="223">
        <v>60713</v>
      </c>
      <c r="H21" s="240">
        <f t="shared" ref="H21:H27" si="1">G21-E21</f>
        <v>0</v>
      </c>
    </row>
    <row r="22" spans="1:9">
      <c r="A22" s="257">
        <f t="shared" si="0"/>
        <v>11</v>
      </c>
      <c r="B22" s="241" t="s">
        <v>351</v>
      </c>
      <c r="C22" s="230"/>
      <c r="D22" s="203"/>
      <c r="E22" s="242">
        <v>13419246</v>
      </c>
      <c r="F22" s="242">
        <v>14114477</v>
      </c>
      <c r="G22" s="236">
        <v>13419246</v>
      </c>
      <c r="H22" s="240">
        <f t="shared" si="1"/>
        <v>0</v>
      </c>
    </row>
    <row r="23" spans="1:9">
      <c r="A23" s="257">
        <f t="shared" si="0"/>
        <v>12</v>
      </c>
      <c r="B23" s="241" t="s">
        <v>531</v>
      </c>
      <c r="C23" s="230"/>
      <c r="D23" s="239"/>
      <c r="E23" s="242">
        <v>-1301</v>
      </c>
      <c r="F23" s="242">
        <v>0</v>
      </c>
      <c r="G23" s="236">
        <v>0</v>
      </c>
      <c r="H23" s="240">
        <f t="shared" si="1"/>
        <v>1301</v>
      </c>
      <c r="I23" s="2" t="s">
        <v>462</v>
      </c>
    </row>
    <row r="24" spans="1:9" ht="31.5">
      <c r="A24" s="257">
        <f t="shared" si="0"/>
        <v>13</v>
      </c>
      <c r="B24" s="243" t="s">
        <v>352</v>
      </c>
      <c r="C24" s="230"/>
      <c r="D24" s="239"/>
      <c r="E24" s="242">
        <v>106062</v>
      </c>
      <c r="F24" s="242">
        <v>277205</v>
      </c>
      <c r="G24" s="236">
        <v>277205</v>
      </c>
      <c r="H24" s="240">
        <f t="shared" si="1"/>
        <v>171143</v>
      </c>
      <c r="I24" s="2" t="s">
        <v>462</v>
      </c>
    </row>
    <row r="25" spans="1:9">
      <c r="A25" s="257">
        <f t="shared" si="0"/>
        <v>14</v>
      </c>
      <c r="B25" s="243" t="s">
        <v>353</v>
      </c>
      <c r="C25" s="230"/>
      <c r="D25" s="237"/>
      <c r="E25" s="242">
        <v>888289</v>
      </c>
      <c r="F25" s="242">
        <v>1233184</v>
      </c>
      <c r="G25" s="236">
        <v>1233184</v>
      </c>
      <c r="H25" s="240">
        <f t="shared" si="1"/>
        <v>344895</v>
      </c>
      <c r="I25" s="2" t="s">
        <v>462</v>
      </c>
    </row>
    <row r="26" spans="1:9">
      <c r="A26" s="257">
        <f t="shared" si="0"/>
        <v>15</v>
      </c>
      <c r="B26" s="233" t="s">
        <v>354</v>
      </c>
      <c r="C26" s="230"/>
      <c r="D26" s="239"/>
      <c r="E26" s="244">
        <v>7193</v>
      </c>
      <c r="F26" s="242">
        <v>0</v>
      </c>
      <c r="G26" s="236">
        <v>0</v>
      </c>
      <c r="H26" s="240">
        <f t="shared" si="1"/>
        <v>-7193</v>
      </c>
      <c r="I26" s="2" t="s">
        <v>462</v>
      </c>
    </row>
    <row r="27" spans="1:9">
      <c r="A27" s="257">
        <f t="shared" si="0"/>
        <v>16</v>
      </c>
      <c r="B27" s="233" t="s">
        <v>355</v>
      </c>
      <c r="C27" s="230"/>
      <c r="D27" s="203"/>
      <c r="E27" s="244">
        <v>7394</v>
      </c>
      <c r="F27" s="242">
        <v>0</v>
      </c>
      <c r="G27" s="245">
        <v>0</v>
      </c>
      <c r="H27" s="246">
        <f t="shared" si="1"/>
        <v>-7394</v>
      </c>
      <c r="I27" s="2" t="s">
        <v>462</v>
      </c>
    </row>
    <row r="28" spans="1:9">
      <c r="A28" s="257">
        <f t="shared" si="0"/>
        <v>17</v>
      </c>
      <c r="B28" s="247" t="s">
        <v>356</v>
      </c>
      <c r="C28" s="230"/>
      <c r="D28" s="203"/>
      <c r="E28" s="248">
        <f>SUM(E20:E27)</f>
        <v>15902527</v>
      </c>
      <c r="F28" s="249">
        <f>SUM(F19:F27)</f>
        <v>15688584</v>
      </c>
      <c r="G28" s="236">
        <f>SUM(G20:G27)</f>
        <v>14990348</v>
      </c>
      <c r="H28" s="236">
        <f>SUM(H20:H27)</f>
        <v>-912179</v>
      </c>
    </row>
    <row r="29" spans="1:9">
      <c r="A29" s="257">
        <f t="shared" si="0"/>
        <v>18</v>
      </c>
      <c r="B29" s="203"/>
      <c r="C29" s="230"/>
      <c r="D29" s="230"/>
      <c r="E29" s="236"/>
      <c r="F29" s="236"/>
      <c r="G29" s="236"/>
      <c r="H29" s="250"/>
    </row>
    <row r="30" spans="1:9">
      <c r="A30" s="257">
        <f t="shared" si="0"/>
        <v>19</v>
      </c>
      <c r="B30" s="251" t="s">
        <v>357</v>
      </c>
      <c r="C30" s="203"/>
      <c r="D30" s="203"/>
      <c r="E30" s="223"/>
      <c r="F30" s="223"/>
      <c r="G30" s="223"/>
      <c r="H30" s="225">
        <f>-H15+H28</f>
        <v>-1837070</v>
      </c>
    </row>
    <row r="31" spans="1:9">
      <c r="A31" s="257">
        <f t="shared" si="0"/>
        <v>20</v>
      </c>
      <c r="B31" s="236" t="s">
        <v>358</v>
      </c>
      <c r="C31" s="203"/>
      <c r="D31" s="203"/>
      <c r="E31" s="252"/>
      <c r="F31" s="253">
        <v>0.35</v>
      </c>
      <c r="G31" s="223"/>
      <c r="H31" s="225">
        <f>H30*-F31</f>
        <v>642974.5</v>
      </c>
    </row>
    <row r="32" spans="1:9">
      <c r="A32" s="257">
        <f t="shared" si="0"/>
        <v>21</v>
      </c>
      <c r="B32" s="203"/>
      <c r="C32" s="203"/>
      <c r="D32" s="203"/>
      <c r="E32" s="252"/>
      <c r="F32" s="252"/>
      <c r="G32" s="223"/>
      <c r="H32" s="225"/>
    </row>
    <row r="33" spans="1:8">
      <c r="A33" s="257">
        <f t="shared" si="0"/>
        <v>22</v>
      </c>
      <c r="B33" s="254" t="s">
        <v>359</v>
      </c>
      <c r="C33" s="203"/>
      <c r="D33" s="203"/>
      <c r="E33" s="255"/>
      <c r="F33" s="255"/>
      <c r="G33" s="223"/>
      <c r="H33" s="235">
        <f>-H30-H31</f>
        <v>1194095.5</v>
      </c>
    </row>
    <row r="34" spans="1:8">
      <c r="A34" s="257">
        <f t="shared" si="0"/>
        <v>23</v>
      </c>
      <c r="B34" s="203"/>
      <c r="C34" s="203"/>
      <c r="D34" s="203"/>
      <c r="E34" s="252"/>
      <c r="F34" s="252"/>
      <c r="G34" s="223"/>
      <c r="H34" s="225"/>
    </row>
    <row r="35" spans="1:8" s="18" customFormat="1">
      <c r="A35" s="373"/>
      <c r="B35" s="374"/>
      <c r="C35" s="374"/>
      <c r="D35" s="374"/>
      <c r="E35" s="375"/>
      <c r="F35" s="374"/>
      <c r="G35" s="376"/>
      <c r="H35" s="263"/>
    </row>
    <row r="36" spans="1:8" s="18" customFormat="1">
      <c r="A36" s="373"/>
      <c r="B36" s="374"/>
      <c r="C36" s="374"/>
      <c r="D36" s="374"/>
      <c r="E36" s="376"/>
      <c r="F36" s="376"/>
      <c r="G36" s="376"/>
      <c r="H36" s="263"/>
    </row>
    <row r="37" spans="1:8" s="18" customFormat="1">
      <c r="A37" s="373"/>
      <c r="B37" s="256"/>
      <c r="C37" s="374"/>
      <c r="D37" s="374"/>
      <c r="E37" s="376"/>
      <c r="F37" s="376"/>
      <c r="G37" s="376"/>
      <c r="H37" s="263"/>
    </row>
    <row r="38" spans="1:8">
      <c r="A38" s="257"/>
      <c r="B38" s="258"/>
      <c r="C38" s="203"/>
      <c r="D38" s="203"/>
      <c r="E38" s="223"/>
      <c r="F38" s="223"/>
      <c r="G38" s="223"/>
      <c r="H38" s="225"/>
    </row>
    <row r="39" spans="1:8">
      <c r="A39" s="259"/>
      <c r="B39" s="260"/>
      <c r="C39" s="261"/>
      <c r="D39" s="262"/>
      <c r="E39" s="263"/>
      <c r="F39" s="260"/>
    </row>
    <row r="40" spans="1:8">
      <c r="A40" s="259"/>
      <c r="B40" s="260"/>
      <c r="C40" s="260"/>
      <c r="D40" s="260"/>
      <c r="E40" s="264"/>
      <c r="F40" s="265"/>
    </row>
    <row r="41" spans="1:8">
      <c r="A41" s="259"/>
      <c r="B41" s="260"/>
      <c r="C41" s="260"/>
      <c r="D41" s="266"/>
      <c r="E41" s="267"/>
      <c r="F41" s="260"/>
    </row>
    <row r="42" spans="1:8">
      <c r="A42" s="259"/>
      <c r="B42" s="268"/>
      <c r="C42" s="260"/>
      <c r="D42" s="266"/>
      <c r="E42" s="267"/>
      <c r="F42" s="260"/>
    </row>
    <row r="43" spans="1:8">
      <c r="A43" s="259"/>
      <c r="B43" s="268"/>
      <c r="C43" s="260"/>
      <c r="D43" s="266"/>
      <c r="E43" s="267"/>
      <c r="F43" s="260"/>
    </row>
    <row r="44" spans="1:8">
      <c r="A44" s="259"/>
      <c r="B44" s="260"/>
      <c r="C44" s="260"/>
      <c r="D44" s="266"/>
      <c r="E44" s="267"/>
      <c r="F44" s="264"/>
    </row>
    <row r="45" spans="1:8">
      <c r="A45" s="259"/>
      <c r="B45" s="260"/>
      <c r="C45" s="260"/>
      <c r="D45" s="266"/>
      <c r="E45" s="267"/>
      <c r="F45" s="260"/>
    </row>
    <row r="46" spans="1:8">
      <c r="A46" s="259"/>
      <c r="B46" s="269"/>
      <c r="C46" s="269"/>
      <c r="D46" s="270"/>
      <c r="E46" s="265"/>
      <c r="F46" s="262"/>
    </row>
    <row r="47" spans="1:8">
      <c r="A47" s="259"/>
      <c r="B47" s="269"/>
      <c r="C47" s="269"/>
      <c r="D47" s="270"/>
      <c r="E47" s="271"/>
      <c r="F47" s="262"/>
    </row>
    <row r="48" spans="1:8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4">
    <mergeCell ref="A5:H5"/>
    <mergeCell ref="A6:H6"/>
    <mergeCell ref="A4:H4"/>
    <mergeCell ref="A7:H7"/>
  </mergeCells>
  <pageMargins left="0.7" right="0.7" top="0.75" bottom="0.75" header="0.75" footer="0.3"/>
  <pageSetup scale="69" orientation="portrait" r:id="rId1"/>
  <headerFooter>
    <oddHeader>&amp;R&amp;"Times New Roman,Regular"&amp;12EXHIBIT KHB-3
Page 3.14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.285156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587" t="str">
        <f>Title</f>
        <v xml:space="preserve">PUGET SOUND ENERGY-GAS </v>
      </c>
      <c r="B4" s="402"/>
      <c r="C4" s="402"/>
      <c r="D4" s="402"/>
      <c r="E4" s="402"/>
      <c r="F4" s="402"/>
    </row>
    <row r="5" spans="1:6">
      <c r="A5" s="554" t="s">
        <v>366</v>
      </c>
      <c r="B5" s="554"/>
      <c r="C5" s="554"/>
      <c r="D5" s="554"/>
      <c r="E5" s="554"/>
      <c r="F5" s="297"/>
    </row>
    <row r="6" spans="1:6">
      <c r="A6" s="439" t="str">
        <f>TY</f>
        <v>FOR THE TWELVE MONTHS ENDED DECEMBER  31, 2008</v>
      </c>
      <c r="B6" s="439"/>
      <c r="C6" s="439"/>
      <c r="D6" s="439"/>
      <c r="E6" s="439"/>
      <c r="F6" s="298"/>
    </row>
    <row r="7" spans="1:6">
      <c r="A7" s="437" t="str">
        <f>GRC</f>
        <v>GENERAL RATE INCREASE</v>
      </c>
      <c r="B7" s="437"/>
      <c r="C7" s="437"/>
      <c r="D7" s="437"/>
      <c r="E7" s="437"/>
      <c r="F7" s="300"/>
    </row>
    <row r="8" spans="1:6">
      <c r="A8" s="588"/>
      <c r="B8" s="589"/>
      <c r="C8" s="589"/>
      <c r="D8" s="589"/>
      <c r="E8" s="589"/>
      <c r="F8" s="589"/>
    </row>
    <row r="9" spans="1:6">
      <c r="A9" s="230"/>
      <c r="B9" s="256"/>
      <c r="C9" s="203"/>
      <c r="D9" s="203"/>
      <c r="E9" s="223"/>
      <c r="F9" s="223"/>
    </row>
    <row r="10" spans="1:6">
      <c r="A10" s="230"/>
      <c r="B10" s="256"/>
      <c r="C10" s="203"/>
      <c r="D10" s="203"/>
      <c r="E10" s="223"/>
      <c r="F10" s="223"/>
    </row>
    <row r="11" spans="1:6">
      <c r="A11" s="590" t="s">
        <v>365</v>
      </c>
      <c r="B11" s="590"/>
      <c r="C11" s="590"/>
      <c r="D11" s="590"/>
      <c r="E11" s="590"/>
      <c r="F11" s="590"/>
    </row>
    <row r="12" spans="1:6">
      <c r="A12" s="203"/>
      <c r="B12" s="203"/>
      <c r="C12" s="203"/>
      <c r="D12" s="203"/>
      <c r="E12" s="203"/>
      <c r="F12" s="203"/>
    </row>
    <row r="13" spans="1:6">
      <c r="A13" s="591"/>
      <c r="B13" s="592" t="s">
        <v>116</v>
      </c>
      <c r="C13" s="591"/>
      <c r="D13" s="593" t="s">
        <v>120</v>
      </c>
    </row>
    <row r="14" spans="1:6">
      <c r="A14" s="594"/>
      <c r="B14" s="594"/>
      <c r="C14" s="594"/>
      <c r="D14" s="594"/>
    </row>
    <row r="15" spans="1:6">
      <c r="A15" s="595">
        <v>1</v>
      </c>
      <c r="B15" s="596" t="s">
        <v>361</v>
      </c>
      <c r="C15" s="597"/>
      <c r="D15" s="597">
        <v>10262423</v>
      </c>
    </row>
    <row r="16" spans="1:6">
      <c r="A16" s="595">
        <v>2</v>
      </c>
      <c r="B16" s="598" t="s">
        <v>362</v>
      </c>
      <c r="C16" s="599"/>
      <c r="D16" s="599">
        <v>10262423</v>
      </c>
    </row>
    <row r="17" spans="1:6">
      <c r="A17" s="595">
        <v>3</v>
      </c>
      <c r="B17" s="598" t="s">
        <v>363</v>
      </c>
      <c r="C17" s="600"/>
      <c r="D17" s="600">
        <f>D15-D16</f>
        <v>0</v>
      </c>
    </row>
    <row r="18" spans="1:6">
      <c r="A18" s="595">
        <v>4</v>
      </c>
      <c r="B18" s="598"/>
      <c r="C18" s="600"/>
      <c r="D18" s="600"/>
    </row>
    <row r="19" spans="1:6">
      <c r="A19" s="595">
        <v>5</v>
      </c>
      <c r="B19" s="601" t="s">
        <v>364</v>
      </c>
      <c r="C19" s="594"/>
      <c r="D19" s="602">
        <f>D17</f>
        <v>0</v>
      </c>
    </row>
    <row r="20" spans="1:6">
      <c r="A20" s="595">
        <v>6</v>
      </c>
      <c r="B20" s="598" t="s">
        <v>316</v>
      </c>
      <c r="C20" s="603">
        <v>0.35</v>
      </c>
      <c r="D20" s="599">
        <f>-D19*C20</f>
        <v>0</v>
      </c>
    </row>
    <row r="21" spans="1:6">
      <c r="A21" s="595">
        <v>7</v>
      </c>
      <c r="B21" s="598" t="s">
        <v>317</v>
      </c>
      <c r="C21" s="604"/>
      <c r="D21" s="605">
        <f>-D19-D20</f>
        <v>0</v>
      </c>
    </row>
    <row r="22" spans="1:6">
      <c r="A22" s="203"/>
      <c r="B22" s="203"/>
      <c r="C22" s="203"/>
      <c r="D22" s="203"/>
    </row>
    <row r="23" spans="1:6">
      <c r="A23" s="230"/>
      <c r="B23" s="203"/>
      <c r="C23" s="203"/>
      <c r="D23" s="203"/>
      <c r="E23" s="252"/>
      <c r="F23" s="606"/>
    </row>
    <row r="24" spans="1:6">
      <c r="A24" s="230"/>
      <c r="B24" s="203"/>
      <c r="C24" s="203"/>
      <c r="D24" s="203"/>
      <c r="E24" s="223"/>
      <c r="F24" s="223"/>
    </row>
    <row r="25" spans="1:6">
      <c r="A25" s="230"/>
      <c r="B25" s="256"/>
      <c r="C25" s="203"/>
      <c r="D25" s="203"/>
      <c r="E25" s="223"/>
      <c r="F25" s="223"/>
    </row>
    <row r="26" spans="1:6">
      <c r="A26" s="203"/>
      <c r="B26" s="203"/>
      <c r="C26" s="203"/>
      <c r="D26" s="203"/>
      <c r="E26" s="203"/>
      <c r="F26" s="203"/>
    </row>
    <row r="27" spans="1:6">
      <c r="A27" s="259"/>
      <c r="B27" s="260"/>
      <c r="C27" s="260"/>
      <c r="D27" s="260"/>
      <c r="E27" s="264"/>
      <c r="F27" s="265"/>
    </row>
    <row r="28" spans="1:6">
      <c r="A28" s="259"/>
      <c r="B28" s="260"/>
      <c r="C28" s="260"/>
      <c r="D28" s="266"/>
      <c r="E28" s="267"/>
      <c r="F28" s="260"/>
    </row>
    <row r="29" spans="1:6">
      <c r="A29" s="259"/>
      <c r="B29" s="268"/>
      <c r="C29" s="260"/>
      <c r="D29" s="266"/>
      <c r="E29" s="267"/>
      <c r="F29" s="260"/>
    </row>
    <row r="30" spans="1:6">
      <c r="A30" s="259"/>
      <c r="B30" s="268"/>
      <c r="C30" s="260"/>
      <c r="D30" s="266"/>
      <c r="E30" s="267"/>
      <c r="F30" s="260"/>
    </row>
    <row r="31" spans="1:6">
      <c r="A31" s="259"/>
      <c r="B31" s="260"/>
      <c r="C31" s="260"/>
      <c r="D31" s="266"/>
      <c r="E31" s="267"/>
      <c r="F31" s="264"/>
    </row>
    <row r="32" spans="1:6">
      <c r="A32" s="259"/>
      <c r="B32" s="260"/>
      <c r="C32" s="260"/>
      <c r="D32" s="266"/>
      <c r="E32" s="267"/>
      <c r="F32" s="260"/>
    </row>
    <row r="33" spans="1:6">
      <c r="A33" s="259"/>
      <c r="B33" s="269"/>
      <c r="C33" s="269"/>
      <c r="D33" s="270"/>
      <c r="E33" s="265"/>
      <c r="F33" s="262"/>
    </row>
    <row r="34" spans="1:6">
      <c r="A34" s="259"/>
      <c r="B34" s="269"/>
      <c r="C34" s="269"/>
      <c r="D34" s="270"/>
      <c r="E34" s="271"/>
      <c r="F34" s="262"/>
    </row>
    <row r="35" spans="1:6">
      <c r="A35" s="259"/>
      <c r="B35" s="272"/>
      <c r="C35" s="269"/>
      <c r="D35" s="273"/>
      <c r="E35" s="274"/>
      <c r="F35" s="275"/>
    </row>
    <row r="36" spans="1:6">
      <c r="A36" s="259"/>
      <c r="B36" s="269"/>
      <c r="C36" s="269"/>
      <c r="D36" s="276"/>
      <c r="E36" s="274"/>
      <c r="F36" s="262"/>
    </row>
    <row r="37" spans="1:6">
      <c r="A37" s="259"/>
      <c r="B37" s="269"/>
      <c r="C37" s="269"/>
      <c r="D37" s="270"/>
      <c r="E37" s="267"/>
      <c r="F37" s="262"/>
    </row>
    <row r="38" spans="1:6">
      <c r="A38" s="259"/>
      <c r="B38" s="272"/>
      <c r="C38" s="269"/>
      <c r="D38" s="260"/>
      <c r="E38" s="274"/>
      <c r="F38" s="275"/>
    </row>
    <row r="39" spans="1:6">
      <c r="A39" s="259"/>
      <c r="B39" s="269"/>
      <c r="C39" s="269"/>
      <c r="D39" s="260"/>
      <c r="E39" s="260"/>
      <c r="F39" s="262"/>
    </row>
    <row r="40" spans="1:6">
      <c r="A40" s="259"/>
      <c r="B40" s="269"/>
      <c r="C40" s="269"/>
      <c r="D40" s="260"/>
      <c r="E40" s="274"/>
      <c r="F40" s="275"/>
    </row>
    <row r="41" spans="1:6">
      <c r="A41" s="259"/>
      <c r="B41" s="269"/>
      <c r="C41" s="269"/>
      <c r="D41" s="260"/>
      <c r="E41" s="274"/>
      <c r="F41" s="274"/>
    </row>
    <row r="42" spans="1:6">
      <c r="A42" s="259"/>
      <c r="B42" s="269"/>
      <c r="C42" s="269"/>
      <c r="D42" s="277"/>
      <c r="E42" s="274"/>
      <c r="F42" s="262"/>
    </row>
    <row r="43" spans="1:6">
      <c r="A43" s="259"/>
      <c r="B43" s="269"/>
      <c r="C43" s="269"/>
      <c r="D43" s="260"/>
      <c r="E43" s="274"/>
      <c r="F43" s="267"/>
    </row>
    <row r="44" spans="1:6">
      <c r="A44" s="259"/>
      <c r="B44" s="278"/>
      <c r="C44" s="278"/>
      <c r="D44" s="278"/>
      <c r="E44" s="278"/>
      <c r="F44" s="259"/>
    </row>
  </sheetData>
  <mergeCells count="1">
    <mergeCell ref="A4:F4"/>
  </mergeCells>
  <pageMargins left="0.7" right="0.7" top="0.75" bottom="0.75" header="0.75" footer="0.3"/>
  <pageSetup scale="93" orientation="portrait" r:id="rId1"/>
  <headerFooter>
    <oddHeader>&amp;R&amp;"Times New Roman,Regular"&amp;12EXHIBIT KHB-3
Page 3.15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114" t="str">
        <f>Title</f>
        <v xml:space="preserve">PUGET SOUND ENERGY-GAS </v>
      </c>
      <c r="B4" s="115"/>
      <c r="C4" s="115"/>
      <c r="D4" s="115"/>
      <c r="E4" s="213"/>
      <c r="F4" s="193"/>
    </row>
    <row r="5" spans="1:6">
      <c r="A5" s="114" t="s">
        <v>372</v>
      </c>
      <c r="B5" s="284"/>
      <c r="C5" s="284"/>
      <c r="D5" s="284"/>
      <c r="E5" s="193"/>
      <c r="F5" s="194"/>
    </row>
    <row r="6" spans="1:6">
      <c r="A6" s="115" t="str">
        <f>TY</f>
        <v>FOR THE TWELVE MONTHS ENDED DECEMBER  31, 2008</v>
      </c>
      <c r="B6" s="157"/>
      <c r="C6" s="157"/>
      <c r="D6" s="157"/>
      <c r="E6" s="192"/>
      <c r="F6" s="195"/>
    </row>
    <row r="7" spans="1:6">
      <c r="A7" s="406" t="str">
        <f>GRC</f>
        <v>GENERAL RATE INCREASE</v>
      </c>
      <c r="B7" s="405"/>
      <c r="C7" s="405"/>
      <c r="D7" s="405"/>
      <c r="E7" s="405"/>
      <c r="F7" s="405"/>
    </row>
    <row r="8" spans="1:6">
      <c r="A8" s="116"/>
      <c r="B8" s="116"/>
      <c r="C8" s="116"/>
      <c r="D8" s="116"/>
      <c r="E8" s="214"/>
      <c r="F8" s="136"/>
    </row>
    <row r="9" spans="1:6">
      <c r="A9" s="119" t="s">
        <v>112</v>
      </c>
      <c r="B9" s="116"/>
      <c r="C9" s="116"/>
      <c r="D9" s="116"/>
      <c r="E9" s="128"/>
      <c r="F9" s="196"/>
    </row>
    <row r="10" spans="1:6">
      <c r="A10" s="120" t="s">
        <v>115</v>
      </c>
      <c r="B10" s="141" t="s">
        <v>116</v>
      </c>
      <c r="C10" s="141"/>
      <c r="D10" s="127" t="s">
        <v>118</v>
      </c>
      <c r="E10" s="209"/>
      <c r="F10" s="196"/>
    </row>
    <row r="11" spans="1:6">
      <c r="A11" s="117"/>
      <c r="B11" s="117"/>
      <c r="C11" s="117"/>
      <c r="D11" s="117"/>
      <c r="E11" s="129"/>
      <c r="F11" s="137"/>
    </row>
    <row r="12" spans="1:6">
      <c r="A12" s="118">
        <v>1</v>
      </c>
      <c r="B12" s="285" t="s">
        <v>367</v>
      </c>
      <c r="C12" s="285"/>
      <c r="D12" s="207">
        <v>45358666.643284008</v>
      </c>
      <c r="E12" s="129"/>
      <c r="F12" s="137"/>
    </row>
    <row r="13" spans="1:6">
      <c r="A13" s="118">
        <v>2</v>
      </c>
      <c r="B13" s="286" t="s">
        <v>368</v>
      </c>
      <c r="C13" s="286"/>
      <c r="D13" s="287">
        <v>46425020.933284</v>
      </c>
      <c r="E13" s="211"/>
      <c r="F13" s="137"/>
    </row>
    <row r="14" spans="1:6">
      <c r="A14" s="118">
        <v>3</v>
      </c>
      <c r="B14" s="288" t="s">
        <v>369</v>
      </c>
      <c r="C14" s="288"/>
      <c r="D14" s="289">
        <f>D12-D13</f>
        <v>-1066354.2899999917</v>
      </c>
      <c r="E14" s="211"/>
      <c r="F14" s="137"/>
    </row>
    <row r="15" spans="1:6">
      <c r="A15" s="118">
        <v>4</v>
      </c>
      <c r="B15" s="117"/>
      <c r="C15" s="117"/>
      <c r="D15" s="122"/>
      <c r="E15" s="211"/>
      <c r="F15" s="137"/>
    </row>
    <row r="16" spans="1:6">
      <c r="A16" s="118">
        <v>5</v>
      </c>
      <c r="B16" s="290" t="s">
        <v>370</v>
      </c>
      <c r="C16" s="290"/>
      <c r="D16" s="121">
        <v>2377938.2584000002</v>
      </c>
      <c r="E16" s="211"/>
      <c r="F16" s="133"/>
    </row>
    <row r="17" spans="1:6">
      <c r="A17" s="118">
        <v>6</v>
      </c>
      <c r="B17" s="286" t="s">
        <v>368</v>
      </c>
      <c r="C17" s="286"/>
      <c r="D17" s="287">
        <v>2377938</v>
      </c>
      <c r="E17" s="215"/>
      <c r="F17" s="137"/>
    </row>
    <row r="18" spans="1:6">
      <c r="A18" s="118">
        <v>7</v>
      </c>
      <c r="B18" s="291" t="s">
        <v>371</v>
      </c>
      <c r="C18" s="291"/>
      <c r="D18" s="292">
        <f>D16-D17</f>
        <v>0.25840000016614795</v>
      </c>
      <c r="E18" s="208"/>
      <c r="F18" s="137"/>
    </row>
    <row r="19" spans="1:6">
      <c r="A19" s="118">
        <v>8</v>
      </c>
      <c r="B19" s="117"/>
      <c r="C19" s="117"/>
      <c r="D19" s="117"/>
      <c r="E19" s="208"/>
      <c r="F19" s="137"/>
    </row>
    <row r="20" spans="1:6">
      <c r="A20" s="118">
        <v>9</v>
      </c>
      <c r="B20" s="117" t="s">
        <v>363</v>
      </c>
      <c r="C20" s="117"/>
      <c r="D20" s="121">
        <f>(D14+D18)</f>
        <v>-1066354.0315999915</v>
      </c>
      <c r="E20" s="211"/>
      <c r="F20" s="137"/>
    </row>
    <row r="21" spans="1:6">
      <c r="A21" s="118">
        <v>10</v>
      </c>
      <c r="B21" s="117"/>
      <c r="C21" s="117"/>
      <c r="D21" s="117"/>
      <c r="E21" s="211"/>
      <c r="F21" s="137"/>
    </row>
    <row r="22" spans="1:6">
      <c r="A22" s="118">
        <v>11</v>
      </c>
      <c r="B22" s="117" t="s">
        <v>295</v>
      </c>
      <c r="C22" s="293">
        <f>FIT</f>
        <v>0.35</v>
      </c>
      <c r="D22" s="294">
        <f>-D20*C22</f>
        <v>373223.91105999699</v>
      </c>
      <c r="E22" s="211"/>
      <c r="F22" s="137"/>
    </row>
    <row r="23" spans="1:6" ht="16.5" thickBot="1">
      <c r="A23" s="118">
        <v>12</v>
      </c>
      <c r="B23" s="117" t="s">
        <v>317</v>
      </c>
      <c r="C23" s="117"/>
      <c r="D23" s="295">
        <f>-D20-D22</f>
        <v>693130.12053999444</v>
      </c>
      <c r="E23" s="215"/>
      <c r="F23" s="137"/>
    </row>
    <row r="24" spans="1:6" ht="16.5" thickTop="1">
      <c r="A24" s="210"/>
      <c r="B24" s="208"/>
      <c r="C24" s="208"/>
      <c r="D24" s="208"/>
      <c r="E24" s="208"/>
      <c r="F24" s="137"/>
    </row>
    <row r="25" spans="1:6">
      <c r="A25" s="210"/>
      <c r="B25" s="212"/>
      <c r="C25" s="208"/>
      <c r="D25" s="208"/>
      <c r="E25" s="208"/>
      <c r="F25" s="137"/>
    </row>
    <row r="26" spans="1:6">
      <c r="A26" s="210"/>
      <c r="B26" s="138"/>
      <c r="C26" s="208"/>
      <c r="D26" s="208"/>
      <c r="E26" s="211"/>
      <c r="F26" s="137"/>
    </row>
    <row r="27" spans="1:6">
      <c r="A27" s="210"/>
      <c r="B27" s="138"/>
      <c r="C27" s="208"/>
      <c r="D27" s="208"/>
      <c r="E27" s="211"/>
      <c r="F27" s="137"/>
    </row>
    <row r="28" spans="1:6">
      <c r="A28" s="210"/>
      <c r="B28" s="138"/>
      <c r="C28" s="208"/>
      <c r="D28" s="208"/>
      <c r="E28" s="211"/>
      <c r="F28" s="137"/>
    </row>
    <row r="29" spans="1:6">
      <c r="A29" s="210"/>
      <c r="B29" s="138"/>
      <c r="C29" s="208"/>
      <c r="D29" s="208"/>
      <c r="E29" s="211"/>
      <c r="F29" s="130"/>
    </row>
    <row r="30" spans="1:6">
      <c r="A30" s="210"/>
      <c r="B30" s="130"/>
      <c r="C30" s="208"/>
      <c r="D30" s="208"/>
      <c r="E30" s="208"/>
      <c r="F30" s="130"/>
    </row>
    <row r="31" spans="1:6">
      <c r="A31" s="210"/>
      <c r="B31" s="208"/>
      <c r="C31" s="208"/>
      <c r="D31" s="208"/>
      <c r="E31" s="215"/>
      <c r="F31" s="130"/>
    </row>
    <row r="32" spans="1:6">
      <c r="A32" s="210"/>
      <c r="B32" s="208"/>
      <c r="C32" s="208"/>
      <c r="D32" s="208"/>
      <c r="E32" s="208"/>
      <c r="F32" s="130"/>
    </row>
    <row r="33" spans="1:6">
      <c r="A33" s="210"/>
      <c r="B33" s="208"/>
      <c r="C33" s="208"/>
      <c r="D33" s="208"/>
      <c r="E33" s="211"/>
      <c r="F33" s="130"/>
    </row>
    <row r="34" spans="1:6">
      <c r="A34" s="210"/>
      <c r="B34" s="137"/>
      <c r="C34" s="137"/>
      <c r="D34" s="137"/>
      <c r="E34" s="211"/>
      <c r="F34" s="130"/>
    </row>
    <row r="35" spans="1:6">
      <c r="A35" s="210"/>
      <c r="B35" s="137"/>
      <c r="C35" s="137"/>
      <c r="D35" s="137"/>
      <c r="E35" s="215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9"/>
      <c r="D38" s="123"/>
      <c r="E38" s="197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80"/>
      <c r="C40" s="180"/>
      <c r="D40" s="181"/>
      <c r="E40" s="36"/>
      <c r="F40" s="130"/>
    </row>
    <row r="41" spans="1:6">
      <c r="A41" s="135"/>
      <c r="B41" s="182"/>
      <c r="C41" s="180"/>
      <c r="D41" s="181"/>
      <c r="E41" s="36"/>
      <c r="F41" s="130"/>
    </row>
    <row r="42" spans="1:6">
      <c r="A42" s="135"/>
      <c r="B42" s="182"/>
      <c r="C42" s="180"/>
      <c r="D42" s="181"/>
      <c r="E42" s="36"/>
      <c r="F42" s="130"/>
    </row>
    <row r="43" spans="1:6">
      <c r="A43" s="135"/>
      <c r="B43" s="180"/>
      <c r="C43" s="180"/>
      <c r="D43" s="181"/>
      <c r="E43" s="36"/>
      <c r="F43" s="129"/>
    </row>
    <row r="44" spans="1:6">
      <c r="A44" s="135"/>
      <c r="B44" s="180"/>
      <c r="C44" s="180"/>
      <c r="D44" s="181"/>
      <c r="E44" s="36"/>
      <c r="F44" s="130"/>
    </row>
    <row r="45" spans="1:6">
      <c r="A45" s="135"/>
      <c r="B45" s="138"/>
      <c r="C45" s="138"/>
      <c r="D45" s="198"/>
      <c r="E45" s="131"/>
      <c r="F45" s="123"/>
    </row>
    <row r="46" spans="1:6">
      <c r="A46" s="135"/>
      <c r="B46" s="138"/>
      <c r="C46" s="138"/>
      <c r="D46" s="198"/>
      <c r="E46" s="139"/>
      <c r="F46" s="123"/>
    </row>
    <row r="47" spans="1:6">
      <c r="A47" s="135"/>
      <c r="B47" s="199"/>
      <c r="C47" s="138"/>
      <c r="D47" s="200"/>
      <c r="E47" s="133"/>
      <c r="F47" s="38"/>
    </row>
    <row r="48" spans="1:6">
      <c r="A48" s="135"/>
      <c r="B48" s="138"/>
      <c r="C48" s="138"/>
      <c r="D48" s="201"/>
      <c r="E48" s="133"/>
      <c r="F48" s="123"/>
    </row>
    <row r="49" spans="1:6">
      <c r="A49" s="135"/>
      <c r="B49" s="138"/>
      <c r="C49" s="138"/>
      <c r="D49" s="198"/>
      <c r="E49" s="36"/>
      <c r="F49" s="123"/>
    </row>
    <row r="50" spans="1:6">
      <c r="A50" s="135"/>
      <c r="B50" s="199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202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mergeCells count="1">
    <mergeCell ref="A7:F7"/>
  </mergeCells>
  <pageMargins left="0.7" right="0.7" top="0.75" bottom="0.75" header="0.75" footer="0.3"/>
  <pageSetup scale="93" orientation="portrait" r:id="rId1"/>
  <headerFooter>
    <oddHeader>&amp;R&amp;"Times New Roman,Regular"&amp;12EXHIBIT KHB-3
Page 3.16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zoomScale="75" zoomScaleNormal="75" workbookViewId="0">
      <selection activeCell="B42" sqref="B42"/>
    </sheetView>
  </sheetViews>
  <sheetFormatPr defaultColWidth="9.140625" defaultRowHeight="15.75"/>
  <cols>
    <col min="1" max="1" width="9.140625" style="2"/>
    <col min="2" max="2" width="7.85546875" style="2" customWidth="1"/>
    <col min="3" max="3" width="28.85546875" style="2" customWidth="1"/>
    <col min="4" max="4" width="19.140625" style="2" customWidth="1"/>
    <col min="5" max="5" width="5.5703125" style="2" customWidth="1"/>
    <col min="6" max="6" width="12" style="2" customWidth="1"/>
    <col min="7" max="7" width="6" style="2" customWidth="1"/>
    <col min="8" max="8" width="15.28515625" style="2" customWidth="1"/>
    <col min="9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413" t="str">
        <f>Title</f>
        <v xml:space="preserve">PUGET SOUND ENERGY-GAS </v>
      </c>
      <c r="B4" s="405"/>
      <c r="C4" s="405"/>
      <c r="D4" s="405"/>
      <c r="E4" s="405"/>
      <c r="F4" s="405"/>
      <c r="G4" s="405"/>
      <c r="H4" s="405"/>
    </row>
    <row r="5" spans="1:9">
      <c r="A5" s="414" t="s">
        <v>383</v>
      </c>
      <c r="B5" s="405"/>
      <c r="C5" s="405"/>
      <c r="D5" s="405"/>
      <c r="E5" s="405"/>
      <c r="F5" s="405"/>
      <c r="G5" s="405"/>
      <c r="H5" s="405"/>
    </row>
    <row r="6" spans="1:9">
      <c r="A6" s="415" t="str">
        <f>TY</f>
        <v>FOR THE TWELVE MONTHS ENDED DECEMBER  31, 2008</v>
      </c>
      <c r="B6" s="405"/>
      <c r="C6" s="405"/>
      <c r="D6" s="405"/>
      <c r="E6" s="405"/>
      <c r="F6" s="405"/>
      <c r="G6" s="405"/>
      <c r="H6" s="405"/>
    </row>
    <row r="7" spans="1:9">
      <c r="A7" s="411" t="str">
        <f>GRC</f>
        <v>GENERAL RATE INCREASE</v>
      </c>
      <c r="B7" s="412"/>
      <c r="C7" s="412"/>
      <c r="D7" s="412"/>
      <c r="E7" s="412"/>
      <c r="F7" s="412"/>
      <c r="G7" s="412"/>
      <c r="H7" s="412"/>
    </row>
    <row r="10" spans="1:9">
      <c r="A10" s="301" t="s">
        <v>373</v>
      </c>
    </row>
    <row r="11" spans="1:9">
      <c r="A11" s="18">
        <v>1</v>
      </c>
    </row>
    <row r="12" spans="1:9">
      <c r="A12" s="302">
        <v>2</v>
      </c>
      <c r="F12" s="303" t="s">
        <v>374</v>
      </c>
      <c r="G12" s="304"/>
      <c r="H12" s="303" t="s">
        <v>365</v>
      </c>
    </row>
    <row r="13" spans="1:9">
      <c r="A13" s="18">
        <v>3</v>
      </c>
    </row>
    <row r="14" spans="1:9" ht="18.75">
      <c r="A14" s="18">
        <v>4</v>
      </c>
      <c r="B14" s="302"/>
      <c r="C14" s="305" t="s">
        <v>375</v>
      </c>
      <c r="D14" s="306"/>
      <c r="E14" s="307"/>
      <c r="F14" s="308"/>
      <c r="G14" s="309"/>
      <c r="H14" s="310"/>
      <c r="I14" s="311"/>
    </row>
    <row r="15" spans="1:9" ht="18.75">
      <c r="A15" s="302">
        <v>5</v>
      </c>
      <c r="B15" s="302"/>
      <c r="C15" s="302"/>
      <c r="D15" s="312"/>
      <c r="E15" s="307"/>
      <c r="F15" s="308"/>
      <c r="G15" s="309"/>
      <c r="H15" s="310"/>
      <c r="I15" s="311"/>
    </row>
    <row r="16" spans="1:9" ht="18.75">
      <c r="A16" s="18">
        <v>6</v>
      </c>
      <c r="B16" s="302"/>
      <c r="C16" s="302" t="s">
        <v>376</v>
      </c>
      <c r="D16" s="313">
        <v>0.40949999999999998</v>
      </c>
      <c r="E16" s="307"/>
      <c r="F16" s="308">
        <v>433404</v>
      </c>
      <c r="G16" s="314">
        <v>1</v>
      </c>
      <c r="H16" s="308">
        <f>F16</f>
        <v>433404</v>
      </c>
      <c r="I16" s="311"/>
    </row>
    <row r="17" spans="1:9" ht="18.75">
      <c r="A17" s="18">
        <v>7</v>
      </c>
      <c r="B17" s="302"/>
      <c r="C17" s="302" t="s">
        <v>377</v>
      </c>
      <c r="D17" s="302"/>
      <c r="E17" s="307"/>
      <c r="F17" s="315">
        <v>214240</v>
      </c>
      <c r="G17" s="314">
        <v>2</v>
      </c>
      <c r="H17" s="315">
        <v>107120</v>
      </c>
      <c r="I17" s="311">
        <v>3</v>
      </c>
    </row>
    <row r="18" spans="1:9" ht="18.75">
      <c r="A18" s="302">
        <v>8</v>
      </c>
      <c r="B18" s="302"/>
      <c r="C18" s="302" t="s">
        <v>183</v>
      </c>
      <c r="D18" s="306"/>
      <c r="E18" s="307"/>
      <c r="F18" s="308">
        <f>F17-F16</f>
        <v>-219164</v>
      </c>
      <c r="G18" s="309"/>
      <c r="H18" s="586">
        <f>H17-H16</f>
        <v>-326284</v>
      </c>
      <c r="I18" s="311"/>
    </row>
    <row r="19" spans="1:9" ht="18.75">
      <c r="A19" s="18">
        <v>9</v>
      </c>
      <c r="B19" s="302"/>
      <c r="C19" s="302"/>
      <c r="D19" s="306"/>
      <c r="E19" s="307"/>
      <c r="F19" s="308"/>
      <c r="G19" s="309"/>
      <c r="H19" s="308"/>
      <c r="I19" s="311"/>
    </row>
    <row r="20" spans="1:9" ht="18.75">
      <c r="A20" s="18">
        <v>10</v>
      </c>
      <c r="B20" s="302"/>
      <c r="C20" s="302" t="s">
        <v>17</v>
      </c>
      <c r="D20" s="306">
        <v>0.35</v>
      </c>
      <c r="E20" s="307"/>
      <c r="F20" s="315">
        <f>-F18*D20</f>
        <v>76707.399999999994</v>
      </c>
      <c r="G20" s="309"/>
      <c r="H20" s="315">
        <f>-H18*D20</f>
        <v>114199.4</v>
      </c>
      <c r="I20" s="311"/>
    </row>
    <row r="21" spans="1:9" ht="18.75">
      <c r="A21" s="302">
        <v>11</v>
      </c>
      <c r="B21" s="302"/>
      <c r="C21" s="302"/>
      <c r="D21" s="306"/>
      <c r="E21" s="307"/>
      <c r="F21" s="308"/>
      <c r="G21" s="309"/>
      <c r="H21" s="308"/>
      <c r="I21" s="311"/>
    </row>
    <row r="22" spans="1:9" ht="19.5" thickBot="1">
      <c r="A22" s="18">
        <v>12</v>
      </c>
      <c r="B22" s="302"/>
      <c r="C22" s="302" t="s">
        <v>378</v>
      </c>
      <c r="D22" s="306"/>
      <c r="E22" s="307"/>
      <c r="F22" s="316">
        <f>F18+F20</f>
        <v>-142456.6</v>
      </c>
      <c r="G22" s="309"/>
      <c r="H22" s="316">
        <f>H18+H20</f>
        <v>-212084.6</v>
      </c>
      <c r="I22" s="311"/>
    </row>
    <row r="23" spans="1:9" ht="19.5" thickTop="1">
      <c r="A23" s="18">
        <v>13</v>
      </c>
      <c r="B23" s="302"/>
      <c r="C23" s="317"/>
      <c r="D23" s="317"/>
      <c r="E23" s="318"/>
      <c r="F23" s="302"/>
      <c r="G23" s="319"/>
      <c r="H23" s="302"/>
      <c r="I23" s="311"/>
    </row>
    <row r="24" spans="1:9" ht="19.5" thickBot="1">
      <c r="A24" s="302">
        <v>14</v>
      </c>
      <c r="B24" s="302"/>
      <c r="C24" s="302" t="s">
        <v>379</v>
      </c>
      <c r="D24" s="302">
        <v>0.62189099999999997</v>
      </c>
      <c r="E24" s="318"/>
      <c r="F24" s="316">
        <f>F22/D24</f>
        <v>-229070.04603700651</v>
      </c>
      <c r="G24" s="320"/>
      <c r="H24" s="316">
        <f>H22/D24</f>
        <v>-341031.78852885799</v>
      </c>
      <c r="I24" s="311"/>
    </row>
    <row r="25" spans="1:9" ht="16.5" thickTop="1"/>
    <row r="26" spans="1:9">
      <c r="A26" s="302"/>
      <c r="B26" s="302"/>
      <c r="C26" s="302"/>
      <c r="D26" s="302"/>
      <c r="E26" s="318"/>
      <c r="F26" s="302"/>
      <c r="G26" s="321"/>
      <c r="H26" s="302"/>
      <c r="I26" s="310"/>
    </row>
    <row r="27" spans="1:9">
      <c r="A27" s="302"/>
      <c r="B27" s="302"/>
      <c r="C27" s="302"/>
      <c r="D27" s="302"/>
      <c r="E27" s="318"/>
      <c r="F27" s="302"/>
      <c r="G27" s="321"/>
      <c r="H27" s="302"/>
      <c r="I27" s="310"/>
    </row>
    <row r="30" spans="1:9" ht="18.75">
      <c r="A30" s="302"/>
      <c r="B30" s="302"/>
      <c r="C30" s="302"/>
      <c r="D30" s="302"/>
      <c r="E30" s="322">
        <v>1</v>
      </c>
      <c r="F30" s="410" t="s">
        <v>380</v>
      </c>
      <c r="G30" s="410"/>
      <c r="H30" s="410"/>
      <c r="I30" s="310"/>
    </row>
    <row r="31" spans="1:9" ht="18.75">
      <c r="A31" s="302"/>
      <c r="B31" s="302"/>
      <c r="C31" s="302"/>
      <c r="D31" s="302"/>
      <c r="E31" s="322">
        <v>2</v>
      </c>
      <c r="F31" s="323" t="s">
        <v>381</v>
      </c>
      <c r="G31" s="321"/>
      <c r="H31" s="302"/>
      <c r="I31" s="310"/>
    </row>
    <row r="32" spans="1:9" ht="18.75">
      <c r="A32" s="302"/>
      <c r="B32" s="302"/>
      <c r="C32" s="302"/>
      <c r="D32" s="302"/>
      <c r="E32" s="322">
        <v>3</v>
      </c>
      <c r="F32" s="323" t="s">
        <v>382</v>
      </c>
      <c r="G32" s="321"/>
      <c r="H32" s="302"/>
      <c r="I32" s="310"/>
    </row>
    <row r="33" spans="1:6" ht="18.75">
      <c r="E33" s="314"/>
      <c r="F33" s="323"/>
    </row>
    <row r="34" spans="1:6" ht="18.75">
      <c r="E34" s="314"/>
      <c r="F34" s="323"/>
    </row>
    <row r="35" spans="1:6">
      <c r="A35" s="324"/>
      <c r="B35" s="278"/>
      <c r="C35" s="278"/>
      <c r="D35" s="278"/>
      <c r="E35" s="325"/>
      <c r="F35" s="260"/>
    </row>
    <row r="36" spans="1:6">
      <c r="A36" s="278"/>
      <c r="B36" s="278"/>
      <c r="C36" s="278"/>
      <c r="D36" s="278"/>
      <c r="E36" s="278"/>
      <c r="F36" s="260"/>
    </row>
    <row r="37" spans="1:6">
      <c r="A37" s="326"/>
      <c r="B37" s="326"/>
      <c r="C37" s="326"/>
      <c r="D37" s="326"/>
      <c r="E37" s="326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0"/>
      <c r="D39" s="260"/>
      <c r="E39" s="264"/>
      <c r="F39" s="265"/>
    </row>
    <row r="40" spans="1:6">
      <c r="A40" s="259"/>
      <c r="B40" s="260"/>
      <c r="C40" s="260"/>
      <c r="D40" s="266"/>
      <c r="E40" s="267"/>
      <c r="F40" s="260"/>
    </row>
    <row r="41" spans="1:6">
      <c r="A41" s="259"/>
      <c r="B41" s="268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0"/>
      <c r="C43" s="260"/>
      <c r="D43" s="266"/>
      <c r="E43" s="267"/>
      <c r="F43" s="264"/>
    </row>
    <row r="44" spans="1:6">
      <c r="A44" s="259"/>
      <c r="B44" s="260"/>
      <c r="C44" s="260"/>
      <c r="D44" s="266"/>
      <c r="E44" s="267"/>
      <c r="F44" s="260"/>
    </row>
    <row r="45" spans="1:6">
      <c r="A45" s="259"/>
      <c r="B45" s="269"/>
      <c r="C45" s="269"/>
      <c r="D45" s="270"/>
      <c r="E45" s="265"/>
      <c r="F45" s="262"/>
    </row>
    <row r="46" spans="1:6">
      <c r="A46" s="259"/>
      <c r="B46" s="269"/>
      <c r="C46" s="269"/>
      <c r="D46" s="270"/>
      <c r="E46" s="271"/>
      <c r="F46" s="262"/>
    </row>
    <row r="47" spans="1:6">
      <c r="A47" s="259"/>
      <c r="B47" s="272"/>
      <c r="C47" s="269"/>
      <c r="D47" s="273"/>
      <c r="E47" s="274"/>
      <c r="F47" s="275"/>
    </row>
    <row r="48" spans="1:6">
      <c r="A48" s="259"/>
      <c r="B48" s="269"/>
      <c r="C48" s="269"/>
      <c r="D48" s="276"/>
      <c r="E48" s="274"/>
      <c r="F48" s="262"/>
    </row>
    <row r="49" spans="1:6">
      <c r="A49" s="259"/>
      <c r="B49" s="269"/>
      <c r="C49" s="269"/>
      <c r="D49" s="270"/>
      <c r="E49" s="267"/>
      <c r="F49" s="262"/>
    </row>
    <row r="50" spans="1:6">
      <c r="A50" s="259"/>
      <c r="B50" s="272"/>
      <c r="C50" s="269"/>
      <c r="D50" s="260"/>
      <c r="E50" s="274"/>
      <c r="F50" s="275"/>
    </row>
    <row r="51" spans="1:6">
      <c r="A51" s="259"/>
      <c r="B51" s="269"/>
      <c r="C51" s="269"/>
      <c r="D51" s="260"/>
      <c r="E51" s="260"/>
      <c r="F51" s="262"/>
    </row>
    <row r="52" spans="1:6">
      <c r="A52" s="259"/>
      <c r="B52" s="269"/>
      <c r="C52" s="269"/>
      <c r="D52" s="260"/>
      <c r="E52" s="274"/>
      <c r="F52" s="275"/>
    </row>
    <row r="53" spans="1:6">
      <c r="A53" s="259"/>
      <c r="B53" s="269"/>
      <c r="C53" s="269"/>
      <c r="D53" s="260"/>
      <c r="E53" s="274"/>
      <c r="F53" s="274"/>
    </row>
    <row r="54" spans="1:6">
      <c r="A54" s="259"/>
      <c r="B54" s="269"/>
      <c r="C54" s="269"/>
      <c r="D54" s="277"/>
      <c r="E54" s="274"/>
      <c r="F54" s="262"/>
    </row>
    <row r="55" spans="1:6">
      <c r="A55" s="259"/>
      <c r="B55" s="269"/>
      <c r="C55" s="269"/>
      <c r="D55" s="260"/>
      <c r="E55" s="274"/>
      <c r="F55" s="267"/>
    </row>
    <row r="56" spans="1:6">
      <c r="A56" s="259"/>
      <c r="B56" s="278"/>
      <c r="C56" s="278"/>
      <c r="D56" s="278"/>
      <c r="E56" s="278"/>
      <c r="F56" s="259"/>
    </row>
  </sheetData>
  <mergeCells count="5">
    <mergeCell ref="F30:H30"/>
    <mergeCell ref="A7:H7"/>
    <mergeCell ref="A4:H4"/>
    <mergeCell ref="A5:H5"/>
    <mergeCell ref="A6:H6"/>
  </mergeCells>
  <pageMargins left="0.7" right="0.7" top="0.75" bottom="0.75" header="0.75" footer="0.3"/>
  <pageSetup scale="80" orientation="portrait" r:id="rId1"/>
  <headerFooter>
    <oddHeader>&amp;R&amp;"Times New Roman,Regular"&amp;12EXHIBIT KHB-3
Page 3.17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topLeftCell="A6"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5.140625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27" t="s">
        <v>222</v>
      </c>
      <c r="B4" s="327"/>
      <c r="C4" s="327"/>
      <c r="D4" s="327"/>
      <c r="E4" s="296"/>
      <c r="F4" s="297"/>
    </row>
    <row r="5" spans="1:6">
      <c r="A5" s="328" t="s">
        <v>388</v>
      </c>
      <c r="B5" s="328"/>
      <c r="C5" s="328"/>
      <c r="D5" s="328"/>
      <c r="E5" s="297"/>
      <c r="F5" s="298"/>
    </row>
    <row r="6" spans="1:6">
      <c r="A6" s="328" t="s">
        <v>384</v>
      </c>
      <c r="B6" s="328"/>
      <c r="C6" s="328"/>
      <c r="D6" s="328"/>
      <c r="E6" s="299"/>
      <c r="F6" s="300"/>
    </row>
    <row r="7" spans="1:6">
      <c r="A7" s="416" t="s">
        <v>385</v>
      </c>
      <c r="B7" s="402"/>
      <c r="C7" s="402"/>
      <c r="D7" s="402"/>
      <c r="E7" s="402"/>
      <c r="F7" s="402"/>
    </row>
    <row r="8" spans="1:6">
      <c r="A8" s="329"/>
      <c r="B8" s="330"/>
      <c r="C8" s="329"/>
      <c r="D8" s="329"/>
      <c r="E8" s="377"/>
      <c r="F8" s="331"/>
    </row>
    <row r="9" spans="1:6">
      <c r="A9" s="332" t="s">
        <v>112</v>
      </c>
      <c r="B9" s="329"/>
      <c r="C9" s="329"/>
      <c r="D9" s="329"/>
      <c r="E9" s="333"/>
      <c r="F9" s="378"/>
    </row>
    <row r="10" spans="1:6">
      <c r="A10" s="334" t="s">
        <v>115</v>
      </c>
      <c r="B10" s="335" t="s">
        <v>116</v>
      </c>
      <c r="C10" s="336"/>
      <c r="D10" s="301"/>
      <c r="E10" s="334" t="s">
        <v>118</v>
      </c>
      <c r="F10" s="378"/>
    </row>
    <row r="11" spans="1:6">
      <c r="A11" s="326"/>
      <c r="B11" s="326"/>
      <c r="C11" s="326"/>
      <c r="E11" s="326"/>
      <c r="F11" s="278"/>
    </row>
    <row r="12" spans="1:6">
      <c r="A12" s="337">
        <v>1</v>
      </c>
      <c r="B12" s="338" t="s">
        <v>386</v>
      </c>
      <c r="C12" s="338"/>
      <c r="E12" s="325">
        <v>30273.092195121953</v>
      </c>
      <c r="F12" s="278"/>
    </row>
    <row r="13" spans="1:6">
      <c r="A13" s="339">
        <v>2</v>
      </c>
      <c r="B13" s="340"/>
      <c r="C13" s="340"/>
      <c r="E13" s="340"/>
      <c r="F13" s="278"/>
    </row>
    <row r="14" spans="1:6" ht="16.5" thickBot="1">
      <c r="A14" s="339">
        <v>3</v>
      </c>
      <c r="B14" s="341" t="s">
        <v>131</v>
      </c>
      <c r="C14" s="341"/>
      <c r="E14" s="342">
        <v>-30273.092195121953</v>
      </c>
      <c r="F14" s="278"/>
    </row>
    <row r="15" spans="1:6" ht="16.5" thickTop="1">
      <c r="A15" s="339">
        <v>4</v>
      </c>
      <c r="B15" s="343"/>
      <c r="C15" s="343"/>
      <c r="E15" s="343"/>
      <c r="F15" s="278"/>
    </row>
    <row r="16" spans="1:6">
      <c r="A16" s="339">
        <v>5</v>
      </c>
      <c r="B16" s="345" t="s">
        <v>525</v>
      </c>
      <c r="C16" s="345"/>
      <c r="E16" s="394">
        <v>-6973755.5683333296</v>
      </c>
      <c r="F16" s="274"/>
    </row>
    <row r="17" spans="1:6">
      <c r="A17" s="339">
        <v>6</v>
      </c>
      <c r="B17" s="345" t="s">
        <v>526</v>
      </c>
      <c r="C17" s="345"/>
      <c r="E17" s="395">
        <v>1628997.9547713771</v>
      </c>
      <c r="F17" s="278"/>
    </row>
    <row r="18" spans="1:6" ht="16.5" thickBot="1">
      <c r="A18" s="339">
        <v>7</v>
      </c>
      <c r="B18" s="344" t="s">
        <v>387</v>
      </c>
      <c r="C18" s="345"/>
      <c r="E18" s="346">
        <v>-5344757.6135619525</v>
      </c>
      <c r="F18" s="278"/>
    </row>
    <row r="19" spans="1:6" ht="16.5" thickTop="1">
      <c r="A19" s="324"/>
      <c r="B19" s="348"/>
      <c r="C19" s="347"/>
      <c r="D19" s="347"/>
      <c r="E19" s="347"/>
      <c r="F19" s="278"/>
    </row>
    <row r="20" spans="1:6">
      <c r="A20" s="324"/>
      <c r="B20" s="349"/>
      <c r="C20" s="347"/>
      <c r="D20" s="350"/>
      <c r="E20" s="26"/>
      <c r="F20" s="278"/>
    </row>
    <row r="21" spans="1:6">
      <c r="A21" s="324"/>
      <c r="B21" s="347"/>
      <c r="C21" s="347"/>
      <c r="D21" s="350"/>
      <c r="E21" s="26"/>
      <c r="F21" s="278"/>
    </row>
    <row r="22" spans="1:6">
      <c r="A22" s="324"/>
      <c r="B22" s="347"/>
      <c r="C22" s="347"/>
      <c r="D22" s="350"/>
      <c r="E22" s="26"/>
      <c r="F22" s="278"/>
    </row>
    <row r="23" spans="1:6">
      <c r="A23" s="324"/>
      <c r="B23" s="347"/>
      <c r="C23" s="347"/>
      <c r="D23" s="351"/>
      <c r="E23" s="325"/>
      <c r="F23" s="278"/>
    </row>
    <row r="24" spans="1:6">
      <c r="A24" s="324"/>
      <c r="B24" s="347"/>
      <c r="C24" s="347"/>
      <c r="D24" s="347"/>
      <c r="E24" s="347"/>
      <c r="F24" s="278"/>
    </row>
    <row r="25" spans="1:6">
      <c r="A25" s="324"/>
      <c r="B25" s="348"/>
      <c r="C25" s="347"/>
      <c r="D25" s="347"/>
      <c r="E25" s="347"/>
      <c r="F25" s="278"/>
    </row>
    <row r="26" spans="1:6">
      <c r="A26" s="324"/>
      <c r="B26" s="269"/>
      <c r="C26" s="347"/>
      <c r="D26" s="347"/>
      <c r="E26" s="26"/>
      <c r="F26" s="278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60"/>
    </row>
    <row r="30" spans="1:6">
      <c r="A30" s="324"/>
      <c r="B30" s="260"/>
      <c r="C30" s="347"/>
      <c r="D30" s="347"/>
      <c r="E30" s="347"/>
      <c r="F30" s="260"/>
    </row>
    <row r="31" spans="1:6">
      <c r="A31" s="324"/>
      <c r="B31" s="347"/>
      <c r="C31" s="347"/>
      <c r="D31" s="347"/>
      <c r="E31" s="325"/>
      <c r="F31" s="260"/>
    </row>
    <row r="32" spans="1:6">
      <c r="A32" s="324"/>
      <c r="B32" s="347"/>
      <c r="C32" s="347"/>
      <c r="D32" s="347"/>
      <c r="E32" s="347"/>
      <c r="F32" s="260"/>
    </row>
    <row r="33" spans="1:6">
      <c r="A33" s="324"/>
      <c r="B33" s="347"/>
      <c r="C33" s="347"/>
      <c r="D33" s="347"/>
      <c r="E33" s="26"/>
      <c r="F33" s="260"/>
    </row>
    <row r="34" spans="1:6">
      <c r="A34" s="324"/>
      <c r="B34" s="278"/>
      <c r="C34" s="278"/>
      <c r="D34" s="278"/>
      <c r="E34" s="26"/>
      <c r="F34" s="260"/>
    </row>
    <row r="35" spans="1:6">
      <c r="A35" s="324"/>
      <c r="B35" s="278"/>
      <c r="C35" s="278"/>
      <c r="D35" s="278"/>
      <c r="E35" s="325"/>
      <c r="F35" s="260"/>
    </row>
    <row r="36" spans="1:6">
      <c r="A36" s="278"/>
      <c r="B36" s="278"/>
      <c r="C36" s="278"/>
      <c r="D36" s="278"/>
      <c r="E36" s="278"/>
      <c r="F36" s="260"/>
    </row>
    <row r="37" spans="1:6">
      <c r="A37" s="326"/>
      <c r="B37" s="326"/>
      <c r="C37" s="326"/>
      <c r="D37" s="326"/>
      <c r="E37" s="326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0"/>
      <c r="D39" s="260"/>
      <c r="E39" s="264"/>
      <c r="F39" s="265"/>
    </row>
    <row r="40" spans="1:6">
      <c r="A40" s="259"/>
      <c r="B40" s="260"/>
      <c r="C40" s="260"/>
      <c r="D40" s="266"/>
      <c r="E40" s="267"/>
      <c r="F40" s="260"/>
    </row>
    <row r="41" spans="1:6">
      <c r="A41" s="259"/>
      <c r="B41" s="268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0"/>
      <c r="C43" s="260"/>
      <c r="D43" s="266"/>
      <c r="E43" s="267"/>
      <c r="F43" s="264"/>
    </row>
    <row r="44" spans="1:6">
      <c r="A44" s="259"/>
      <c r="B44" s="260"/>
      <c r="C44" s="260"/>
      <c r="D44" s="266"/>
      <c r="E44" s="267"/>
      <c r="F44" s="260"/>
    </row>
    <row r="45" spans="1:6">
      <c r="A45" s="259"/>
      <c r="B45" s="269"/>
      <c r="C45" s="269"/>
      <c r="D45" s="270"/>
      <c r="E45" s="265"/>
      <c r="F45" s="262"/>
    </row>
    <row r="46" spans="1:6">
      <c r="A46" s="259"/>
      <c r="B46" s="269"/>
      <c r="C46" s="269"/>
      <c r="D46" s="270"/>
      <c r="E46" s="271"/>
      <c r="F46" s="262"/>
    </row>
    <row r="47" spans="1:6">
      <c r="A47" s="259"/>
      <c r="B47" s="272"/>
      <c r="C47" s="269"/>
      <c r="D47" s="273"/>
      <c r="E47" s="274"/>
      <c r="F47" s="275"/>
    </row>
    <row r="48" spans="1:6">
      <c r="A48" s="259"/>
      <c r="B48" s="269"/>
      <c r="C48" s="269"/>
      <c r="D48" s="276"/>
      <c r="E48" s="274"/>
      <c r="F48" s="262"/>
    </row>
    <row r="49" spans="1:6">
      <c r="A49" s="259"/>
      <c r="B49" s="269"/>
      <c r="C49" s="269"/>
      <c r="D49" s="270"/>
      <c r="E49" s="267"/>
      <c r="F49" s="262"/>
    </row>
    <row r="50" spans="1:6">
      <c r="A50" s="259"/>
      <c r="B50" s="272"/>
      <c r="C50" s="269"/>
      <c r="D50" s="260"/>
      <c r="E50" s="274"/>
      <c r="F50" s="275"/>
    </row>
    <row r="51" spans="1:6">
      <c r="A51" s="259"/>
      <c r="B51" s="269"/>
      <c r="C51" s="269"/>
      <c r="D51" s="260"/>
      <c r="E51" s="260"/>
      <c r="F51" s="262"/>
    </row>
    <row r="52" spans="1:6">
      <c r="A52" s="259"/>
      <c r="B52" s="269"/>
      <c r="C52" s="269"/>
      <c r="D52" s="260"/>
      <c r="E52" s="274"/>
      <c r="F52" s="275"/>
    </row>
    <row r="53" spans="1:6">
      <c r="A53" s="259"/>
      <c r="B53" s="269"/>
      <c r="C53" s="269"/>
      <c r="D53" s="260"/>
      <c r="E53" s="274"/>
      <c r="F53" s="274"/>
    </row>
    <row r="54" spans="1:6">
      <c r="A54" s="259"/>
      <c r="B54" s="269"/>
      <c r="C54" s="269"/>
      <c r="D54" s="277"/>
      <c r="E54" s="274"/>
      <c r="F54" s="262"/>
    </row>
    <row r="55" spans="1:6">
      <c r="A55" s="259"/>
      <c r="B55" s="269"/>
      <c r="C55" s="269"/>
      <c r="D55" s="260"/>
      <c r="E55" s="274"/>
      <c r="F55" s="267"/>
    </row>
    <row r="56" spans="1:6">
      <c r="A56" s="259"/>
      <c r="B56" s="278"/>
      <c r="C56" s="278"/>
      <c r="D56" s="278"/>
      <c r="E56" s="278"/>
      <c r="F56" s="259"/>
    </row>
  </sheetData>
  <mergeCells count="1">
    <mergeCell ref="A7:F7"/>
  </mergeCells>
  <pageMargins left="0.7" right="0.7" top="0.75" bottom="0.75" header="0.75" footer="0.3"/>
  <pageSetup scale="83" orientation="portrait" r:id="rId1"/>
  <headerFooter>
    <oddHeader>&amp;R&amp;"Times New Roman,Regular"&amp;12EXHIBIT KHB-3
Page 3.18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55.28515625" style="2" bestFit="1" customWidth="1"/>
    <col min="3" max="3" width="22" style="2" customWidth="1"/>
    <col min="4" max="4" width="19.140625" style="2" customWidth="1"/>
    <col min="5" max="5" width="1.8554687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399"/>
      <c r="B4" s="396"/>
      <c r="C4" s="396"/>
      <c r="D4" s="396"/>
      <c r="E4" s="396"/>
      <c r="F4" s="396"/>
    </row>
    <row r="5" spans="1:6">
      <c r="A5" s="437" t="str">
        <f>Title</f>
        <v xml:space="preserve">PUGET SOUND ENERGY-GAS </v>
      </c>
      <c r="B5" s="439"/>
      <c r="C5" s="439"/>
      <c r="D5" s="439"/>
      <c r="E5" s="296"/>
      <c r="F5" s="297"/>
    </row>
    <row r="6" spans="1:6">
      <c r="A6" s="439" t="s">
        <v>392</v>
      </c>
      <c r="B6" s="439"/>
      <c r="C6" s="439"/>
      <c r="D6" s="489"/>
      <c r="E6" s="297"/>
      <c r="F6" s="298"/>
    </row>
    <row r="7" spans="1:6">
      <c r="A7" s="439" t="str">
        <f>TY</f>
        <v>FOR THE TWELVE MONTHS ENDED DECEMBER  31, 2008</v>
      </c>
      <c r="B7" s="437"/>
      <c r="C7" s="439"/>
      <c r="D7" s="490"/>
      <c r="E7" s="299"/>
      <c r="F7" s="300"/>
    </row>
    <row r="8" spans="1:6">
      <c r="A8" s="555" t="str">
        <f>GRC</f>
        <v>GENERAL RATE INCREASE</v>
      </c>
      <c r="B8" s="402"/>
      <c r="C8" s="402"/>
      <c r="D8" s="402"/>
      <c r="E8" s="402"/>
      <c r="F8" s="402"/>
    </row>
    <row r="9" spans="1:6">
      <c r="A9" s="329"/>
      <c r="B9" s="329"/>
      <c r="C9" s="329"/>
      <c r="D9" s="329"/>
      <c r="E9" s="399"/>
      <c r="F9" s="331"/>
    </row>
    <row r="10" spans="1:6">
      <c r="A10" s="332" t="s">
        <v>112</v>
      </c>
      <c r="B10" s="329"/>
      <c r="C10" s="329"/>
      <c r="D10" s="329"/>
      <c r="E10" s="333"/>
      <c r="F10" s="400"/>
    </row>
    <row r="11" spans="1:6">
      <c r="A11" s="334" t="s">
        <v>115</v>
      </c>
      <c r="B11" s="543" t="s">
        <v>116</v>
      </c>
      <c r="C11" s="335"/>
      <c r="D11" s="334" t="s">
        <v>118</v>
      </c>
      <c r="E11" s="557"/>
      <c r="F11" s="400"/>
    </row>
    <row r="12" spans="1:6">
      <c r="A12" s="326"/>
      <c r="B12" s="326"/>
      <c r="C12" s="326"/>
      <c r="D12" s="326"/>
      <c r="E12" s="264"/>
      <c r="F12" s="278"/>
    </row>
    <row r="13" spans="1:6">
      <c r="A13" s="571">
        <v>1</v>
      </c>
      <c r="B13" s="483" t="s">
        <v>389</v>
      </c>
      <c r="C13" s="572"/>
      <c r="D13" s="573"/>
      <c r="E13" s="264"/>
      <c r="F13" s="278"/>
    </row>
    <row r="14" spans="1:6">
      <c r="A14" s="571">
        <f t="shared" ref="A14:A26" si="0">+A13+1</f>
        <v>2</v>
      </c>
      <c r="B14" s="483"/>
      <c r="C14" s="572"/>
      <c r="D14" s="573"/>
      <c r="E14" s="26"/>
      <c r="F14" s="278"/>
    </row>
    <row r="15" spans="1:6" ht="16.5" thickBot="1">
      <c r="A15" s="571">
        <f t="shared" si="0"/>
        <v>3</v>
      </c>
      <c r="B15" s="483" t="s">
        <v>390</v>
      </c>
      <c r="C15" s="574">
        <v>1139000</v>
      </c>
      <c r="D15" s="575"/>
      <c r="E15" s="26"/>
      <c r="F15" s="278"/>
    </row>
    <row r="16" spans="1:6" ht="16.5" thickTop="1">
      <c r="A16" s="571">
        <f t="shared" si="0"/>
        <v>4</v>
      </c>
      <c r="B16" s="483"/>
      <c r="C16" s="572"/>
      <c r="D16" s="573"/>
      <c r="E16" s="26"/>
      <c r="F16" s="278"/>
    </row>
    <row r="17" spans="1:6">
      <c r="A17" s="571">
        <f t="shared" si="0"/>
        <v>5</v>
      </c>
      <c r="B17" s="576" t="s">
        <v>463</v>
      </c>
      <c r="C17" s="563">
        <f>C15/2</f>
        <v>569500</v>
      </c>
      <c r="D17" s="477"/>
      <c r="E17" s="26"/>
      <c r="F17" s="274"/>
    </row>
    <row r="18" spans="1:6">
      <c r="A18" s="571">
        <f t="shared" si="0"/>
        <v>6</v>
      </c>
      <c r="B18" s="577" t="s">
        <v>391</v>
      </c>
      <c r="C18" s="563">
        <v>806359</v>
      </c>
      <c r="D18" s="477"/>
      <c r="E18" s="325"/>
      <c r="F18" s="278"/>
    </row>
    <row r="19" spans="1:6">
      <c r="A19" s="571">
        <f t="shared" si="0"/>
        <v>7</v>
      </c>
      <c r="B19" s="577"/>
      <c r="C19" s="578"/>
      <c r="D19" s="573"/>
      <c r="E19" s="347"/>
      <c r="F19" s="278"/>
    </row>
    <row r="20" spans="1:6" ht="16.5" thickBot="1">
      <c r="A20" s="571">
        <f t="shared" si="0"/>
        <v>8</v>
      </c>
      <c r="B20" s="483" t="s">
        <v>134</v>
      </c>
      <c r="C20" s="574">
        <f>C17-C18</f>
        <v>-236859</v>
      </c>
      <c r="D20" s="563">
        <f>C20</f>
        <v>-236859</v>
      </c>
      <c r="E20" s="347"/>
      <c r="F20" s="278"/>
    </row>
    <row r="21" spans="1:6" ht="16.5" thickTop="1">
      <c r="A21" s="571">
        <f t="shared" si="0"/>
        <v>9</v>
      </c>
      <c r="B21" s="483"/>
      <c r="C21" s="579"/>
      <c r="D21" s="580"/>
      <c r="E21" s="26"/>
      <c r="F21" s="278"/>
    </row>
    <row r="22" spans="1:6">
      <c r="A22" s="571">
        <f t="shared" si="0"/>
        <v>10</v>
      </c>
      <c r="B22" s="483"/>
      <c r="C22" s="581"/>
      <c r="D22" s="557"/>
      <c r="E22" s="26"/>
      <c r="F22" s="278"/>
    </row>
    <row r="23" spans="1:6">
      <c r="A23" s="571">
        <f t="shared" si="0"/>
        <v>11</v>
      </c>
      <c r="B23" s="483" t="s">
        <v>332</v>
      </c>
      <c r="C23" s="581"/>
      <c r="D23" s="582">
        <f>+D20</f>
        <v>-236859</v>
      </c>
      <c r="E23" s="26"/>
      <c r="F23" s="278"/>
    </row>
    <row r="24" spans="1:6">
      <c r="A24" s="571">
        <f t="shared" si="0"/>
        <v>12</v>
      </c>
      <c r="B24" s="583"/>
      <c r="C24" s="581"/>
      <c r="D24" s="584"/>
      <c r="E24" s="325"/>
      <c r="F24" s="278"/>
    </row>
    <row r="25" spans="1:6">
      <c r="A25" s="571">
        <f t="shared" si="0"/>
        <v>13</v>
      </c>
      <c r="B25" s="583" t="s">
        <v>316</v>
      </c>
      <c r="C25" s="567">
        <f>FIT</f>
        <v>0.35</v>
      </c>
      <c r="D25" s="563">
        <f>-D23*C25</f>
        <v>82900.649999999994</v>
      </c>
      <c r="E25" s="347"/>
      <c r="F25" s="278"/>
    </row>
    <row r="26" spans="1:6" ht="16.5" thickBot="1">
      <c r="A26" s="571">
        <f t="shared" si="0"/>
        <v>14</v>
      </c>
      <c r="B26" s="583" t="s">
        <v>317</v>
      </c>
      <c r="C26" s="581"/>
      <c r="D26" s="585">
        <f>-D23-D25</f>
        <v>153958.35</v>
      </c>
      <c r="E26" s="347"/>
      <c r="F26" s="278"/>
    </row>
    <row r="27" spans="1:6" ht="16.5" thickTop="1">
      <c r="A27" s="571"/>
      <c r="B27" s="477"/>
      <c r="C27" s="477"/>
      <c r="D27" s="47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78"/>
    </row>
    <row r="30" spans="1:6">
      <c r="A30" s="324"/>
      <c r="B30" s="269"/>
      <c r="C30" s="347"/>
      <c r="D30" s="347"/>
      <c r="E30" s="26"/>
      <c r="F30" s="260"/>
    </row>
    <row r="31" spans="1:6">
      <c r="A31" s="324"/>
      <c r="B31" s="260"/>
      <c r="C31" s="347"/>
      <c r="D31" s="347"/>
      <c r="E31" s="347"/>
      <c r="F31" s="260"/>
    </row>
    <row r="32" spans="1:6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8:F8"/>
  </mergeCells>
  <pageMargins left="0.7" right="0.7" top="0.75" bottom="0.75" header="0.75" footer="0.3"/>
  <pageSetup scale="82" orientation="portrait" r:id="rId1"/>
  <headerFooter>
    <oddHeader>&amp;R&amp;"Times New Roman,Regular"&amp;12EXHIBIT KHB-3
Page 3.19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49"/>
  <sheetViews>
    <sheetView zoomScaleNormal="100" workbookViewId="0">
      <pane xSplit="2" ySplit="9" topLeftCell="C25" activePane="bottomRight" state="frozen"/>
      <selection activeCell="B42" sqref="B42"/>
      <selection pane="topRight" activeCell="B42" sqref="B42"/>
      <selection pane="bottomLeft" activeCell="B42" sqref="B42"/>
      <selection pane="bottomRight" activeCell="C46" sqref="C46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403" t="s">
        <v>200</v>
      </c>
      <c r="B2" s="403"/>
      <c r="C2" s="403"/>
      <c r="D2" s="403"/>
      <c r="E2" s="403"/>
      <c r="F2" s="403"/>
      <c r="G2" s="403"/>
      <c r="H2" s="404"/>
      <c r="I2" s="404"/>
    </row>
    <row r="3" spans="1:9">
      <c r="A3" s="403" t="s">
        <v>45</v>
      </c>
      <c r="B3" s="403"/>
      <c r="C3" s="403"/>
      <c r="D3" s="403"/>
      <c r="E3" s="403"/>
      <c r="F3" s="403"/>
      <c r="G3" s="403"/>
      <c r="H3" s="404"/>
      <c r="I3" s="404"/>
    </row>
    <row r="4" spans="1:9">
      <c r="A4" s="403" t="s">
        <v>44</v>
      </c>
      <c r="B4" s="403"/>
      <c r="C4" s="403"/>
      <c r="D4" s="403"/>
      <c r="E4" s="403"/>
      <c r="F4" s="403"/>
      <c r="G4" s="403"/>
      <c r="H4" s="404"/>
      <c r="I4" s="404"/>
    </row>
    <row r="5" spans="1:9">
      <c r="A5" s="403" t="s">
        <v>46</v>
      </c>
      <c r="B5" s="403"/>
      <c r="C5" s="403"/>
      <c r="D5" s="403"/>
      <c r="E5" s="403"/>
      <c r="F5" s="403"/>
      <c r="G5" s="403"/>
      <c r="H5" s="404"/>
      <c r="I5" s="404"/>
    </row>
    <row r="6" spans="1:9">
      <c r="A6" s="11"/>
      <c r="B6" s="11"/>
      <c r="C6" s="11" t="s">
        <v>35</v>
      </c>
      <c r="D6" s="11" t="s">
        <v>48</v>
      </c>
      <c r="E6" s="11" t="s">
        <v>51</v>
      </c>
      <c r="F6" s="11" t="s">
        <v>196</v>
      </c>
      <c r="G6" s="11" t="s">
        <v>52</v>
      </c>
      <c r="H6" s="11" t="s">
        <v>54</v>
      </c>
      <c r="I6" s="11" t="s">
        <v>11</v>
      </c>
    </row>
    <row r="7" spans="1:9">
      <c r="A7" s="12" t="s">
        <v>28</v>
      </c>
      <c r="B7" s="12"/>
      <c r="C7" s="12" t="s">
        <v>36</v>
      </c>
      <c r="D7" s="12" t="s">
        <v>49</v>
      </c>
      <c r="E7" s="12" t="s">
        <v>182</v>
      </c>
      <c r="F7" s="12" t="s">
        <v>186</v>
      </c>
      <c r="G7" s="12" t="s">
        <v>53</v>
      </c>
      <c r="H7" s="12" t="s">
        <v>55</v>
      </c>
      <c r="I7" s="12" t="s">
        <v>105</v>
      </c>
    </row>
    <row r="8" spans="1:9">
      <c r="A8" s="13" t="s">
        <v>29</v>
      </c>
      <c r="B8" s="12" t="s">
        <v>30</v>
      </c>
      <c r="C8" s="12" t="s">
        <v>31</v>
      </c>
      <c r="D8" s="12" t="s">
        <v>194</v>
      </c>
      <c r="E8" s="12" t="s">
        <v>195</v>
      </c>
      <c r="F8" s="12" t="s">
        <v>197</v>
      </c>
      <c r="G8" s="12" t="s">
        <v>198</v>
      </c>
      <c r="H8" s="12" t="s">
        <v>199</v>
      </c>
      <c r="I8" s="12" t="s">
        <v>223</v>
      </c>
    </row>
    <row r="9" spans="1:9">
      <c r="A9" s="14"/>
      <c r="B9" s="15"/>
      <c r="C9" s="14" t="s">
        <v>57</v>
      </c>
      <c r="D9" s="14" t="s">
        <v>58</v>
      </c>
      <c r="E9" s="14" t="s">
        <v>60</v>
      </c>
      <c r="F9" s="14" t="s">
        <v>33</v>
      </c>
      <c r="G9" s="14" t="s">
        <v>47</v>
      </c>
      <c r="H9" s="14" t="s">
        <v>61</v>
      </c>
      <c r="I9" s="17" t="s">
        <v>43</v>
      </c>
    </row>
    <row r="10" spans="1:9">
      <c r="A10" s="113">
        <v>1</v>
      </c>
      <c r="B10" s="3" t="s">
        <v>0</v>
      </c>
      <c r="C10" s="23"/>
      <c r="D10" s="23"/>
      <c r="E10" s="23"/>
      <c r="F10" s="23"/>
      <c r="G10" s="23"/>
    </row>
    <row r="11" spans="1:9">
      <c r="A11" s="113">
        <f>1+A10</f>
        <v>2</v>
      </c>
      <c r="B11" s="3" t="s">
        <v>1</v>
      </c>
      <c r="C11" s="110">
        <v>1149587390.5799999</v>
      </c>
      <c r="D11" s="27">
        <f>+' Adj 9.01 P3.6'!F40</f>
        <v>-55696079.371228129</v>
      </c>
      <c r="E11" s="27">
        <f>+' Adj 9.02 P3.7'!E23</f>
        <v>76028961.832350224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16">
        <v>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16">
        <v>17329860.359999999</v>
      </c>
      <c r="D13" s="23"/>
      <c r="E13" s="23">
        <f>+' Adj 9.02 P3.7'!E33</f>
        <v>-1203188.6798101114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1216868256.4499998</v>
      </c>
      <c r="D14" s="30">
        <f>SUM(D11:D13)</f>
        <v>-55696079.371228129</v>
      </c>
      <c r="E14" s="30">
        <f t="shared" ref="E14:I14" si="1">SUM(E11:E13)</f>
        <v>74825773.152540118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110">
        <v>737851057.96000004</v>
      </c>
      <c r="D18" s="27">
        <f>+' Adj 9.01 P3.6'!F44</f>
        <v>-39777834.485099792</v>
      </c>
      <c r="E18" s="125">
        <f>+' Adj 9.02 P3.7'!D47</f>
        <v>39406640.655210257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737851057.96000004</v>
      </c>
      <c r="D19" s="31">
        <f t="shared" si="2"/>
        <v>-39777834.485099792</v>
      </c>
      <c r="E19" s="31">
        <f t="shared" si="2"/>
        <v>39406640.655210257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16">
        <v>1873117.13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16">
        <v>394280.38</v>
      </c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16">
        <v>51612728.75</v>
      </c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529</v>
      </c>
      <c r="C24" s="16">
        <v>28177044.969388001</v>
      </c>
      <c r="D24" s="23">
        <f>+' Adj 9.01 P3.6'!E46</f>
        <v>-157787</v>
      </c>
      <c r="E24" s="23">
        <f>+' Adj 9.02 P3.7'!D49</f>
        <v>211981.41534114614</v>
      </c>
      <c r="F24" s="23"/>
      <c r="G24" s="23"/>
      <c r="I24" s="23"/>
    </row>
    <row r="25" spans="1:9">
      <c r="A25" s="113">
        <f t="shared" si="0"/>
        <v>16</v>
      </c>
      <c r="B25" s="4" t="s">
        <v>8</v>
      </c>
      <c r="C25" s="16">
        <v>4829560.0283300001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16">
        <v>7669601.2000000002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16">
        <v>44215772.715511002</v>
      </c>
      <c r="D27" s="23">
        <f>+' Adj 9.01 P3.6'!E47</f>
        <v>-111392</v>
      </c>
      <c r="E27" s="23">
        <f>+' Adj 9.02 P3.7'!D50</f>
        <v>149651.54630508024</v>
      </c>
      <c r="F27" s="23"/>
      <c r="G27" s="23"/>
      <c r="I27" s="23"/>
    </row>
    <row r="28" spans="1:9">
      <c r="A28" s="113">
        <f t="shared" si="0"/>
        <v>19</v>
      </c>
      <c r="B28" s="4" t="s">
        <v>11</v>
      </c>
      <c r="C28" s="16">
        <v>82190938.45786199</v>
      </c>
      <c r="D28" s="23"/>
      <c r="E28" s="23"/>
      <c r="F28" s="23"/>
      <c r="G28" s="23"/>
      <c r="I28" s="23">
        <f>+' Adj 9.06 P3.11'!E30</f>
        <v>6218348.6423879797</v>
      </c>
    </row>
    <row r="29" spans="1:9">
      <c r="A29" s="113">
        <f t="shared" si="0"/>
        <v>20</v>
      </c>
      <c r="B29" s="4" t="s">
        <v>12</v>
      </c>
      <c r="C29" s="16">
        <v>15618788.142220002</v>
      </c>
      <c r="D29" s="23"/>
      <c r="E29" s="23"/>
      <c r="F29" s="23"/>
      <c r="G29" s="23"/>
      <c r="I29" s="23">
        <f>+' Adj 9.06 P3.11'!E26</f>
        <v>2.6489033189136535E-11</v>
      </c>
    </row>
    <row r="30" spans="1:9">
      <c r="A30" s="113">
        <f t="shared" si="0"/>
        <v>21</v>
      </c>
      <c r="B30" s="3" t="s">
        <v>13</v>
      </c>
      <c r="C30" s="16">
        <v>0</v>
      </c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16">
        <v>781403.92</v>
      </c>
      <c r="D31" s="23"/>
      <c r="E31" s="23">
        <v>0</v>
      </c>
      <c r="F31" s="23">
        <f>+' Adj 9.03 P3.8'!E19</f>
        <v>0</v>
      </c>
      <c r="G31" s="23"/>
      <c r="I31" s="23"/>
    </row>
    <row r="32" spans="1:9">
      <c r="A32" s="113">
        <f t="shared" si="0"/>
        <v>23</v>
      </c>
      <c r="B32" s="1" t="s">
        <v>15</v>
      </c>
      <c r="C32" s="16">
        <v>0</v>
      </c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16">
        <v>108410162.19257601</v>
      </c>
      <c r="D33" s="23">
        <f>+' Adj 9.01 P3.6'!F51</f>
        <v>-2139342</v>
      </c>
      <c r="E33" s="23">
        <f>+' Adj 9.02 P3.7'!D53</f>
        <v>2874132.7725622184</v>
      </c>
      <c r="F33" s="23"/>
      <c r="G33" s="23"/>
      <c r="I33" s="23"/>
    </row>
    <row r="34" spans="1:9">
      <c r="A34" s="113">
        <f t="shared" si="0"/>
        <v>25</v>
      </c>
      <c r="B34" s="4" t="s">
        <v>17</v>
      </c>
      <c r="C34" s="16">
        <v>-21984884</v>
      </c>
      <c r="D34" s="23">
        <f>+' Adj 9.01 P3.6'!F55</f>
        <v>-4728403</v>
      </c>
      <c r="E34" s="23">
        <f>+' Adj 9.02 P3.7'!E58</f>
        <v>11264178</v>
      </c>
      <c r="F34" s="23">
        <f>+' Adj 9.03 P3.8'!E24</f>
        <v>0</v>
      </c>
      <c r="G34" s="26">
        <f>+' Adj 9.04 P3.9'!E29</f>
        <v>1038077.1900000013</v>
      </c>
      <c r="H34" s="29">
        <f>+'Adj 9.05 P3.10'!D32</f>
        <v>8386015.674829755</v>
      </c>
      <c r="I34" s="23"/>
    </row>
    <row r="35" spans="1:9">
      <c r="A35" s="113">
        <f t="shared" si="0"/>
        <v>26</v>
      </c>
      <c r="B35" s="4" t="s">
        <v>18</v>
      </c>
      <c r="C35" s="16">
        <v>43878483.919399999</v>
      </c>
      <c r="D35" s="23"/>
      <c r="E35" s="23"/>
      <c r="G35" s="26">
        <f>+' Adj 9.04 P3.9'!E30</f>
        <v>-1953834.9193999991</v>
      </c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1105518055.7652869</v>
      </c>
      <c r="D36" s="31">
        <f t="shared" si="3"/>
        <v>-46914758.485099792</v>
      </c>
      <c r="E36" s="31">
        <f t="shared" si="3"/>
        <v>53906584.389418706</v>
      </c>
      <c r="F36" s="31">
        <f t="shared" si="3"/>
        <v>0</v>
      </c>
      <c r="G36" s="31">
        <f t="shared" si="3"/>
        <v>-915757.72939999774</v>
      </c>
      <c r="H36" s="31">
        <f t="shared" si="3"/>
        <v>8386015.674829755</v>
      </c>
      <c r="I36" s="31">
        <f t="shared" si="3"/>
        <v>6218348.6423879797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111350200.68471289</v>
      </c>
      <c r="D38" s="32">
        <f t="shared" si="4"/>
        <v>-8781320.8861283362</v>
      </c>
      <c r="E38" s="32">
        <f t="shared" si="4"/>
        <v>20919188.763121411</v>
      </c>
      <c r="F38" s="32">
        <f t="shared" si="4"/>
        <v>0</v>
      </c>
      <c r="G38" s="32">
        <f t="shared" si="4"/>
        <v>915757.72939999774</v>
      </c>
      <c r="H38" s="32">
        <f t="shared" si="4"/>
        <v>-8386015.674829755</v>
      </c>
      <c r="I38" s="32">
        <f t="shared" si="4"/>
        <v>-6218348.6423879797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110">
        <f>+'EXH KBH-3 P3.1'!C42</f>
        <v>2496529564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/>
    </row>
    <row r="42" spans="1:9">
      <c r="A42" s="113">
        <f t="shared" si="0"/>
        <v>33</v>
      </c>
      <c r="B42" s="4" t="s">
        <v>22</v>
      </c>
      <c r="C42" s="16">
        <f>+'EXH KBH-3 P3.1'!C43</f>
        <v>-837320044</v>
      </c>
      <c r="D42" s="23"/>
      <c r="E42" s="23"/>
      <c r="F42" s="23"/>
      <c r="G42" s="23"/>
      <c r="I42" s="23">
        <f>+' Adj 9.06 P3.11'!E38</f>
        <v>-3109174.3211939898</v>
      </c>
    </row>
    <row r="43" spans="1:9">
      <c r="A43" s="113">
        <f t="shared" si="0"/>
        <v>34</v>
      </c>
      <c r="B43" s="4" t="s">
        <v>23</v>
      </c>
      <c r="C43" s="16">
        <f>+'EXH KBH-3 P3.1'!C44</f>
        <v>-208946049</v>
      </c>
      <c r="D43" s="23"/>
      <c r="E43" s="23"/>
      <c r="F43" s="23">
        <f>+' Adj 9.03 P3.8'!E15</f>
        <v>-621138.04166666663</v>
      </c>
      <c r="G43" s="23"/>
      <c r="I43" s="23"/>
    </row>
    <row r="44" spans="1:9">
      <c r="A44" s="113">
        <f t="shared" si="0"/>
        <v>35</v>
      </c>
      <c r="B44" s="4" t="s">
        <v>25</v>
      </c>
      <c r="C44" s="16">
        <f>+'EXH KBH-3 P3.1'!C45</f>
        <v>-27028861</v>
      </c>
      <c r="D44" s="23"/>
      <c r="E44" s="23"/>
      <c r="F44" s="23">
        <f>+' Adj 9.03 P3.8'!E13</f>
        <v>-1822432.9166666667</v>
      </c>
      <c r="G44" s="23"/>
      <c r="I44" s="23"/>
    </row>
    <row r="45" spans="1:9">
      <c r="A45" s="113">
        <f>1+A44</f>
        <v>36</v>
      </c>
      <c r="B45" s="4" t="s">
        <v>193</v>
      </c>
      <c r="C45" s="30">
        <f>SUM(C41:C44)</f>
        <v>1423234610</v>
      </c>
      <c r="D45" s="30">
        <f t="shared" ref="D45:I45" si="5">SUM(D41:D44)</f>
        <v>0</v>
      </c>
      <c r="E45" s="30">
        <f t="shared" si="5"/>
        <v>0</v>
      </c>
      <c r="F45" s="30">
        <f t="shared" si="5"/>
        <v>-2443570.9583333335</v>
      </c>
      <c r="G45" s="30">
        <f t="shared" si="5"/>
        <v>0</v>
      </c>
      <c r="H45" s="30">
        <f t="shared" si="5"/>
        <v>0</v>
      </c>
      <c r="I45" s="30">
        <f t="shared" si="5"/>
        <v>-3109174.3211939898</v>
      </c>
    </row>
    <row r="46" spans="1:9">
      <c r="A46" s="113">
        <f t="shared" ref="A46:A47" si="6">1+A45</f>
        <v>37</v>
      </c>
      <c r="B46" s="4" t="s">
        <v>24</v>
      </c>
      <c r="C46" s="27">
        <f>+'EXH KBH-3 P3.1'!C47</f>
        <v>51276690</v>
      </c>
      <c r="D46" s="23"/>
      <c r="E46" s="23"/>
      <c r="F46" s="23"/>
      <c r="G46" s="23"/>
      <c r="I46" s="23"/>
    </row>
    <row r="47" spans="1:9" ht="16.5" thickBot="1">
      <c r="A47" s="113">
        <f t="shared" si="6"/>
        <v>38</v>
      </c>
      <c r="B47" s="4" t="s">
        <v>26</v>
      </c>
      <c r="C47" s="32">
        <f>+C46+C45</f>
        <v>1474511300</v>
      </c>
      <c r="D47" s="32">
        <f t="shared" ref="D47:I47" si="7">+D46+D45</f>
        <v>0</v>
      </c>
      <c r="E47" s="32">
        <f t="shared" si="7"/>
        <v>0</v>
      </c>
      <c r="F47" s="32">
        <f t="shared" si="7"/>
        <v>-2443570.9583333335</v>
      </c>
      <c r="G47" s="32">
        <f t="shared" si="7"/>
        <v>0</v>
      </c>
      <c r="H47" s="32">
        <f t="shared" si="7"/>
        <v>0</v>
      </c>
      <c r="I47" s="32">
        <f t="shared" si="7"/>
        <v>-3109174.3211939898</v>
      </c>
    </row>
    <row r="48" spans="1:9" ht="16.5" thickTop="1">
      <c r="A48" s="113"/>
      <c r="B48" s="4"/>
    </row>
    <row r="49" spans="1:7">
      <c r="A49" s="113"/>
      <c r="B49" s="4"/>
      <c r="D49" s="23"/>
      <c r="E49" s="23"/>
      <c r="F49" s="23"/>
      <c r="G49" s="23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60.140625" style="2" customWidth="1"/>
    <col min="3" max="3" width="8.7109375" style="2" customWidth="1"/>
    <col min="4" max="4" width="6.42578125" style="2" customWidth="1"/>
    <col min="5" max="5" width="12.5703125" style="2" customWidth="1"/>
    <col min="6" max="6" width="1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37" t="str">
        <f>Title</f>
        <v xml:space="preserve">PUGET SOUND ENERGY-GAS </v>
      </c>
      <c r="B4" s="438"/>
      <c r="C4" s="438"/>
      <c r="D4" s="296"/>
      <c r="E4" s="296"/>
      <c r="F4" s="297"/>
    </row>
    <row r="5" spans="1:6">
      <c r="A5" s="554" t="s">
        <v>398</v>
      </c>
      <c r="B5" s="438"/>
      <c r="C5" s="438"/>
      <c r="D5" s="297"/>
      <c r="E5" s="297"/>
      <c r="F5" s="298"/>
    </row>
    <row r="6" spans="1:6">
      <c r="A6" s="439" t="str">
        <f>TY</f>
        <v>FOR THE TWELVE MONTHS ENDED DECEMBER  31, 2008</v>
      </c>
      <c r="B6" s="438"/>
      <c r="C6" s="438"/>
      <c r="D6" s="299"/>
      <c r="E6" s="299"/>
      <c r="F6" s="300"/>
    </row>
    <row r="7" spans="1:6">
      <c r="A7" s="555" t="str">
        <f>GRC</f>
        <v>GENERAL RATE INCREASE</v>
      </c>
      <c r="B7" s="402"/>
      <c r="C7" s="402"/>
      <c r="D7" s="402"/>
      <c r="E7" s="402"/>
      <c r="F7" s="402"/>
    </row>
    <row r="8" spans="1:6">
      <c r="A8" s="329"/>
      <c r="B8" s="329"/>
      <c r="C8" s="329"/>
      <c r="D8" s="399"/>
      <c r="E8" s="399"/>
      <c r="F8" s="331"/>
    </row>
    <row r="9" spans="1:6">
      <c r="A9" s="332"/>
      <c r="B9" s="332"/>
      <c r="C9" s="332"/>
      <c r="D9" s="399"/>
      <c r="E9" s="333"/>
      <c r="F9" s="400"/>
    </row>
    <row r="10" spans="1:6">
      <c r="A10" s="334"/>
      <c r="B10" s="334"/>
      <c r="C10" s="334"/>
      <c r="D10" s="556"/>
      <c r="E10" s="557"/>
      <c r="F10" s="400"/>
    </row>
    <row r="11" spans="1:6">
      <c r="A11" s="326"/>
      <c r="B11" s="326"/>
      <c r="C11" s="326"/>
      <c r="D11" s="264"/>
      <c r="E11" s="264"/>
      <c r="F11" s="278"/>
    </row>
    <row r="12" spans="1:6">
      <c r="A12" s="558">
        <v>1</v>
      </c>
      <c r="B12" s="498" t="s">
        <v>533</v>
      </c>
      <c r="D12" s="347"/>
      <c r="E12" s="264"/>
      <c r="F12" s="551">
        <v>-618993.96999999962</v>
      </c>
    </row>
    <row r="13" spans="1:6">
      <c r="A13" s="558">
        <f>A12+1</f>
        <v>2</v>
      </c>
      <c r="B13" s="498" t="s">
        <v>534</v>
      </c>
      <c r="D13" s="347"/>
      <c r="E13" s="26"/>
      <c r="F13" s="553">
        <v>164927.19999999984</v>
      </c>
    </row>
    <row r="14" spans="1:6">
      <c r="A14" s="558">
        <f t="shared" ref="A14:A24" si="0">A13+1</f>
        <v>3</v>
      </c>
      <c r="B14" s="498" t="s">
        <v>393</v>
      </c>
      <c r="D14" s="559"/>
      <c r="E14" s="26"/>
      <c r="F14" s="560">
        <f>SUM(F12:F13)</f>
        <v>-454066.76999999979</v>
      </c>
    </row>
    <row r="15" spans="1:6">
      <c r="A15" s="558">
        <f t="shared" si="0"/>
        <v>4</v>
      </c>
      <c r="B15" s="561"/>
      <c r="D15" s="347"/>
      <c r="E15" s="26"/>
      <c r="F15" s="498"/>
    </row>
    <row r="16" spans="1:6">
      <c r="A16" s="558">
        <f t="shared" si="0"/>
        <v>5</v>
      </c>
      <c r="B16" s="562" t="s">
        <v>394</v>
      </c>
      <c r="D16" s="347"/>
      <c r="E16" s="26"/>
      <c r="F16" s="563">
        <f>F14/3</f>
        <v>-151355.58999999994</v>
      </c>
    </row>
    <row r="17" spans="1:6">
      <c r="A17" s="558">
        <f t="shared" si="0"/>
        <v>6</v>
      </c>
      <c r="B17" s="564"/>
      <c r="D17" s="347"/>
      <c r="E17" s="325"/>
      <c r="F17" s="498"/>
    </row>
    <row r="18" spans="1:6">
      <c r="A18" s="558">
        <f t="shared" si="0"/>
        <v>7</v>
      </c>
      <c r="B18" s="565" t="s">
        <v>395</v>
      </c>
      <c r="D18" s="347"/>
      <c r="E18" s="347"/>
      <c r="F18" s="504">
        <v>-633527.98</v>
      </c>
    </row>
    <row r="19" spans="1:6">
      <c r="A19" s="558">
        <f t="shared" si="0"/>
        <v>8</v>
      </c>
      <c r="B19" s="564"/>
      <c r="D19" s="347"/>
      <c r="E19" s="347"/>
      <c r="F19" s="274"/>
    </row>
    <row r="20" spans="1:6">
      <c r="A20" s="558">
        <f t="shared" si="0"/>
        <v>9</v>
      </c>
      <c r="B20" s="566" t="s">
        <v>396</v>
      </c>
      <c r="D20" s="350"/>
      <c r="E20" s="26"/>
      <c r="F20" s="560">
        <f>F16-F18</f>
        <v>482172.39</v>
      </c>
    </row>
    <row r="21" spans="1:6">
      <c r="A21" s="558">
        <f t="shared" si="0"/>
        <v>10</v>
      </c>
      <c r="B21" s="264"/>
      <c r="D21" s="350"/>
      <c r="E21" s="26"/>
      <c r="F21" s="504"/>
    </row>
    <row r="22" spans="1:6">
      <c r="A22" s="558">
        <f t="shared" si="0"/>
        <v>11</v>
      </c>
      <c r="B22" s="326" t="s">
        <v>397</v>
      </c>
      <c r="D22" s="350"/>
      <c r="E22" s="567">
        <f>FIT</f>
        <v>0.35</v>
      </c>
      <c r="F22" s="563">
        <f>-F20*E22</f>
        <v>-168760.3365</v>
      </c>
    </row>
    <row r="23" spans="1:6">
      <c r="A23" s="558">
        <f t="shared" si="0"/>
        <v>12</v>
      </c>
      <c r="B23" s="326"/>
      <c r="D23" s="351"/>
      <c r="E23" s="325"/>
      <c r="F23" s="568"/>
    </row>
    <row r="24" spans="1:6" ht="16.5" thickBot="1">
      <c r="A24" s="558">
        <f t="shared" si="0"/>
        <v>13</v>
      </c>
      <c r="B24" s="326" t="s">
        <v>131</v>
      </c>
      <c r="D24" s="347"/>
      <c r="E24" s="347"/>
      <c r="F24" s="569">
        <f>-F20-F22</f>
        <v>-313412.05350000004</v>
      </c>
    </row>
    <row r="25" spans="1:6" ht="16.5" thickTop="1">
      <c r="A25" s="570"/>
      <c r="B25" s="570"/>
      <c r="D25" s="347"/>
      <c r="E25" s="347"/>
      <c r="F25" s="570"/>
    </row>
    <row r="26" spans="1:6">
      <c r="A26" s="324"/>
      <c r="B26" s="269"/>
      <c r="D26" s="347"/>
      <c r="E26" s="26"/>
      <c r="F26" s="347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60"/>
    </row>
    <row r="30" spans="1:6">
      <c r="A30" s="324"/>
      <c r="B30" s="260"/>
      <c r="C30" s="347"/>
      <c r="D30" s="347"/>
      <c r="E30" s="347"/>
      <c r="F30" s="260"/>
    </row>
    <row r="31" spans="1:6">
      <c r="A31" s="324"/>
      <c r="B31" s="347"/>
      <c r="C31" s="347"/>
      <c r="D31" s="347"/>
      <c r="E31" s="325"/>
      <c r="F31" s="260"/>
    </row>
    <row r="32" spans="1:6">
      <c r="A32" s="324"/>
      <c r="B32" s="347"/>
      <c r="C32" s="347"/>
      <c r="D32" s="347"/>
      <c r="E32" s="347"/>
      <c r="F32" s="260"/>
    </row>
    <row r="33" spans="1:6">
      <c r="A33" s="324"/>
      <c r="B33" s="347"/>
      <c r="C33" s="347"/>
      <c r="D33" s="347"/>
      <c r="E33" s="26"/>
      <c r="F33" s="260"/>
    </row>
    <row r="34" spans="1:6">
      <c r="A34" s="324"/>
      <c r="B34" s="278"/>
      <c r="C34" s="278"/>
      <c r="D34" s="278"/>
      <c r="E34" s="26"/>
      <c r="F34" s="260"/>
    </row>
    <row r="35" spans="1:6">
      <c r="A35" s="324"/>
      <c r="B35" s="278"/>
      <c r="C35" s="278"/>
      <c r="D35" s="278"/>
      <c r="E35" s="325"/>
      <c r="F35" s="260"/>
    </row>
    <row r="36" spans="1:6">
      <c r="A36" s="278"/>
      <c r="B36" s="278"/>
      <c r="C36" s="278"/>
      <c r="D36" s="278"/>
      <c r="E36" s="278"/>
      <c r="F36" s="260"/>
    </row>
    <row r="37" spans="1:6">
      <c r="A37" s="326"/>
      <c r="B37" s="326"/>
      <c r="C37" s="326"/>
      <c r="D37" s="326"/>
      <c r="E37" s="326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0"/>
      <c r="D39" s="260"/>
      <c r="E39" s="264"/>
      <c r="F39" s="265"/>
    </row>
    <row r="40" spans="1:6">
      <c r="A40" s="259"/>
      <c r="B40" s="260"/>
      <c r="C40" s="260"/>
      <c r="D40" s="266"/>
      <c r="E40" s="267"/>
      <c r="F40" s="260"/>
    </row>
    <row r="41" spans="1:6">
      <c r="A41" s="259"/>
      <c r="B41" s="268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0"/>
      <c r="C43" s="260"/>
      <c r="D43" s="266"/>
      <c r="E43" s="267"/>
      <c r="F43" s="264"/>
    </row>
    <row r="44" spans="1:6">
      <c r="A44" s="259"/>
      <c r="B44" s="260"/>
      <c r="C44" s="260"/>
      <c r="D44" s="266"/>
      <c r="E44" s="267"/>
      <c r="F44" s="260"/>
    </row>
    <row r="45" spans="1:6">
      <c r="A45" s="259"/>
      <c r="B45" s="269"/>
      <c r="C45" s="269"/>
      <c r="D45" s="270"/>
      <c r="E45" s="265"/>
      <c r="F45" s="262"/>
    </row>
    <row r="46" spans="1:6">
      <c r="A46" s="259"/>
      <c r="B46" s="269"/>
      <c r="C46" s="269"/>
      <c r="D46" s="270"/>
      <c r="E46" s="271"/>
      <c r="F46" s="262"/>
    </row>
    <row r="47" spans="1:6">
      <c r="A47" s="259"/>
      <c r="B47" s="272"/>
      <c r="C47" s="269"/>
      <c r="D47" s="273"/>
      <c r="E47" s="274"/>
      <c r="F47" s="275"/>
    </row>
    <row r="48" spans="1:6">
      <c r="A48" s="259"/>
      <c r="B48" s="269"/>
      <c r="C48" s="269"/>
      <c r="D48" s="276"/>
      <c r="E48" s="274"/>
      <c r="F48" s="262"/>
    </row>
    <row r="49" spans="1:6">
      <c r="A49" s="259"/>
      <c r="B49" s="269"/>
      <c r="C49" s="269"/>
      <c r="D49" s="270"/>
      <c r="E49" s="267"/>
      <c r="F49" s="262"/>
    </row>
    <row r="50" spans="1:6">
      <c r="A50" s="259"/>
      <c r="B50" s="272"/>
      <c r="C50" s="269"/>
      <c r="D50" s="260"/>
      <c r="E50" s="274"/>
      <c r="F50" s="275"/>
    </row>
    <row r="51" spans="1:6">
      <c r="A51" s="259"/>
      <c r="B51" s="269"/>
      <c r="C51" s="269"/>
      <c r="D51" s="260"/>
      <c r="E51" s="260"/>
      <c r="F51" s="262"/>
    </row>
    <row r="52" spans="1:6">
      <c r="A52" s="259"/>
      <c r="B52" s="269"/>
      <c r="C52" s="269"/>
      <c r="D52" s="260"/>
      <c r="E52" s="274"/>
      <c r="F52" s="275"/>
    </row>
    <row r="53" spans="1:6">
      <c r="A53" s="259"/>
      <c r="B53" s="269"/>
      <c r="C53" s="269"/>
      <c r="D53" s="260"/>
      <c r="E53" s="274"/>
      <c r="F53" s="274"/>
    </row>
    <row r="54" spans="1:6">
      <c r="A54" s="259"/>
      <c r="B54" s="269"/>
      <c r="C54" s="269"/>
      <c r="D54" s="277"/>
      <c r="E54" s="274"/>
      <c r="F54" s="262"/>
    </row>
    <row r="55" spans="1:6">
      <c r="A55" s="259"/>
      <c r="B55" s="269"/>
      <c r="C55" s="269"/>
      <c r="D55" s="260"/>
      <c r="E55" s="274"/>
      <c r="F55" s="267"/>
    </row>
    <row r="56" spans="1:6">
      <c r="A56" s="259"/>
      <c r="B56" s="278"/>
      <c r="C56" s="278"/>
      <c r="D56" s="278"/>
      <c r="E56" s="278"/>
      <c r="F56" s="259"/>
    </row>
  </sheetData>
  <mergeCells count="1">
    <mergeCell ref="A7:F7"/>
  </mergeCells>
  <pageMargins left="0.7" right="0.7" top="0.75" bottom="0.75" header="0.75" footer="0.3"/>
  <pageSetup scale="82" orientation="portrait" r:id="rId1"/>
  <headerFooter>
    <oddHeader>&amp;R&amp;"Times New Roman,Regular"&amp;12EXHIBIT KHB-3
Page 3.20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6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140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37" t="str">
        <f>Title</f>
        <v xml:space="preserve">PUGET SOUND ENERGY-GAS </v>
      </c>
      <c r="B4" s="439"/>
      <c r="C4" s="439"/>
      <c r="D4" s="439"/>
      <c r="E4" s="439"/>
      <c r="F4" s="297"/>
    </row>
    <row r="5" spans="1:6">
      <c r="A5" s="437" t="s">
        <v>402</v>
      </c>
      <c r="B5" s="489"/>
      <c r="C5" s="489"/>
      <c r="D5" s="489"/>
      <c r="E5" s="489"/>
      <c r="F5" s="298"/>
    </row>
    <row r="6" spans="1:6">
      <c r="A6" s="439" t="str">
        <f>TY</f>
        <v>FOR THE TWELVE MONTHS ENDED DECEMBER  31, 2008</v>
      </c>
      <c r="B6" s="490"/>
      <c r="C6" s="490"/>
      <c r="D6" s="490"/>
      <c r="E6" s="490"/>
      <c r="F6" s="300"/>
    </row>
    <row r="7" spans="1:6">
      <c r="A7" s="437" t="str">
        <f>GRC</f>
        <v>GENERAL RATE INCREASE</v>
      </c>
      <c r="B7" s="439"/>
      <c r="C7" s="439"/>
      <c r="D7" s="439"/>
      <c r="E7" s="439"/>
      <c r="F7" s="297"/>
    </row>
    <row r="8" spans="1:6">
      <c r="A8" s="329"/>
      <c r="B8" s="329"/>
      <c r="C8" s="329"/>
      <c r="D8" s="329"/>
      <c r="E8" s="329"/>
      <c r="F8" s="331"/>
    </row>
    <row r="9" spans="1:6">
      <c r="A9" s="440" t="s">
        <v>112</v>
      </c>
      <c r="B9" s="329"/>
      <c r="C9" s="329"/>
      <c r="D9" s="329"/>
      <c r="E9" s="329"/>
      <c r="F9" s="400"/>
    </row>
    <row r="10" spans="1:6">
      <c r="A10" s="334" t="s">
        <v>115</v>
      </c>
      <c r="B10" s="543" t="s">
        <v>116</v>
      </c>
      <c r="C10" s="444" t="s">
        <v>251</v>
      </c>
      <c r="D10" s="444" t="s">
        <v>399</v>
      </c>
      <c r="E10" s="444" t="s">
        <v>117</v>
      </c>
      <c r="F10" s="400"/>
    </row>
    <row r="11" spans="1:6">
      <c r="A11" s="326"/>
      <c r="B11" s="326"/>
      <c r="C11" s="326"/>
      <c r="D11" s="326"/>
      <c r="E11" s="326"/>
      <c r="F11" s="278"/>
    </row>
    <row r="12" spans="1:6">
      <c r="A12" s="337">
        <v>1</v>
      </c>
      <c r="B12" s="326" t="s">
        <v>400</v>
      </c>
      <c r="C12" s="546">
        <v>954479.43269999989</v>
      </c>
      <c r="D12" s="546">
        <v>521578</v>
      </c>
      <c r="E12" s="546">
        <f>+D12-C12</f>
        <v>-432901.43269999989</v>
      </c>
      <c r="F12" s="278"/>
    </row>
    <row r="13" spans="1:6">
      <c r="A13" s="337">
        <f t="shared" ref="A13:A18" si="0">A12+1</f>
        <v>2</v>
      </c>
      <c r="B13" s="326" t="s">
        <v>401</v>
      </c>
      <c r="C13" s="553">
        <v>749653.38723465928</v>
      </c>
      <c r="D13" s="553">
        <v>822470</v>
      </c>
      <c r="E13" s="510">
        <f>+D13-C13</f>
        <v>72816.612765340717</v>
      </c>
      <c r="F13" s="278"/>
    </row>
    <row r="14" spans="1:6">
      <c r="A14" s="337">
        <f t="shared" si="0"/>
        <v>3</v>
      </c>
      <c r="B14" s="483" t="s">
        <v>314</v>
      </c>
      <c r="C14" s="549">
        <f>SUM(C12:C13)</f>
        <v>1704132.8199346592</v>
      </c>
      <c r="D14" s="549">
        <f>C14+E14</f>
        <v>1344048</v>
      </c>
      <c r="E14" s="549">
        <f>SUM(E12:E13)</f>
        <v>-360084.81993465917</v>
      </c>
      <c r="F14" s="278"/>
    </row>
    <row r="15" spans="1:6">
      <c r="A15" s="337">
        <f t="shared" si="0"/>
        <v>4</v>
      </c>
      <c r="B15" s="483"/>
      <c r="C15" s="326"/>
      <c r="D15" s="326"/>
      <c r="E15" s="477"/>
      <c r="F15" s="278"/>
    </row>
    <row r="16" spans="1:6">
      <c r="A16" s="337">
        <f t="shared" si="0"/>
        <v>5</v>
      </c>
      <c r="B16" s="326"/>
      <c r="C16" s="326"/>
      <c r="D16" s="326"/>
      <c r="E16" s="504"/>
      <c r="F16" s="274"/>
    </row>
    <row r="17" spans="1:6">
      <c r="A17" s="337">
        <f t="shared" si="0"/>
        <v>6</v>
      </c>
      <c r="B17" s="483" t="s">
        <v>138</v>
      </c>
      <c r="C17" s="508">
        <f>FIT</f>
        <v>0.35</v>
      </c>
      <c r="D17" s="535"/>
      <c r="E17" s="510">
        <f>C17*-E14</f>
        <v>126029.6869771307</v>
      </c>
      <c r="F17" s="278"/>
    </row>
    <row r="18" spans="1:6" ht="16.5" thickBot="1">
      <c r="A18" s="337">
        <f t="shared" si="0"/>
        <v>7</v>
      </c>
      <c r="B18" s="483" t="s">
        <v>131</v>
      </c>
      <c r="C18" s="326"/>
      <c r="D18" s="326"/>
      <c r="E18" s="550">
        <f>-E14-E17</f>
        <v>234055.13295752846</v>
      </c>
      <c r="F18" s="278"/>
    </row>
    <row r="19" spans="1:6" ht="16.5" thickTop="1">
      <c r="A19" s="324"/>
      <c r="B19" s="348"/>
      <c r="C19" s="347"/>
      <c r="D19" s="347"/>
      <c r="E19" s="347"/>
      <c r="F19" s="278"/>
    </row>
    <row r="20" spans="1:6">
      <c r="A20" s="324"/>
      <c r="B20" s="349"/>
      <c r="C20" s="347"/>
      <c r="D20" s="350"/>
      <c r="E20" s="26"/>
      <c r="F20" s="278"/>
    </row>
    <row r="21" spans="1:6">
      <c r="A21" s="324"/>
      <c r="B21" s="347"/>
      <c r="C21" s="347"/>
      <c r="D21" s="350"/>
      <c r="E21" s="26"/>
      <c r="F21" s="278"/>
    </row>
    <row r="22" spans="1:6">
      <c r="A22" s="324"/>
      <c r="B22" s="347"/>
      <c r="C22" s="347"/>
      <c r="D22" s="350"/>
      <c r="E22" s="26"/>
      <c r="F22" s="278"/>
    </row>
    <row r="23" spans="1:6">
      <c r="A23" s="324"/>
      <c r="B23" s="347"/>
      <c r="C23" s="347"/>
      <c r="D23" s="351"/>
      <c r="E23" s="325"/>
      <c r="F23" s="278"/>
    </row>
    <row r="24" spans="1:6">
      <c r="A24" s="324"/>
      <c r="B24" s="347"/>
      <c r="C24" s="347"/>
      <c r="D24" s="347"/>
      <c r="E24" s="347"/>
      <c r="F24" s="278"/>
    </row>
    <row r="25" spans="1:6">
      <c r="A25" s="324"/>
      <c r="B25" s="348"/>
      <c r="C25" s="347"/>
      <c r="D25" s="347"/>
      <c r="E25" s="347"/>
      <c r="F25" s="278"/>
    </row>
    <row r="26" spans="1:6">
      <c r="A26" s="324"/>
      <c r="B26" s="269"/>
      <c r="C26" s="347"/>
      <c r="D26" s="347"/>
      <c r="E26" s="26"/>
      <c r="F26" s="278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60"/>
    </row>
    <row r="30" spans="1:6">
      <c r="A30" s="324"/>
      <c r="B30" s="260"/>
      <c r="C30" s="347"/>
      <c r="D30" s="347"/>
      <c r="E30" s="347"/>
      <c r="F30" s="260"/>
    </row>
    <row r="31" spans="1:6">
      <c r="A31" s="324"/>
      <c r="B31" s="347"/>
      <c r="C31" s="347"/>
      <c r="D31" s="347"/>
      <c r="E31" s="325"/>
      <c r="F31" s="260"/>
    </row>
    <row r="32" spans="1:6">
      <c r="A32" s="324"/>
      <c r="B32" s="347"/>
      <c r="C32" s="347"/>
      <c r="D32" s="347"/>
      <c r="E32" s="347"/>
      <c r="F32" s="260"/>
    </row>
    <row r="33" spans="1:6">
      <c r="A33" s="324"/>
      <c r="B33" s="347"/>
      <c r="C33" s="347"/>
      <c r="D33" s="347"/>
      <c r="E33" s="26"/>
      <c r="F33" s="260"/>
    </row>
    <row r="34" spans="1:6">
      <c r="A34" s="324"/>
      <c r="B34" s="278"/>
      <c r="C34" s="278"/>
      <c r="D34" s="278"/>
      <c r="E34" s="26"/>
      <c r="F34" s="260"/>
    </row>
    <row r="35" spans="1:6">
      <c r="A35" s="324"/>
      <c r="B35" s="278"/>
      <c r="C35" s="278"/>
      <c r="D35" s="278"/>
      <c r="E35" s="325"/>
      <c r="F35" s="260"/>
    </row>
    <row r="36" spans="1:6">
      <c r="A36" s="278"/>
      <c r="B36" s="278"/>
      <c r="C36" s="278"/>
      <c r="D36" s="278"/>
      <c r="E36" s="278"/>
      <c r="F36" s="260"/>
    </row>
    <row r="37" spans="1:6">
      <c r="A37" s="326"/>
      <c r="B37" s="326"/>
      <c r="C37" s="326"/>
      <c r="D37" s="326"/>
      <c r="E37" s="326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0"/>
      <c r="D39" s="260"/>
      <c r="E39" s="264"/>
      <c r="F39" s="265"/>
    </row>
    <row r="40" spans="1:6">
      <c r="A40" s="259"/>
      <c r="B40" s="260"/>
      <c r="C40" s="260"/>
      <c r="D40" s="266"/>
      <c r="E40" s="267"/>
      <c r="F40" s="260"/>
    </row>
    <row r="41" spans="1:6">
      <c r="A41" s="259"/>
      <c r="B41" s="268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0"/>
      <c r="C43" s="260"/>
      <c r="D43" s="266"/>
      <c r="E43" s="267"/>
      <c r="F43" s="264"/>
    </row>
    <row r="44" spans="1:6">
      <c r="A44" s="259"/>
      <c r="B44" s="260"/>
      <c r="C44" s="260"/>
      <c r="D44" s="266"/>
      <c r="E44" s="267"/>
      <c r="F44" s="260"/>
    </row>
    <row r="45" spans="1:6">
      <c r="A45" s="259"/>
      <c r="B45" s="269"/>
      <c r="C45" s="269"/>
      <c r="D45" s="270"/>
      <c r="E45" s="265"/>
      <c r="F45" s="262"/>
    </row>
    <row r="46" spans="1:6">
      <c r="A46" s="259"/>
      <c r="B46" s="269"/>
      <c r="C46" s="269"/>
      <c r="D46" s="270"/>
      <c r="E46" s="271"/>
      <c r="F46" s="262"/>
    </row>
    <row r="47" spans="1:6">
      <c r="A47" s="259"/>
      <c r="B47" s="272"/>
      <c r="C47" s="269"/>
      <c r="D47" s="273"/>
      <c r="E47" s="274"/>
      <c r="F47" s="275"/>
    </row>
    <row r="48" spans="1:6">
      <c r="A48" s="259"/>
      <c r="B48" s="269"/>
      <c r="C48" s="269"/>
      <c r="D48" s="276"/>
      <c r="E48" s="274"/>
      <c r="F48" s="262"/>
    </row>
    <row r="49" spans="1:6">
      <c r="A49" s="259"/>
      <c r="B49" s="269"/>
      <c r="C49" s="269"/>
      <c r="D49" s="270"/>
      <c r="E49" s="267"/>
      <c r="F49" s="262"/>
    </row>
    <row r="50" spans="1:6">
      <c r="A50" s="259"/>
      <c r="B50" s="272"/>
      <c r="C50" s="269"/>
      <c r="D50" s="260"/>
      <c r="E50" s="274"/>
      <c r="F50" s="275"/>
    </row>
    <row r="51" spans="1:6">
      <c r="A51" s="259"/>
      <c r="B51" s="269"/>
      <c r="C51" s="269"/>
      <c r="D51" s="260"/>
      <c r="E51" s="260"/>
      <c r="F51" s="262"/>
    </row>
    <row r="52" spans="1:6">
      <c r="A52" s="259"/>
      <c r="B52" s="269"/>
      <c r="C52" s="269"/>
      <c r="D52" s="260"/>
      <c r="E52" s="274"/>
      <c r="F52" s="275"/>
    </row>
    <row r="53" spans="1:6">
      <c r="A53" s="259"/>
      <c r="B53" s="269"/>
      <c r="C53" s="269"/>
      <c r="D53" s="260"/>
      <c r="E53" s="274"/>
      <c r="F53" s="274"/>
    </row>
    <row r="54" spans="1:6">
      <c r="A54" s="259"/>
      <c r="B54" s="269"/>
      <c r="C54" s="269"/>
      <c r="D54" s="277"/>
      <c r="E54" s="274"/>
      <c r="F54" s="262"/>
    </row>
    <row r="55" spans="1:6">
      <c r="A55" s="259"/>
      <c r="B55" s="269"/>
      <c r="C55" s="269"/>
      <c r="D55" s="260"/>
      <c r="E55" s="274"/>
      <c r="F55" s="267"/>
    </row>
    <row r="56" spans="1:6">
      <c r="A56" s="259"/>
      <c r="B56" s="278"/>
      <c r="C56" s="278"/>
      <c r="D56" s="278"/>
      <c r="E56" s="278"/>
      <c r="F56" s="259"/>
    </row>
  </sheetData>
  <pageMargins left="0.7" right="0.7" top="0.75" bottom="0.75" header="0.75" footer="0.3"/>
  <pageSetup scale="84" orientation="portrait" r:id="rId1"/>
  <headerFooter>
    <oddHeader>&amp;R&amp;"Times New Roman,Regular"&amp;12EXHIBIT KHB-3
Page 3.21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5.42578125" style="2" customWidth="1"/>
    <col min="5" max="5" width="16.85546875" style="2" customWidth="1"/>
    <col min="6" max="6" width="2.42578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437" t="str">
        <f>Title</f>
        <v xml:space="preserve">PUGET SOUND ENERGY-GAS </v>
      </c>
      <c r="B5" s="439"/>
      <c r="C5" s="439"/>
      <c r="D5" s="439"/>
      <c r="E5" s="439"/>
      <c r="F5" s="297"/>
    </row>
    <row r="6" spans="1:6">
      <c r="A6" s="437" t="s">
        <v>405</v>
      </c>
      <c r="B6" s="489"/>
      <c r="C6" s="489"/>
      <c r="D6" s="489"/>
      <c r="E6" s="489"/>
      <c r="F6" s="298"/>
    </row>
    <row r="7" spans="1:6">
      <c r="A7" s="439" t="str">
        <f>TY</f>
        <v>FOR THE TWELVE MONTHS ENDED DECEMBER  31, 2008</v>
      </c>
      <c r="B7" s="490"/>
      <c r="C7" s="490"/>
      <c r="D7" s="490"/>
      <c r="E7" s="490"/>
      <c r="F7" s="300"/>
    </row>
    <row r="8" spans="1:6">
      <c r="A8" s="437" t="str">
        <f>GRC</f>
        <v>GENERAL RATE INCREASE</v>
      </c>
      <c r="B8" s="439"/>
      <c r="C8" s="439"/>
      <c r="D8" s="439"/>
      <c r="E8" s="439"/>
      <c r="F8" s="297"/>
    </row>
    <row r="9" spans="1:6">
      <c r="A9" s="329"/>
      <c r="B9" s="329"/>
      <c r="C9" s="329"/>
      <c r="D9" s="329"/>
      <c r="E9" s="329"/>
      <c r="F9" s="331"/>
    </row>
    <row r="10" spans="1:6">
      <c r="A10" s="440" t="s">
        <v>112</v>
      </c>
      <c r="B10" s="329"/>
      <c r="C10" s="329"/>
      <c r="D10" s="329"/>
      <c r="E10" s="329"/>
      <c r="F10" s="400"/>
    </row>
    <row r="11" spans="1:6">
      <c r="A11" s="334" t="s">
        <v>115</v>
      </c>
      <c r="B11" s="543" t="s">
        <v>116</v>
      </c>
      <c r="C11" s="444" t="s">
        <v>251</v>
      </c>
      <c r="D11" s="444" t="s">
        <v>252</v>
      </c>
      <c r="E11" s="544" t="s">
        <v>117</v>
      </c>
      <c r="F11" s="400"/>
    </row>
    <row r="12" spans="1:6">
      <c r="A12" s="326"/>
      <c r="B12" s="326"/>
      <c r="C12" s="326"/>
      <c r="D12" s="326"/>
      <c r="E12" s="326"/>
      <c r="F12" s="278"/>
    </row>
    <row r="13" spans="1:6">
      <c r="A13" s="337">
        <v>1</v>
      </c>
      <c r="B13" s="545" t="s">
        <v>403</v>
      </c>
      <c r="C13" s="546">
        <v>-84801.797823599991</v>
      </c>
      <c r="D13" s="546">
        <v>1994055.03</v>
      </c>
      <c r="E13" s="546">
        <f>+D13-C13</f>
        <v>2078856.8278236</v>
      </c>
      <c r="F13" s="278"/>
    </row>
    <row r="14" spans="1:6">
      <c r="A14" s="337">
        <v>2</v>
      </c>
      <c r="B14" s="483" t="s">
        <v>404</v>
      </c>
      <c r="C14" s="547">
        <v>956338.37956800021</v>
      </c>
      <c r="D14" s="547">
        <v>1154856.1261447982</v>
      </c>
      <c r="E14" s="547">
        <f>+D14-C14</f>
        <v>198517.74657679803</v>
      </c>
      <c r="F14" s="278"/>
    </row>
    <row r="15" spans="1:6">
      <c r="A15" s="337">
        <v>3</v>
      </c>
      <c r="B15" s="326"/>
      <c r="C15" s="548"/>
      <c r="D15" s="548"/>
      <c r="E15" s="510"/>
      <c r="F15" s="278"/>
    </row>
    <row r="16" spans="1:6">
      <c r="A16" s="337">
        <v>4</v>
      </c>
      <c r="B16" s="483" t="s">
        <v>314</v>
      </c>
      <c r="C16" s="549">
        <f>SUM(C13:C15)</f>
        <v>871536.5817444002</v>
      </c>
      <c r="D16" s="549">
        <f>SUM(D13:D15)</f>
        <v>3148911.1561447983</v>
      </c>
      <c r="E16" s="549">
        <f>SUM(E13:E15)</f>
        <v>2277374.5744003979</v>
      </c>
      <c r="F16" s="278"/>
    </row>
    <row r="17" spans="1:6">
      <c r="A17" s="337">
        <v>5</v>
      </c>
      <c r="B17" s="483"/>
      <c r="C17" s="326"/>
      <c r="D17" s="326"/>
      <c r="E17" s="477"/>
      <c r="F17" s="274"/>
    </row>
    <row r="18" spans="1:6">
      <c r="A18" s="337">
        <v>6</v>
      </c>
      <c r="B18" s="326"/>
      <c r="C18" s="326"/>
      <c r="D18" s="326"/>
      <c r="E18" s="504"/>
      <c r="F18" s="278"/>
    </row>
    <row r="19" spans="1:6">
      <c r="A19" s="337">
        <v>7</v>
      </c>
      <c r="B19" s="483" t="s">
        <v>138</v>
      </c>
      <c r="C19" s="508">
        <f>FIT</f>
        <v>0.35</v>
      </c>
      <c r="D19" s="535"/>
      <c r="E19" s="510">
        <f>C19*-E16</f>
        <v>-797081.10104013921</v>
      </c>
      <c r="F19" s="278"/>
    </row>
    <row r="20" spans="1:6" ht="16.5" thickBot="1">
      <c r="A20" s="337">
        <v>8</v>
      </c>
      <c r="B20" s="483" t="s">
        <v>131</v>
      </c>
      <c r="C20" s="326"/>
      <c r="D20" s="326"/>
      <c r="E20" s="550">
        <f>-E16-E19</f>
        <v>-1480293.4733602586</v>
      </c>
      <c r="F20" s="278"/>
    </row>
    <row r="21" spans="1:6" ht="16.5" thickTop="1">
      <c r="A21" s="551"/>
      <c r="B21" s="551"/>
      <c r="C21" s="551"/>
      <c r="D21" s="551"/>
      <c r="E21" s="551"/>
      <c r="F21" s="278"/>
    </row>
    <row r="22" spans="1:6">
      <c r="A22" s="552"/>
      <c r="B22" s="326"/>
      <c r="C22" s="326"/>
      <c r="D22" s="326"/>
      <c r="E22" s="326" t="s">
        <v>50</v>
      </c>
      <c r="F22" s="278"/>
    </row>
    <row r="23" spans="1:6">
      <c r="A23" s="324"/>
      <c r="B23" s="347"/>
      <c r="C23" s="347"/>
      <c r="D23" s="350"/>
      <c r="E23" s="26"/>
      <c r="F23" s="278"/>
    </row>
    <row r="24" spans="1:6">
      <c r="A24" s="324"/>
      <c r="B24" s="347"/>
      <c r="C24" s="347"/>
      <c r="D24" s="351"/>
      <c r="E24" s="325"/>
      <c r="F24" s="278"/>
    </row>
    <row r="25" spans="1:6">
      <c r="A25" s="324"/>
      <c r="B25" s="347"/>
      <c r="C25" s="347"/>
      <c r="D25" s="347"/>
      <c r="E25" s="347"/>
      <c r="F25" s="278"/>
    </row>
    <row r="26" spans="1:6">
      <c r="A26" s="324"/>
      <c r="B26" s="348"/>
      <c r="C26" s="347"/>
      <c r="D26" s="347"/>
      <c r="E26" s="347"/>
      <c r="F26" s="278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78"/>
    </row>
    <row r="30" spans="1:6">
      <c r="A30" s="324"/>
      <c r="B30" s="269"/>
      <c r="C30" s="347"/>
      <c r="D30" s="347"/>
      <c r="E30" s="26"/>
      <c r="F30" s="260"/>
    </row>
    <row r="31" spans="1:6">
      <c r="A31" s="324"/>
      <c r="B31" s="260"/>
      <c r="C31" s="347"/>
      <c r="D31" s="347"/>
      <c r="E31" s="347"/>
      <c r="F31" s="260"/>
    </row>
    <row r="32" spans="1:6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3" orientation="portrait" r:id="rId1"/>
  <headerFooter>
    <oddHeader>&amp;R&amp;"Times New Roman,Regular"&amp;12EXHIBIT KHB-3
Page 3.22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zoomScale="110" zoomScaleNormal="11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5.7109375" style="2" customWidth="1"/>
    <col min="4" max="4" width="8.42578125" style="2" customWidth="1"/>
    <col min="5" max="5" width="12.5703125" style="2" customWidth="1"/>
    <col min="6" max="6" width="12" style="2" customWidth="1"/>
    <col min="7" max="7" width="13.425781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352" t="s">
        <v>222</v>
      </c>
      <c r="B4" s="205"/>
      <c r="C4" s="205"/>
      <c r="D4" s="205"/>
      <c r="E4" s="205"/>
      <c r="F4" s="205"/>
      <c r="G4" s="205"/>
    </row>
    <row r="5" spans="1:7">
      <c r="A5" s="205" t="s">
        <v>465</v>
      </c>
      <c r="B5" s="205"/>
      <c r="C5" s="205"/>
      <c r="D5" s="205"/>
      <c r="E5" s="205"/>
      <c r="F5" s="205"/>
      <c r="G5" s="284"/>
    </row>
    <row r="6" spans="1:7">
      <c r="A6" s="205" t="s">
        <v>384</v>
      </c>
      <c r="B6" s="205"/>
      <c r="C6" s="205"/>
      <c r="D6" s="205"/>
      <c r="E6" s="205"/>
      <c r="F6" s="205"/>
      <c r="G6" s="157"/>
    </row>
    <row r="7" spans="1:7">
      <c r="A7" s="205" t="s">
        <v>406</v>
      </c>
      <c r="B7" s="205"/>
      <c r="C7" s="205"/>
      <c r="D7" s="205"/>
      <c r="E7" s="205"/>
      <c r="F7" s="205"/>
      <c r="G7" s="157"/>
    </row>
    <row r="8" spans="1:7">
      <c r="A8" s="217"/>
      <c r="B8" s="353"/>
      <c r="C8" s="353"/>
      <c r="D8" s="353"/>
      <c r="E8" s="353"/>
      <c r="F8" s="217"/>
      <c r="G8" s="217"/>
    </row>
    <row r="9" spans="1:7">
      <c r="A9" s="216" t="s">
        <v>112</v>
      </c>
      <c r="B9" s="217"/>
      <c r="C9" s="217"/>
      <c r="D9" s="217"/>
      <c r="E9" s="354"/>
      <c r="F9" s="217"/>
      <c r="G9" s="354"/>
    </row>
    <row r="10" spans="1:7">
      <c r="A10" s="355" t="s">
        <v>115</v>
      </c>
      <c r="B10" s="356" t="s">
        <v>116</v>
      </c>
      <c r="C10" s="356"/>
      <c r="D10" s="356"/>
      <c r="E10" s="357" t="s">
        <v>274</v>
      </c>
      <c r="F10" s="357" t="s">
        <v>275</v>
      </c>
      <c r="G10" s="357" t="s">
        <v>117</v>
      </c>
    </row>
    <row r="11" spans="1:7">
      <c r="A11" s="219"/>
      <c r="B11" s="218"/>
      <c r="C11" s="218"/>
      <c r="D11" s="218"/>
      <c r="E11" s="206"/>
      <c r="F11" s="206"/>
      <c r="G11" s="206"/>
    </row>
    <row r="12" spans="1:7">
      <c r="A12" s="219">
        <v>1</v>
      </c>
      <c r="B12" s="206" t="s">
        <v>407</v>
      </c>
      <c r="C12" s="206"/>
      <c r="D12" s="206"/>
      <c r="E12" s="358"/>
      <c r="F12" s="359"/>
      <c r="G12" s="358"/>
    </row>
    <row r="13" spans="1:7">
      <c r="A13" s="219">
        <f t="shared" ref="A13:A29" si="0">A12+1</f>
        <v>2</v>
      </c>
      <c r="B13" s="360" t="s">
        <v>408</v>
      </c>
      <c r="C13" s="218"/>
      <c r="D13" s="218"/>
      <c r="E13" s="361">
        <v>157210</v>
      </c>
      <c r="F13" s="361">
        <v>164228</v>
      </c>
      <c r="G13" s="361">
        <f>+F13-E13</f>
        <v>7018</v>
      </c>
    </row>
    <row r="14" spans="1:7">
      <c r="A14" s="219">
        <f t="shared" si="0"/>
        <v>3</v>
      </c>
      <c r="B14" s="360" t="s">
        <v>409</v>
      </c>
      <c r="C14" s="218"/>
      <c r="D14" s="218"/>
      <c r="E14" s="362">
        <v>513380</v>
      </c>
      <c r="F14" s="362">
        <v>532429</v>
      </c>
      <c r="G14" s="372">
        <f t="shared" ref="G14:G21" si="1">+F14-E14</f>
        <v>19049</v>
      </c>
    </row>
    <row r="15" spans="1:7">
      <c r="A15" s="219">
        <f t="shared" si="0"/>
        <v>4</v>
      </c>
      <c r="B15" s="360" t="s">
        <v>410</v>
      </c>
      <c r="C15" s="218"/>
      <c r="D15" s="218"/>
      <c r="E15" s="362">
        <v>517951</v>
      </c>
      <c r="F15" s="362">
        <v>541110</v>
      </c>
      <c r="G15" s="372">
        <f t="shared" si="1"/>
        <v>23159</v>
      </c>
    </row>
    <row r="16" spans="1:7">
      <c r="A16" s="219">
        <f t="shared" si="0"/>
        <v>5</v>
      </c>
      <c r="B16" s="360" t="s">
        <v>411</v>
      </c>
      <c r="C16" s="218"/>
      <c r="D16" s="218"/>
      <c r="E16" s="362">
        <v>168404</v>
      </c>
      <c r="F16" s="362">
        <v>176041</v>
      </c>
      <c r="G16" s="372">
        <f t="shared" si="1"/>
        <v>7637</v>
      </c>
    </row>
    <row r="17" spans="1:7">
      <c r="A17" s="219">
        <f t="shared" si="0"/>
        <v>6</v>
      </c>
      <c r="B17" s="360" t="s">
        <v>412</v>
      </c>
      <c r="C17" s="218"/>
      <c r="D17" s="218"/>
      <c r="E17" s="362">
        <v>20616696</v>
      </c>
      <c r="F17" s="362">
        <v>21606880</v>
      </c>
      <c r="G17" s="372">
        <f t="shared" si="1"/>
        <v>990184</v>
      </c>
    </row>
    <row r="18" spans="1:7">
      <c r="A18" s="219">
        <f t="shared" si="0"/>
        <v>7</v>
      </c>
      <c r="B18" s="360" t="s">
        <v>413</v>
      </c>
      <c r="C18" s="218"/>
      <c r="D18" s="218"/>
      <c r="E18" s="362">
        <v>7375878</v>
      </c>
      <c r="F18" s="362">
        <v>7669538</v>
      </c>
      <c r="G18" s="372">
        <f t="shared" si="1"/>
        <v>293660</v>
      </c>
    </row>
    <row r="19" spans="1:7">
      <c r="A19" s="219">
        <f t="shared" si="0"/>
        <v>8</v>
      </c>
      <c r="B19" s="360" t="s">
        <v>414</v>
      </c>
      <c r="C19" s="218"/>
      <c r="D19" s="218"/>
      <c r="E19" s="362">
        <v>1087202</v>
      </c>
      <c r="F19" s="362">
        <v>1124547</v>
      </c>
      <c r="G19" s="372">
        <f t="shared" si="1"/>
        <v>37345</v>
      </c>
    </row>
    <row r="20" spans="1:7">
      <c r="A20" s="219">
        <f t="shared" si="0"/>
        <v>9</v>
      </c>
      <c r="B20" s="360" t="s">
        <v>415</v>
      </c>
      <c r="C20" s="218"/>
      <c r="D20" s="218"/>
      <c r="E20" s="362">
        <v>27852</v>
      </c>
      <c r="F20" s="362">
        <v>28771</v>
      </c>
      <c r="G20" s="372">
        <f t="shared" si="1"/>
        <v>919</v>
      </c>
    </row>
    <row r="21" spans="1:7">
      <c r="A21" s="219">
        <f t="shared" si="0"/>
        <v>10</v>
      </c>
      <c r="B21" s="360" t="s">
        <v>416</v>
      </c>
      <c r="C21" s="218"/>
      <c r="D21" s="218"/>
      <c r="E21" s="362">
        <v>10569517</v>
      </c>
      <c r="F21" s="362">
        <v>10879692</v>
      </c>
      <c r="G21" s="372">
        <f t="shared" si="1"/>
        <v>310175</v>
      </c>
    </row>
    <row r="22" spans="1:7">
      <c r="A22" s="219">
        <f t="shared" si="0"/>
        <v>11</v>
      </c>
      <c r="B22" s="218" t="s">
        <v>417</v>
      </c>
      <c r="C22" s="218"/>
      <c r="D22" s="218"/>
      <c r="E22" s="363">
        <f>SUM(E13:E21)</f>
        <v>41034090</v>
      </c>
      <c r="F22" s="363">
        <f>SUM(F13:F21)</f>
        <v>42723236</v>
      </c>
      <c r="G22" s="363">
        <f>SUM(G13:G21)</f>
        <v>1689146</v>
      </c>
    </row>
    <row r="23" spans="1:7">
      <c r="A23" s="219">
        <f t="shared" si="0"/>
        <v>12</v>
      </c>
      <c r="B23" s="206"/>
      <c r="C23" s="206"/>
      <c r="D23" s="206"/>
      <c r="E23" s="362"/>
      <c r="F23" s="362"/>
      <c r="G23" s="362"/>
    </row>
    <row r="24" spans="1:7">
      <c r="A24" s="219">
        <f t="shared" si="0"/>
        <v>13</v>
      </c>
      <c r="B24" s="360" t="s">
        <v>418</v>
      </c>
      <c r="C24" s="364"/>
      <c r="D24" s="218"/>
      <c r="E24" s="365">
        <v>3528067.9387345924</v>
      </c>
      <c r="F24" s="365">
        <v>3643204</v>
      </c>
      <c r="G24" s="365">
        <f>+F24-E24</f>
        <v>115136.0612654076</v>
      </c>
    </row>
    <row r="25" spans="1:7">
      <c r="A25" s="219">
        <f t="shared" si="0"/>
        <v>14</v>
      </c>
      <c r="B25" s="218" t="s">
        <v>419</v>
      </c>
      <c r="C25" s="218"/>
      <c r="D25" s="218"/>
      <c r="E25" s="366">
        <f>+E24+E22</f>
        <v>44562157.938734591</v>
      </c>
      <c r="F25" s="366">
        <f>+F24+F22</f>
        <v>46366440</v>
      </c>
      <c r="G25" s="361">
        <f>SUM(G22:G24)</f>
        <v>1804282.0612654076</v>
      </c>
    </row>
    <row r="26" spans="1:7">
      <c r="A26" s="219">
        <f t="shared" si="0"/>
        <v>15</v>
      </c>
      <c r="B26" s="218"/>
      <c r="C26" s="218"/>
      <c r="D26" s="218"/>
      <c r="E26" s="358"/>
      <c r="F26" s="358"/>
      <c r="G26" s="358"/>
    </row>
    <row r="27" spans="1:7">
      <c r="A27" s="219">
        <f t="shared" si="0"/>
        <v>16</v>
      </c>
      <c r="B27" s="367" t="s">
        <v>420</v>
      </c>
      <c r="C27" s="367"/>
      <c r="D27" s="367"/>
      <c r="E27" s="368"/>
      <c r="F27" s="368"/>
      <c r="G27" s="369">
        <f>+G25</f>
        <v>1804282.0612654076</v>
      </c>
    </row>
    <row r="28" spans="1:7">
      <c r="A28" s="219">
        <f t="shared" si="0"/>
        <v>17</v>
      </c>
      <c r="B28" s="218" t="s">
        <v>397</v>
      </c>
      <c r="C28" s="218"/>
      <c r="D28" s="218"/>
      <c r="E28" s="358"/>
      <c r="F28" s="358"/>
      <c r="G28" s="358">
        <f>-G27*0.35</f>
        <v>-631498.72144289257</v>
      </c>
    </row>
    <row r="29" spans="1:7" ht="16.5" thickBot="1">
      <c r="A29" s="219">
        <f t="shared" si="0"/>
        <v>18</v>
      </c>
      <c r="B29" s="218" t="s">
        <v>131</v>
      </c>
      <c r="C29" s="218"/>
      <c r="D29" s="218"/>
      <c r="E29" s="206"/>
      <c r="F29" s="206"/>
      <c r="G29" s="370">
        <f>-G27-G28</f>
        <v>-1172783.3398225149</v>
      </c>
    </row>
    <row r="30" spans="1:7" ht="16.5" thickTop="1">
      <c r="A30" s="206"/>
      <c r="B30" s="206"/>
      <c r="C30" s="206"/>
      <c r="D30" s="206"/>
      <c r="E30" s="206"/>
      <c r="F30"/>
      <c r="G30"/>
    </row>
    <row r="31" spans="1:7">
      <c r="A31" s="206"/>
      <c r="B31" s="206"/>
      <c r="C31" s="206"/>
      <c r="D31" s="206"/>
      <c r="E31" s="206"/>
      <c r="F31"/>
      <c r="G31"/>
    </row>
    <row r="32" spans="1:7">
      <c r="A32" s="206"/>
      <c r="B32" s="206"/>
      <c r="C32" s="206"/>
      <c r="D32" s="206"/>
      <c r="E32" s="371"/>
      <c r="F32"/>
      <c r="G32"/>
    </row>
    <row r="33" spans="1:6">
      <c r="A33" s="210"/>
      <c r="B33" s="208"/>
      <c r="C33" s="208"/>
      <c r="D33" s="208"/>
      <c r="E33" s="211"/>
      <c r="F33" s="130"/>
    </row>
    <row r="34" spans="1:6">
      <c r="A34" s="210"/>
      <c r="B34" s="137"/>
      <c r="C34" s="137"/>
      <c r="D34" s="137"/>
      <c r="E34" s="211"/>
      <c r="F34" s="130"/>
    </row>
    <row r="35" spans="1:6">
      <c r="A35" s="210"/>
      <c r="B35" s="137"/>
      <c r="C35" s="137"/>
      <c r="D35" s="137"/>
      <c r="E35" s="215"/>
      <c r="F35" s="130"/>
    </row>
    <row r="36" spans="1:6">
      <c r="A36" s="137"/>
      <c r="B36" s="137"/>
      <c r="C36" s="137"/>
      <c r="D36" s="137"/>
      <c r="E36" s="137"/>
      <c r="F36" s="130"/>
    </row>
    <row r="37" spans="1:6">
      <c r="A37" s="117"/>
      <c r="B37" s="117"/>
      <c r="C37" s="117"/>
      <c r="D37" s="117"/>
      <c r="E37" s="117"/>
      <c r="F37" s="130"/>
    </row>
    <row r="38" spans="1:6">
      <c r="A38" s="135"/>
      <c r="B38" s="130"/>
      <c r="C38" s="179"/>
      <c r="D38" s="123"/>
      <c r="E38" s="197"/>
      <c r="F38" s="130"/>
    </row>
    <row r="39" spans="1:6">
      <c r="A39" s="135"/>
      <c r="B39" s="130"/>
      <c r="C39" s="130"/>
      <c r="D39" s="130"/>
      <c r="E39" s="129"/>
      <c r="F39" s="131"/>
    </row>
    <row r="40" spans="1:6">
      <c r="A40" s="135"/>
      <c r="B40" s="180"/>
      <c r="C40" s="180"/>
      <c r="D40" s="181"/>
      <c r="E40" s="36"/>
      <c r="F40" s="130"/>
    </row>
    <row r="41" spans="1:6">
      <c r="A41" s="135"/>
      <c r="B41" s="182"/>
      <c r="C41" s="180"/>
      <c r="D41" s="181"/>
      <c r="E41" s="36"/>
      <c r="F41" s="130"/>
    </row>
    <row r="42" spans="1:6">
      <c r="A42" s="135"/>
      <c r="B42" s="182"/>
      <c r="C42" s="180"/>
      <c r="D42" s="181"/>
      <c r="E42" s="36"/>
      <c r="F42" s="130"/>
    </row>
    <row r="43" spans="1:6">
      <c r="A43" s="135"/>
      <c r="B43" s="180"/>
      <c r="C43" s="180"/>
      <c r="D43" s="181"/>
      <c r="E43" s="36"/>
      <c r="F43" s="129"/>
    </row>
    <row r="44" spans="1:6">
      <c r="A44" s="135"/>
      <c r="B44" s="180"/>
      <c r="C44" s="180"/>
      <c r="D44" s="181"/>
      <c r="E44" s="36"/>
      <c r="F44" s="130"/>
    </row>
    <row r="45" spans="1:6">
      <c r="A45" s="135"/>
      <c r="B45" s="138"/>
      <c r="C45" s="138"/>
      <c r="D45" s="198"/>
      <c r="E45" s="131"/>
      <c r="F45" s="123"/>
    </row>
    <row r="46" spans="1:6">
      <c r="A46" s="135"/>
      <c r="B46" s="138"/>
      <c r="C46" s="138"/>
      <c r="D46" s="198"/>
      <c r="E46" s="139"/>
      <c r="F46" s="123"/>
    </row>
    <row r="47" spans="1:6">
      <c r="A47" s="135"/>
      <c r="B47" s="199"/>
      <c r="C47" s="138"/>
      <c r="D47" s="200"/>
      <c r="E47" s="133"/>
      <c r="F47" s="38"/>
    </row>
    <row r="48" spans="1:6">
      <c r="A48" s="135"/>
      <c r="B48" s="138"/>
      <c r="C48" s="138"/>
      <c r="D48" s="201"/>
      <c r="E48" s="133"/>
      <c r="F48" s="123"/>
    </row>
    <row r="49" spans="1:6">
      <c r="A49" s="135"/>
      <c r="B49" s="138"/>
      <c r="C49" s="138"/>
      <c r="D49" s="198"/>
      <c r="E49" s="36"/>
      <c r="F49" s="123"/>
    </row>
    <row r="50" spans="1:6">
      <c r="A50" s="135"/>
      <c r="B50" s="199"/>
      <c r="C50" s="138"/>
      <c r="D50" s="130"/>
      <c r="E50" s="133"/>
      <c r="F50" s="38"/>
    </row>
    <row r="51" spans="1:6">
      <c r="A51" s="135"/>
      <c r="B51" s="138"/>
      <c r="C51" s="138"/>
      <c r="D51" s="130"/>
      <c r="E51" s="130"/>
      <c r="F51" s="123"/>
    </row>
    <row r="52" spans="1:6">
      <c r="A52" s="135"/>
      <c r="B52" s="138"/>
      <c r="C52" s="138"/>
      <c r="D52" s="130"/>
      <c r="E52" s="133"/>
      <c r="F52" s="38"/>
    </row>
    <row r="53" spans="1:6">
      <c r="A53" s="135"/>
      <c r="B53" s="138"/>
      <c r="C53" s="138"/>
      <c r="D53" s="130"/>
      <c r="E53" s="133"/>
      <c r="F53" s="133"/>
    </row>
    <row r="54" spans="1:6">
      <c r="A54" s="135"/>
      <c r="B54" s="138"/>
      <c r="C54" s="138"/>
      <c r="D54" s="202"/>
      <c r="E54" s="133"/>
      <c r="F54" s="123"/>
    </row>
    <row r="55" spans="1:6">
      <c r="A55" s="135"/>
      <c r="B55" s="138"/>
      <c r="C55" s="138"/>
      <c r="D55" s="130"/>
      <c r="E55" s="133"/>
      <c r="F55" s="36"/>
    </row>
    <row r="56" spans="1:6">
      <c r="A56" s="135"/>
      <c r="B56" s="137"/>
      <c r="C56" s="137"/>
      <c r="D56" s="137"/>
      <c r="E56" s="137"/>
      <c r="F56" s="135"/>
    </row>
  </sheetData>
  <pageMargins left="0.7" right="0.7" top="0.75" bottom="0.75" header="0.75" footer="0.3"/>
  <pageSetup scale="87" orientation="portrait" r:id="rId1"/>
  <headerFooter>
    <oddHeader>&amp;R&amp;"Times New Roman,Regular"&amp;12EXHIBIT KHB-3
Page 3.23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511" t="s">
        <v>222</v>
      </c>
      <c r="B5" s="512"/>
      <c r="C5" s="512"/>
      <c r="D5" s="512"/>
      <c r="E5" s="512"/>
      <c r="F5" s="297"/>
    </row>
    <row r="6" spans="1:6">
      <c r="A6" s="512" t="s">
        <v>532</v>
      </c>
      <c r="B6" s="512"/>
      <c r="C6" s="512"/>
      <c r="D6" s="512"/>
      <c r="E6" s="489"/>
      <c r="F6" s="298"/>
    </row>
    <row r="7" spans="1:6">
      <c r="A7" s="512" t="s">
        <v>384</v>
      </c>
      <c r="B7" s="512"/>
      <c r="C7" s="512"/>
      <c r="D7" s="512"/>
      <c r="E7" s="490"/>
      <c r="F7" s="300"/>
    </row>
    <row r="8" spans="1:6">
      <c r="A8" s="511" t="s">
        <v>385</v>
      </c>
      <c r="B8" s="512"/>
      <c r="C8" s="512"/>
      <c r="D8" s="512"/>
      <c r="E8" s="490"/>
      <c r="F8" s="297"/>
    </row>
    <row r="9" spans="1:6">
      <c r="A9" s="220"/>
      <c r="B9" s="513"/>
      <c r="C9" s="514"/>
      <c r="D9" s="514"/>
      <c r="E9" s="514"/>
      <c r="F9" s="331"/>
    </row>
    <row r="10" spans="1:6">
      <c r="A10" s="397" t="s">
        <v>112</v>
      </c>
      <c r="B10" s="220"/>
      <c r="C10" s="220"/>
      <c r="D10" s="220"/>
      <c r="E10" s="398" t="s">
        <v>50</v>
      </c>
      <c r="F10" s="400"/>
    </row>
    <row r="11" spans="1:6">
      <c r="A11" s="515" t="s">
        <v>115</v>
      </c>
      <c r="B11" s="516" t="s">
        <v>116</v>
      </c>
      <c r="C11" s="517"/>
      <c r="D11" s="517"/>
      <c r="E11" s="517" t="s">
        <v>118</v>
      </c>
      <c r="F11" s="400"/>
    </row>
    <row r="12" spans="1:6">
      <c r="A12" s="257"/>
      <c r="B12" s="518"/>
      <c r="C12" s="519"/>
      <c r="D12" s="519"/>
      <c r="E12" s="520"/>
      <c r="F12" s="278"/>
    </row>
    <row r="13" spans="1:6">
      <c r="A13" s="257">
        <v>1</v>
      </c>
      <c r="B13" s="521" t="s">
        <v>421</v>
      </c>
      <c r="C13" s="230"/>
      <c r="D13" s="230"/>
      <c r="E13" s="522"/>
      <c r="F13" s="278"/>
    </row>
    <row r="14" spans="1:6">
      <c r="A14" s="257">
        <f t="shared" ref="A14:A40" si="0">A13+1</f>
        <v>2</v>
      </c>
      <c r="B14" s="247" t="s">
        <v>422</v>
      </c>
      <c r="C14" s="257"/>
      <c r="D14" s="523">
        <f>'[14]Inv Plan'!D11</f>
        <v>2765561.1887863865</v>
      </c>
      <c r="F14" s="278"/>
    </row>
    <row r="15" spans="1:6">
      <c r="A15" s="257">
        <f t="shared" si="0"/>
        <v>3</v>
      </c>
      <c r="B15" s="230" t="s">
        <v>423</v>
      </c>
      <c r="C15" s="524">
        <v>3.2800000000000003E-2</v>
      </c>
      <c r="D15" s="525">
        <f>+D14*C15</f>
        <v>90710.406992193486</v>
      </c>
      <c r="E15" s="18"/>
      <c r="F15" s="278"/>
    </row>
    <row r="16" spans="1:6">
      <c r="A16" s="257">
        <f t="shared" si="0"/>
        <v>4</v>
      </c>
      <c r="B16" s="526" t="s">
        <v>424</v>
      </c>
      <c r="C16" s="257"/>
      <c r="D16" s="257"/>
      <c r="E16" s="242">
        <f>+D15+D14</f>
        <v>2856271.5957785798</v>
      </c>
      <c r="F16" s="278"/>
    </row>
    <row r="17" spans="1:6">
      <c r="A17" s="257">
        <f t="shared" si="0"/>
        <v>5</v>
      </c>
      <c r="B17" s="526"/>
      <c r="C17" s="257"/>
      <c r="D17" s="257"/>
      <c r="E17" s="242"/>
      <c r="F17" s="274"/>
    </row>
    <row r="18" spans="1:6">
      <c r="A18" s="257">
        <f t="shared" si="0"/>
        <v>6</v>
      </c>
      <c r="B18" s="521" t="s">
        <v>425</v>
      </c>
      <c r="C18" s="527"/>
      <c r="D18" s="527"/>
      <c r="E18" s="242"/>
      <c r="F18" s="278"/>
    </row>
    <row r="19" spans="1:6">
      <c r="A19" s="257">
        <f t="shared" si="0"/>
        <v>7</v>
      </c>
      <c r="B19" s="247" t="s">
        <v>426</v>
      </c>
      <c r="C19" s="257"/>
      <c r="D19" s="528">
        <v>63068</v>
      </c>
      <c r="E19" s="18"/>
      <c r="F19" s="278"/>
    </row>
    <row r="20" spans="1:6">
      <c r="A20" s="257">
        <f t="shared" si="0"/>
        <v>8</v>
      </c>
      <c r="B20" s="230" t="s">
        <v>427</v>
      </c>
      <c r="C20" s="529">
        <v>0</v>
      </c>
      <c r="D20" s="525">
        <f>+D19*C20</f>
        <v>0</v>
      </c>
      <c r="E20" s="18"/>
      <c r="F20" s="278"/>
    </row>
    <row r="21" spans="1:6">
      <c r="A21" s="257">
        <f t="shared" si="0"/>
        <v>9</v>
      </c>
      <c r="B21" s="526" t="s">
        <v>428</v>
      </c>
      <c r="C21" s="526"/>
      <c r="D21" s="526"/>
      <c r="E21" s="242">
        <f>SUM(D19:D20)</f>
        <v>63068</v>
      </c>
      <c r="F21" s="278"/>
    </row>
    <row r="22" spans="1:6">
      <c r="A22" s="257">
        <f t="shared" si="0"/>
        <v>10</v>
      </c>
      <c r="B22" s="230"/>
      <c r="C22" s="230"/>
      <c r="D22" s="230"/>
      <c r="E22" s="242"/>
      <c r="F22" s="278"/>
    </row>
    <row r="23" spans="1:6">
      <c r="A23" s="257">
        <f t="shared" si="0"/>
        <v>11</v>
      </c>
      <c r="B23" s="521" t="s">
        <v>429</v>
      </c>
      <c r="C23" s="527"/>
      <c r="D23" s="527"/>
      <c r="E23" s="242"/>
      <c r="F23" s="278"/>
    </row>
    <row r="24" spans="1:6">
      <c r="A24" s="257">
        <f t="shared" si="0"/>
        <v>12</v>
      </c>
      <c r="B24" s="247" t="s">
        <v>426</v>
      </c>
      <c r="C24" s="257"/>
      <c r="D24" s="528">
        <v>608252.82160000002</v>
      </c>
      <c r="E24" s="18"/>
      <c r="F24" s="278"/>
    </row>
    <row r="25" spans="1:6">
      <c r="A25" s="257">
        <f t="shared" si="0"/>
        <v>13</v>
      </c>
      <c r="B25" s="230" t="s">
        <v>427</v>
      </c>
      <c r="C25" s="529">
        <v>4.0899999999999999E-2</v>
      </c>
      <c r="D25" s="525">
        <f>+D24*C25</f>
        <v>24877.540403440002</v>
      </c>
      <c r="E25" s="18"/>
      <c r="F25" s="278"/>
    </row>
    <row r="26" spans="1:6">
      <c r="A26" s="257">
        <f t="shared" si="0"/>
        <v>14</v>
      </c>
      <c r="B26" s="526" t="s">
        <v>428</v>
      </c>
      <c r="C26" s="526"/>
      <c r="D26" s="526"/>
      <c r="E26" s="242">
        <f>SUM(D24:D25)</f>
        <v>633130.36200344004</v>
      </c>
      <c r="F26" s="278"/>
    </row>
    <row r="27" spans="1:6">
      <c r="A27" s="257">
        <f t="shared" si="0"/>
        <v>15</v>
      </c>
      <c r="B27" s="230"/>
      <c r="C27" s="230"/>
      <c r="D27" s="230"/>
      <c r="E27" s="242"/>
      <c r="F27" s="278"/>
    </row>
    <row r="28" spans="1:6">
      <c r="A28" s="257">
        <f t="shared" si="0"/>
        <v>16</v>
      </c>
      <c r="B28" s="521" t="s">
        <v>430</v>
      </c>
      <c r="C28" s="527"/>
      <c r="D28" s="527"/>
      <c r="E28" s="242"/>
      <c r="F28" s="278"/>
    </row>
    <row r="29" spans="1:6">
      <c r="A29" s="257">
        <f t="shared" si="0"/>
        <v>17</v>
      </c>
      <c r="B29" s="247" t="s">
        <v>431</v>
      </c>
      <c r="C29" s="257"/>
      <c r="D29" s="528">
        <v>466526.3124</v>
      </c>
      <c r="E29" s="18"/>
      <c r="F29" s="278"/>
    </row>
    <row r="30" spans="1:6">
      <c r="A30" s="257">
        <f t="shared" si="0"/>
        <v>18</v>
      </c>
      <c r="B30" s="230" t="s">
        <v>432</v>
      </c>
      <c r="C30" s="529">
        <v>5.3199999999999997E-2</v>
      </c>
      <c r="D30" s="525">
        <f>+D29*C30</f>
        <v>24819.199819679998</v>
      </c>
      <c r="E30" s="18"/>
      <c r="F30" s="260"/>
    </row>
    <row r="31" spans="1:6">
      <c r="A31" s="257">
        <f t="shared" si="0"/>
        <v>19</v>
      </c>
      <c r="B31" s="526" t="s">
        <v>433</v>
      </c>
      <c r="C31" s="526"/>
      <c r="D31" s="526"/>
      <c r="E31" s="242">
        <f>SUM(D29:D30)</f>
        <v>491345.51221968001</v>
      </c>
      <c r="F31" s="260"/>
    </row>
    <row r="32" spans="1:6">
      <c r="A32" s="257">
        <f t="shared" si="0"/>
        <v>20</v>
      </c>
      <c r="B32" s="230"/>
      <c r="C32" s="230"/>
      <c r="D32" s="230"/>
      <c r="E32" s="530"/>
      <c r="F32" s="260"/>
    </row>
    <row r="33" spans="1:6">
      <c r="A33" s="257">
        <f t="shared" si="0"/>
        <v>21</v>
      </c>
      <c r="B33" s="531" t="s">
        <v>120</v>
      </c>
      <c r="C33" s="532"/>
      <c r="D33" s="532"/>
      <c r="E33" s="533"/>
      <c r="F33" s="260"/>
    </row>
    <row r="34" spans="1:6">
      <c r="A34" s="257">
        <f t="shared" si="0"/>
        <v>22</v>
      </c>
      <c r="B34" s="534" t="s">
        <v>434</v>
      </c>
      <c r="C34" s="257"/>
      <c r="D34" s="257"/>
      <c r="E34" s="528">
        <f>+E16+E21+E31+E26</f>
        <v>4043815.4700016999</v>
      </c>
      <c r="F34" s="260"/>
    </row>
    <row r="35" spans="1:6">
      <c r="A35" s="257">
        <f t="shared" si="0"/>
        <v>23</v>
      </c>
      <c r="B35" s="534" t="s">
        <v>435</v>
      </c>
      <c r="C35" s="524">
        <v>0.59399999999999997</v>
      </c>
      <c r="D35" s="524"/>
      <c r="E35" s="528">
        <f>+E34*C35</f>
        <v>2402026.3891810095</v>
      </c>
      <c r="F35" s="260"/>
    </row>
    <row r="36" spans="1:6">
      <c r="A36" s="257">
        <f t="shared" si="0"/>
        <v>24</v>
      </c>
      <c r="B36" s="247" t="s">
        <v>436</v>
      </c>
      <c r="C36" s="535"/>
      <c r="D36" s="535"/>
      <c r="E36" s="525">
        <f>(+D14+D19+D29+D24)*C35</f>
        <v>2318624.5437351135</v>
      </c>
      <c r="F36" s="260"/>
    </row>
    <row r="37" spans="1:6">
      <c r="A37" s="257">
        <f t="shared" si="0"/>
        <v>25</v>
      </c>
      <c r="B37" s="536" t="s">
        <v>134</v>
      </c>
      <c r="C37" s="537"/>
      <c r="D37" s="537"/>
      <c r="E37" s="538">
        <f>E35-E36</f>
        <v>83401.845445896033</v>
      </c>
      <c r="F37" s="260"/>
    </row>
    <row r="38" spans="1:6">
      <c r="A38" s="257">
        <f t="shared" si="0"/>
        <v>26</v>
      </c>
      <c r="B38" s="230"/>
      <c r="C38" s="257"/>
      <c r="D38" s="257"/>
      <c r="E38" s="528"/>
      <c r="F38" s="260"/>
    </row>
    <row r="39" spans="1:6">
      <c r="A39" s="257">
        <f t="shared" si="0"/>
        <v>27</v>
      </c>
      <c r="B39" s="247" t="s">
        <v>138</v>
      </c>
      <c r="C39" s="535">
        <v>0.35</v>
      </c>
      <c r="D39" s="535"/>
      <c r="E39" s="539">
        <f>ROUND(-E37*C39,0)</f>
        <v>-29191</v>
      </c>
      <c r="F39" s="260"/>
    </row>
    <row r="40" spans="1:6" ht="16.5" thickBot="1">
      <c r="A40" s="257">
        <f t="shared" si="0"/>
        <v>28</v>
      </c>
      <c r="B40" s="247" t="s">
        <v>131</v>
      </c>
      <c r="C40" s="257"/>
      <c r="D40" s="257"/>
      <c r="E40" s="540">
        <f>-E37-E39</f>
        <v>-54210.845445896033</v>
      </c>
      <c r="F40" s="265"/>
    </row>
    <row r="41" spans="1:6" ht="16.5" thickTop="1">
      <c r="A41" s="230"/>
      <c r="B41" s="230"/>
      <c r="C41" s="230"/>
      <c r="D41" s="230"/>
      <c r="E41" s="541"/>
      <c r="F41" s="260"/>
    </row>
    <row r="42" spans="1:6">
      <c r="E42" s="542"/>
      <c r="F42" s="260"/>
    </row>
    <row r="43" spans="1:6">
      <c r="F43" s="260"/>
    </row>
    <row r="44" spans="1:6"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4" orientation="portrait" r:id="rId1"/>
  <headerFooter>
    <oddHeader>&amp;R&amp;"Times New Roman,Regular"&amp;12EXHIBIT KHB-3
Page 3.24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3.7109375" style="2" customWidth="1"/>
    <col min="5" max="5" width="16" style="2" customWidth="1"/>
    <col min="6" max="6" width="1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486" t="s">
        <v>222</v>
      </c>
      <c r="B5" s="487"/>
      <c r="C5" s="487"/>
      <c r="D5" s="487"/>
      <c r="E5" s="487"/>
      <c r="F5" s="297"/>
    </row>
    <row r="6" spans="1:6">
      <c r="A6" s="488" t="s">
        <v>443</v>
      </c>
      <c r="B6" s="487"/>
      <c r="C6" s="487"/>
      <c r="D6" s="487"/>
      <c r="E6" s="489"/>
      <c r="F6" s="298"/>
    </row>
    <row r="7" spans="1:6">
      <c r="A7" s="488" t="s">
        <v>384</v>
      </c>
      <c r="B7" s="487"/>
      <c r="C7" s="487"/>
      <c r="D7" s="487"/>
      <c r="E7" s="490"/>
      <c r="F7" s="300"/>
    </row>
    <row r="8" spans="1:6">
      <c r="A8" s="488" t="s">
        <v>111</v>
      </c>
      <c r="B8" s="487"/>
      <c r="C8" s="487"/>
      <c r="D8" s="487"/>
      <c r="E8" s="487"/>
      <c r="F8" s="297"/>
    </row>
    <row r="9" spans="1:6">
      <c r="A9" s="488"/>
      <c r="B9" s="487"/>
      <c r="C9" s="487"/>
      <c r="D9" s="487"/>
      <c r="E9" s="487"/>
      <c r="F9" s="331"/>
    </row>
    <row r="10" spans="1:6">
      <c r="A10" s="491"/>
      <c r="B10" s="492"/>
      <c r="C10" s="492"/>
      <c r="D10" s="493"/>
      <c r="E10" s="493"/>
      <c r="F10" s="400"/>
    </row>
    <row r="11" spans="1:6">
      <c r="A11" s="494" t="s">
        <v>112</v>
      </c>
      <c r="B11" s="493"/>
      <c r="C11" s="493"/>
      <c r="D11" s="493"/>
      <c r="E11" s="493"/>
      <c r="F11" s="400"/>
    </row>
    <row r="12" spans="1:6">
      <c r="A12" s="495" t="s">
        <v>115</v>
      </c>
      <c r="B12" s="496" t="s">
        <v>116</v>
      </c>
      <c r="C12" s="496"/>
      <c r="D12" s="495"/>
      <c r="E12" s="497" t="s">
        <v>118</v>
      </c>
      <c r="F12" s="278"/>
    </row>
    <row r="13" spans="1:6">
      <c r="A13" s="498"/>
      <c r="B13" s="498"/>
      <c r="C13" s="498"/>
      <c r="D13" s="499"/>
      <c r="E13" s="499"/>
      <c r="F13" s="278"/>
    </row>
    <row r="14" spans="1:6">
      <c r="A14" s="500">
        <v>1</v>
      </c>
      <c r="B14" s="501" t="s">
        <v>437</v>
      </c>
      <c r="C14" s="498"/>
      <c r="D14" s="502"/>
      <c r="E14" s="502"/>
      <c r="F14" s="278"/>
    </row>
    <row r="15" spans="1:6">
      <c r="A15" s="500">
        <v>2</v>
      </c>
      <c r="B15" s="503" t="s">
        <v>438</v>
      </c>
      <c r="C15" s="503"/>
      <c r="D15" s="504"/>
      <c r="E15" s="505">
        <v>5483273</v>
      </c>
      <c r="F15" s="278"/>
    </row>
    <row r="16" spans="1:6">
      <c r="A16" s="500">
        <v>3</v>
      </c>
      <c r="B16" s="503" t="s">
        <v>439</v>
      </c>
      <c r="C16" s="503"/>
      <c r="D16" s="504"/>
      <c r="E16" s="478">
        <v>4886197</v>
      </c>
      <c r="F16" s="278"/>
    </row>
    <row r="17" spans="1:6">
      <c r="A17" s="500">
        <v>4</v>
      </c>
      <c r="B17" s="498" t="s">
        <v>440</v>
      </c>
      <c r="C17" s="498"/>
      <c r="D17" s="504"/>
      <c r="E17" s="262">
        <f>SUM(E15:E16)</f>
        <v>10369470</v>
      </c>
      <c r="F17" s="274"/>
    </row>
    <row r="18" spans="1:6">
      <c r="A18" s="500">
        <v>5</v>
      </c>
      <c r="B18" s="498"/>
      <c r="C18" s="498"/>
      <c r="D18" s="504"/>
      <c r="E18" s="477"/>
      <c r="F18" s="278"/>
    </row>
    <row r="19" spans="1:6">
      <c r="A19" s="500">
        <v>6</v>
      </c>
      <c r="B19" s="506" t="s">
        <v>441</v>
      </c>
      <c r="C19" s="456">
        <v>0.59399999999999997</v>
      </c>
      <c r="D19" s="498"/>
      <c r="E19" s="477">
        <f>ROUND(+C19*E17,0)</f>
        <v>6159465</v>
      </c>
      <c r="F19" s="278"/>
    </row>
    <row r="20" spans="1:6">
      <c r="A20" s="500">
        <v>7</v>
      </c>
      <c r="B20" s="507" t="s">
        <v>442</v>
      </c>
      <c r="C20" s="503"/>
      <c r="D20" s="508"/>
      <c r="E20" s="477">
        <v>5516162</v>
      </c>
      <c r="F20" s="278"/>
    </row>
    <row r="21" spans="1:6">
      <c r="A21" s="500">
        <v>8</v>
      </c>
      <c r="B21" s="498" t="s">
        <v>363</v>
      </c>
      <c r="C21" s="498"/>
      <c r="D21" s="498"/>
      <c r="E21" s="509">
        <f>E19-E20</f>
        <v>643303</v>
      </c>
      <c r="F21" s="278"/>
    </row>
    <row r="22" spans="1:6">
      <c r="A22" s="500">
        <v>9</v>
      </c>
      <c r="B22" s="498"/>
      <c r="C22" s="498"/>
      <c r="D22" s="498"/>
      <c r="E22" s="477"/>
      <c r="F22" s="278"/>
    </row>
    <row r="23" spans="1:6">
      <c r="A23" s="500">
        <v>10</v>
      </c>
      <c r="B23" s="503" t="s">
        <v>316</v>
      </c>
      <c r="C23" s="508">
        <v>0.35</v>
      </c>
      <c r="D23" s="498"/>
      <c r="E23" s="510">
        <f>ROUND(-E21*C23,0)</f>
        <v>-225156</v>
      </c>
      <c r="F23" s="278"/>
    </row>
    <row r="24" spans="1:6">
      <c r="A24" s="500">
        <v>11</v>
      </c>
      <c r="B24" s="498"/>
      <c r="C24" s="498"/>
      <c r="D24" s="498"/>
      <c r="E24" s="477"/>
      <c r="F24" s="278"/>
    </row>
    <row r="25" spans="1:6" ht="16.5" thickBot="1">
      <c r="A25" s="500">
        <v>12</v>
      </c>
      <c r="B25" s="503" t="s">
        <v>317</v>
      </c>
      <c r="C25" s="503"/>
      <c r="D25" s="498"/>
      <c r="E25" s="485">
        <f>-E21-E23</f>
        <v>-418147</v>
      </c>
      <c r="F25" s="278"/>
    </row>
    <row r="26" spans="1:6" ht="16.5" thickTop="1">
      <c r="A26" s="324"/>
      <c r="B26" s="348"/>
      <c r="C26" s="347"/>
      <c r="D26" s="347"/>
      <c r="E26" s="347"/>
      <c r="F26" s="278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78"/>
    </row>
    <row r="30" spans="1:6">
      <c r="A30" s="324"/>
      <c r="B30" s="269"/>
      <c r="C30" s="347"/>
      <c r="D30" s="347"/>
      <c r="E30" s="26"/>
      <c r="F30" s="260"/>
    </row>
    <row r="31" spans="1:6">
      <c r="A31" s="324"/>
      <c r="B31" s="260"/>
      <c r="C31" s="347"/>
      <c r="D31" s="347"/>
      <c r="E31" s="347"/>
      <c r="F31" s="260"/>
    </row>
    <row r="32" spans="1:6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6" orientation="portrait" r:id="rId1"/>
  <headerFooter>
    <oddHeader>&amp;R&amp;"Times New Roman,Regular"&amp;12EXHIBIT KHB-3
Page 3.12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20" style="2" customWidth="1"/>
    <col min="6" max="6" width="1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437" t="str">
        <f>Title</f>
        <v xml:space="preserve">PUGET SOUND ENERGY-GAS </v>
      </c>
      <c r="B5" s="438"/>
      <c r="C5" s="438"/>
      <c r="D5" s="438"/>
      <c r="E5" s="438"/>
      <c r="F5" s="297"/>
    </row>
    <row r="6" spans="1:6">
      <c r="A6" s="439" t="s">
        <v>447</v>
      </c>
      <c r="B6" s="438"/>
      <c r="C6" s="438"/>
      <c r="D6" s="438"/>
      <c r="E6" s="438"/>
      <c r="F6" s="298"/>
    </row>
    <row r="7" spans="1:6">
      <c r="A7" s="439" t="str">
        <f>TY</f>
        <v>FOR THE TWELVE MONTHS ENDED DECEMBER  31, 2008</v>
      </c>
      <c r="B7" s="438"/>
      <c r="C7" s="438"/>
      <c r="D7" s="438"/>
      <c r="E7" s="438"/>
      <c r="F7" s="300"/>
    </row>
    <row r="8" spans="1:6">
      <c r="A8" s="437" t="str">
        <f>GRC</f>
        <v>GENERAL RATE INCREASE</v>
      </c>
      <c r="B8" s="438"/>
      <c r="C8" s="438"/>
      <c r="D8" s="438"/>
      <c r="E8" s="438"/>
      <c r="F8" s="297"/>
    </row>
    <row r="9" spans="1:6">
      <c r="A9" s="329"/>
      <c r="B9" s="329"/>
      <c r="C9" s="329"/>
      <c r="D9" s="329"/>
      <c r="E9" s="329"/>
      <c r="F9" s="331"/>
    </row>
    <row r="10" spans="1:6">
      <c r="A10" s="440" t="s">
        <v>112</v>
      </c>
      <c r="B10" s="329"/>
      <c r="C10" s="441"/>
      <c r="D10" s="440" t="s">
        <v>399</v>
      </c>
      <c r="E10" s="440"/>
      <c r="F10" s="400"/>
    </row>
    <row r="11" spans="1:6">
      <c r="A11" s="334" t="s">
        <v>115</v>
      </c>
      <c r="B11" s="336" t="s">
        <v>116</v>
      </c>
      <c r="C11" s="442" t="s">
        <v>251</v>
      </c>
      <c r="D11" s="443" t="s">
        <v>252</v>
      </c>
      <c r="E11" s="444" t="s">
        <v>117</v>
      </c>
      <c r="F11" s="400"/>
    </row>
    <row r="12" spans="1:6">
      <c r="A12" s="326"/>
      <c r="B12" s="326"/>
      <c r="C12" s="326"/>
      <c r="D12" s="326"/>
      <c r="E12" s="326"/>
      <c r="F12" s="278"/>
    </row>
    <row r="13" spans="1:6">
      <c r="A13" s="337">
        <v>1</v>
      </c>
      <c r="B13" s="475" t="s">
        <v>444</v>
      </c>
      <c r="C13" s="461"/>
      <c r="D13" s="461"/>
      <c r="E13" s="326"/>
      <c r="F13" s="278"/>
    </row>
    <row r="14" spans="1:6">
      <c r="A14" s="337">
        <f t="shared" ref="A14:A31" si="0">A13+1</f>
        <v>2</v>
      </c>
      <c r="B14" s="476" t="s">
        <v>408</v>
      </c>
      <c r="C14" s="461">
        <v>13951</v>
      </c>
      <c r="D14" s="461">
        <v>10619</v>
      </c>
      <c r="E14" s="461">
        <f>D14-C14</f>
        <v>-3332</v>
      </c>
      <c r="F14" s="278"/>
    </row>
    <row r="15" spans="1:6">
      <c r="A15" s="337">
        <f t="shared" si="0"/>
        <v>3</v>
      </c>
      <c r="B15" s="476" t="s">
        <v>409</v>
      </c>
      <c r="C15" s="477">
        <v>45892</v>
      </c>
      <c r="D15" s="477">
        <v>34929</v>
      </c>
      <c r="E15" s="461">
        <f t="shared" ref="E15:E22" si="1">D15-C15</f>
        <v>-10963</v>
      </c>
      <c r="F15" s="278"/>
    </row>
    <row r="16" spans="1:6">
      <c r="A16" s="337">
        <f t="shared" si="0"/>
        <v>4</v>
      </c>
      <c r="B16" s="476" t="s">
        <v>410</v>
      </c>
      <c r="C16" s="477">
        <v>46260</v>
      </c>
      <c r="D16" s="477">
        <v>35209</v>
      </c>
      <c r="E16" s="461">
        <f t="shared" si="1"/>
        <v>-11051</v>
      </c>
      <c r="F16" s="278"/>
    </row>
    <row r="17" spans="1:6">
      <c r="A17" s="337">
        <f t="shared" si="0"/>
        <v>5</v>
      </c>
      <c r="B17" s="476" t="s">
        <v>411</v>
      </c>
      <c r="C17" s="477">
        <v>15053</v>
      </c>
      <c r="D17" s="477">
        <v>11457</v>
      </c>
      <c r="E17" s="461">
        <f t="shared" si="1"/>
        <v>-3596</v>
      </c>
      <c r="F17" s="274"/>
    </row>
    <row r="18" spans="1:6">
      <c r="A18" s="337">
        <f t="shared" si="0"/>
        <v>6</v>
      </c>
      <c r="B18" s="476" t="s">
        <v>412</v>
      </c>
      <c r="C18" s="477">
        <v>1844509</v>
      </c>
      <c r="D18" s="477">
        <v>1406673</v>
      </c>
      <c r="E18" s="461">
        <f t="shared" si="1"/>
        <v>-437836</v>
      </c>
      <c r="F18" s="278"/>
    </row>
    <row r="19" spans="1:6">
      <c r="A19" s="337">
        <f>A18+1</f>
        <v>7</v>
      </c>
      <c r="B19" s="476" t="s">
        <v>413</v>
      </c>
      <c r="C19" s="477">
        <v>660117</v>
      </c>
      <c r="D19" s="477">
        <v>506056</v>
      </c>
      <c r="E19" s="461">
        <f t="shared" si="1"/>
        <v>-154061</v>
      </c>
      <c r="F19" s="278"/>
    </row>
    <row r="20" spans="1:6">
      <c r="A20" s="337">
        <f t="shared" si="0"/>
        <v>8</v>
      </c>
      <c r="B20" s="476" t="s">
        <v>414</v>
      </c>
      <c r="C20" s="477">
        <v>97292</v>
      </c>
      <c r="D20" s="477">
        <v>74050</v>
      </c>
      <c r="E20" s="461">
        <f t="shared" si="1"/>
        <v>-23242</v>
      </c>
      <c r="F20" s="278"/>
    </row>
    <row r="21" spans="1:6">
      <c r="A21" s="337">
        <f t="shared" si="0"/>
        <v>9</v>
      </c>
      <c r="B21" s="476" t="s">
        <v>415</v>
      </c>
      <c r="C21" s="477">
        <v>2570</v>
      </c>
      <c r="D21" s="477">
        <v>1956</v>
      </c>
      <c r="E21" s="461">
        <f t="shared" si="1"/>
        <v>-614</v>
      </c>
      <c r="F21" s="278"/>
    </row>
    <row r="22" spans="1:6">
      <c r="A22" s="337">
        <f t="shared" si="0"/>
        <v>10</v>
      </c>
      <c r="B22" s="476" t="s">
        <v>416</v>
      </c>
      <c r="C22" s="478">
        <v>945752</v>
      </c>
      <c r="D22" s="478">
        <v>713396</v>
      </c>
      <c r="E22" s="479">
        <f t="shared" si="1"/>
        <v>-232356</v>
      </c>
      <c r="F22" s="278"/>
    </row>
    <row r="23" spans="1:6">
      <c r="A23" s="337">
        <f t="shared" si="0"/>
        <v>11</v>
      </c>
      <c r="B23" s="326" t="s">
        <v>445</v>
      </c>
      <c r="C23" s="480">
        <f>SUM(C14:C22)</f>
        <v>3671396</v>
      </c>
      <c r="D23" s="480">
        <f>SUM(D14:D22)</f>
        <v>2794345</v>
      </c>
      <c r="E23" s="461">
        <f>SUM(E14:E22)</f>
        <v>-877051</v>
      </c>
      <c r="F23" s="278"/>
    </row>
    <row r="24" spans="1:6">
      <c r="A24" s="337">
        <f t="shared" si="0"/>
        <v>12</v>
      </c>
      <c r="B24" s="477"/>
      <c r="C24" s="326"/>
      <c r="D24" s="326"/>
      <c r="E24" s="326"/>
      <c r="F24" s="278"/>
    </row>
    <row r="25" spans="1:6">
      <c r="A25" s="337">
        <f t="shared" si="0"/>
        <v>13</v>
      </c>
      <c r="B25" s="475" t="s">
        <v>446</v>
      </c>
      <c r="C25" s="477">
        <v>294328</v>
      </c>
      <c r="D25" s="477">
        <v>224017</v>
      </c>
      <c r="E25" s="481">
        <f>D25-C25</f>
        <v>-70311</v>
      </c>
      <c r="F25" s="278"/>
    </row>
    <row r="26" spans="1:6">
      <c r="A26" s="337">
        <f>A25+1</f>
        <v>14</v>
      </c>
      <c r="B26" s="326" t="s">
        <v>314</v>
      </c>
      <c r="C26" s="482">
        <f>SUM(C23:C25)</f>
        <v>3965724</v>
      </c>
      <c r="D26" s="482">
        <f>SUM(D23:D25)</f>
        <v>3018362</v>
      </c>
      <c r="E26" s="482">
        <f>SUM(E23:E25)</f>
        <v>-947362</v>
      </c>
      <c r="F26" s="278"/>
    </row>
    <row r="27" spans="1:6">
      <c r="A27" s="337">
        <f t="shared" si="0"/>
        <v>15</v>
      </c>
      <c r="B27" s="326"/>
      <c r="C27" s="477"/>
      <c r="D27" s="477"/>
      <c r="E27" s="481"/>
      <c r="F27" s="278"/>
    </row>
    <row r="28" spans="1:6">
      <c r="A28" s="337">
        <f t="shared" si="0"/>
        <v>16</v>
      </c>
      <c r="B28" s="326" t="s">
        <v>420</v>
      </c>
      <c r="C28" s="477"/>
      <c r="D28" s="477"/>
      <c r="E28" s="481">
        <f>E26</f>
        <v>-947362</v>
      </c>
      <c r="F28" s="278"/>
    </row>
    <row r="29" spans="1:6">
      <c r="A29" s="337">
        <f t="shared" si="0"/>
        <v>17</v>
      </c>
      <c r="B29" s="326"/>
      <c r="C29" s="326"/>
      <c r="D29" s="326"/>
      <c r="E29" s="326"/>
      <c r="F29" s="278"/>
    </row>
    <row r="30" spans="1:6">
      <c r="A30" s="337">
        <f t="shared" si="0"/>
        <v>18</v>
      </c>
      <c r="B30" s="483" t="s">
        <v>316</v>
      </c>
      <c r="C30" s="477"/>
      <c r="D30" s="484">
        <f>FIT</f>
        <v>0.35</v>
      </c>
      <c r="E30" s="481">
        <f>ROUND(-E28*D30,0)</f>
        <v>331577</v>
      </c>
      <c r="F30" s="260"/>
    </row>
    <row r="31" spans="1:6" ht="16.5" thickBot="1">
      <c r="A31" s="337">
        <f t="shared" si="0"/>
        <v>19</v>
      </c>
      <c r="B31" s="483" t="s">
        <v>317</v>
      </c>
      <c r="C31" s="483"/>
      <c r="D31" s="326"/>
      <c r="E31" s="485">
        <f>-E28-E30</f>
        <v>615785</v>
      </c>
      <c r="F31" s="260"/>
    </row>
    <row r="32" spans="1:6" ht="16.5" thickTop="1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79" orientation="portrait" r:id="rId1"/>
  <headerFooter>
    <oddHeader>&amp;R&amp;"Times New Roman,Regular"&amp;12EXHIBIT KHB-3
Page 3.26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16.140625" style="2" customWidth="1"/>
    <col min="4" max="4" width="19.140625" style="2" customWidth="1"/>
    <col min="5" max="5" width="16.140625" style="2" customWidth="1"/>
    <col min="6" max="6" width="2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437" t="str">
        <f>Title</f>
        <v xml:space="preserve">PUGET SOUND ENERGY-GAS </v>
      </c>
      <c r="B5" s="438"/>
      <c r="C5" s="438"/>
      <c r="D5" s="438"/>
      <c r="E5" s="438"/>
      <c r="F5" s="297"/>
    </row>
    <row r="6" spans="1:6">
      <c r="A6" s="439" t="s">
        <v>450</v>
      </c>
      <c r="B6" s="438"/>
      <c r="C6" s="438"/>
      <c r="D6" s="438"/>
      <c r="E6" s="438"/>
      <c r="F6" s="298"/>
    </row>
    <row r="7" spans="1:6">
      <c r="A7" s="439" t="str">
        <f>TY</f>
        <v>FOR THE TWELVE MONTHS ENDED DECEMBER  31, 2008</v>
      </c>
      <c r="B7" s="438"/>
      <c r="C7" s="438"/>
      <c r="D7" s="438"/>
      <c r="E7" s="438"/>
      <c r="F7" s="300"/>
    </row>
    <row r="8" spans="1:6">
      <c r="A8" s="437" t="str">
        <f>GRC</f>
        <v>GENERAL RATE INCREASE</v>
      </c>
      <c r="B8" s="438"/>
      <c r="C8" s="438"/>
      <c r="D8" s="438"/>
      <c r="E8" s="438"/>
      <c r="F8" s="297"/>
    </row>
    <row r="9" spans="1:6">
      <c r="A9" s="329"/>
      <c r="B9" s="329"/>
      <c r="C9" s="329"/>
      <c r="D9" s="329"/>
      <c r="E9" s="329"/>
      <c r="F9" s="331"/>
    </row>
    <row r="10" spans="1:6">
      <c r="A10" s="440" t="s">
        <v>112</v>
      </c>
      <c r="B10" s="329"/>
      <c r="C10" s="441"/>
      <c r="D10" s="440" t="s">
        <v>399</v>
      </c>
      <c r="E10" s="440"/>
      <c r="F10" s="400"/>
    </row>
    <row r="11" spans="1:6">
      <c r="A11" s="334" t="s">
        <v>115</v>
      </c>
      <c r="B11" s="336" t="s">
        <v>116</v>
      </c>
      <c r="C11" s="442" t="s">
        <v>251</v>
      </c>
      <c r="D11" s="443" t="s">
        <v>252</v>
      </c>
      <c r="E11" s="444" t="s">
        <v>117</v>
      </c>
      <c r="F11" s="400"/>
    </row>
    <row r="12" spans="1:6">
      <c r="A12" s="326"/>
      <c r="B12" s="326"/>
      <c r="C12" s="326"/>
      <c r="D12" s="326"/>
      <c r="E12" s="326"/>
      <c r="F12" s="278"/>
    </row>
    <row r="13" spans="1:6">
      <c r="A13" s="337">
        <v>1</v>
      </c>
      <c r="B13" s="460"/>
      <c r="C13" s="461"/>
      <c r="D13" s="461"/>
      <c r="E13" s="326"/>
      <c r="F13" s="278"/>
    </row>
    <row r="14" spans="1:6">
      <c r="A14" s="337">
        <f t="shared" ref="A14:A21" si="0">A13+1</f>
        <v>2</v>
      </c>
      <c r="B14" s="462" t="s">
        <v>269</v>
      </c>
      <c r="C14" s="463"/>
      <c r="D14" s="464"/>
      <c r="E14" s="465"/>
      <c r="F14" s="278"/>
    </row>
    <row r="15" spans="1:6">
      <c r="A15" s="337">
        <f t="shared" si="0"/>
        <v>3</v>
      </c>
      <c r="B15" s="462" t="s">
        <v>448</v>
      </c>
      <c r="C15" s="466">
        <v>478634</v>
      </c>
      <c r="D15" s="466">
        <v>0</v>
      </c>
      <c r="E15" s="466">
        <f>D15-C15</f>
        <v>-478634</v>
      </c>
      <c r="F15" s="278"/>
    </row>
    <row r="16" spans="1:6">
      <c r="A16" s="337">
        <f t="shared" si="0"/>
        <v>4</v>
      </c>
      <c r="B16" s="462" t="s">
        <v>449</v>
      </c>
      <c r="C16" s="462"/>
      <c r="D16" s="462"/>
      <c r="E16" s="465">
        <f>SUM(E15)</f>
        <v>-478634</v>
      </c>
      <c r="F16" s="278"/>
    </row>
    <row r="17" spans="1:6">
      <c r="A17" s="337">
        <f t="shared" si="0"/>
        <v>5</v>
      </c>
      <c r="B17" s="241"/>
      <c r="C17" s="462"/>
      <c r="D17" s="467"/>
      <c r="E17" s="468"/>
      <c r="F17" s="274"/>
    </row>
    <row r="18" spans="1:6">
      <c r="A18" s="337">
        <f t="shared" si="0"/>
        <v>6</v>
      </c>
      <c r="B18" s="241" t="s">
        <v>158</v>
      </c>
      <c r="C18" s="469"/>
      <c r="D18" s="467"/>
      <c r="E18" s="465">
        <f>-E16</f>
        <v>478634</v>
      </c>
      <c r="F18" s="278"/>
    </row>
    <row r="19" spans="1:6">
      <c r="A19" s="337">
        <f t="shared" si="0"/>
        <v>7</v>
      </c>
      <c r="B19" s="241"/>
      <c r="C19" s="462"/>
      <c r="D19" s="467"/>
      <c r="E19" s="470"/>
      <c r="F19" s="278"/>
    </row>
    <row r="20" spans="1:6">
      <c r="A20" s="337">
        <f t="shared" si="0"/>
        <v>8</v>
      </c>
      <c r="B20" s="471" t="s">
        <v>138</v>
      </c>
      <c r="C20" s="472">
        <f>FIT</f>
        <v>0.35</v>
      </c>
      <c r="D20" s="471"/>
      <c r="E20" s="473">
        <f>C20*E18</f>
        <v>167521.9</v>
      </c>
      <c r="F20" s="278"/>
    </row>
    <row r="21" spans="1:6" ht="16.5" thickBot="1">
      <c r="A21" s="337">
        <f t="shared" si="0"/>
        <v>9</v>
      </c>
      <c r="B21" s="471" t="s">
        <v>131</v>
      </c>
      <c r="C21" s="471"/>
      <c r="D21" s="470"/>
      <c r="E21" s="474">
        <f>E18-E20</f>
        <v>311112.09999999998</v>
      </c>
      <c r="F21" s="278"/>
    </row>
    <row r="22" spans="1:6" ht="16.5" thickTop="1">
      <c r="A22" s="337"/>
      <c r="B22" s="326"/>
      <c r="C22" s="326"/>
      <c r="D22" s="326"/>
      <c r="E22" s="326"/>
      <c r="F22" s="278"/>
    </row>
    <row r="23" spans="1:6">
      <c r="A23" s="337"/>
      <c r="B23" s="326"/>
      <c r="C23" s="326"/>
      <c r="D23" s="326"/>
      <c r="E23" s="326"/>
      <c r="F23" s="278"/>
    </row>
    <row r="24" spans="1:6">
      <c r="A24" s="337"/>
      <c r="B24" s="326"/>
      <c r="C24" s="326"/>
      <c r="D24" s="326"/>
      <c r="E24" s="326"/>
      <c r="F24" s="278"/>
    </row>
    <row r="25" spans="1:6">
      <c r="A25" s="324"/>
      <c r="B25" s="347"/>
      <c r="C25" s="347"/>
      <c r="D25" s="347"/>
      <c r="E25" s="347"/>
      <c r="F25" s="278"/>
    </row>
    <row r="26" spans="1:6">
      <c r="A26" s="324"/>
      <c r="B26" s="348"/>
      <c r="C26" s="347"/>
      <c r="D26" s="347"/>
      <c r="E26" s="347"/>
      <c r="F26" s="278"/>
    </row>
    <row r="27" spans="1:6">
      <c r="A27" s="324"/>
      <c r="B27" s="269"/>
      <c r="C27" s="347"/>
      <c r="D27" s="347"/>
      <c r="E27" s="26"/>
      <c r="F27" s="278"/>
    </row>
    <row r="28" spans="1:6">
      <c r="A28" s="324"/>
      <c r="B28" s="269"/>
      <c r="C28" s="347"/>
      <c r="D28" s="347"/>
      <c r="E28" s="26"/>
      <c r="F28" s="278"/>
    </row>
    <row r="29" spans="1:6">
      <c r="A29" s="324"/>
      <c r="B29" s="269"/>
      <c r="C29" s="347"/>
      <c r="D29" s="347"/>
      <c r="E29" s="26"/>
      <c r="F29" s="278"/>
    </row>
    <row r="30" spans="1:6">
      <c r="A30" s="324"/>
      <c r="B30" s="269"/>
      <c r="C30" s="347"/>
      <c r="D30" s="347"/>
      <c r="E30" s="26"/>
      <c r="F30" s="260"/>
    </row>
    <row r="31" spans="1:6">
      <c r="A31" s="324"/>
      <c r="B31" s="260"/>
      <c r="C31" s="347"/>
      <c r="D31" s="347"/>
      <c r="E31" s="347"/>
      <c r="F31" s="260"/>
    </row>
    <row r="32" spans="1:6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5" orientation="portrait" r:id="rId1"/>
  <headerFooter>
    <oddHeader>&amp;R&amp;"Times New Roman,Regular"&amp;12EXHIBIT KHB-3
Page 3.27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7.570312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13"/>
      <c r="B4" s="404"/>
      <c r="C4" s="404"/>
      <c r="D4" s="404"/>
      <c r="E4" s="404"/>
      <c r="F4" s="404"/>
    </row>
    <row r="5" spans="1:6">
      <c r="A5" s="437" t="str">
        <f>Title</f>
        <v xml:space="preserve">PUGET SOUND ENERGY-GAS </v>
      </c>
      <c r="B5" s="438"/>
      <c r="C5" s="438"/>
      <c r="D5" s="438"/>
      <c r="E5" s="438"/>
      <c r="F5" s="297"/>
    </row>
    <row r="6" spans="1:6">
      <c r="A6" s="439" t="s">
        <v>460</v>
      </c>
      <c r="B6" s="438"/>
      <c r="C6" s="438"/>
      <c r="D6" s="438"/>
      <c r="E6" s="438"/>
      <c r="F6" s="298"/>
    </row>
    <row r="7" spans="1:6">
      <c r="A7" s="439" t="str">
        <f>TY</f>
        <v>FOR THE TWELVE MONTHS ENDED DECEMBER  31, 2008</v>
      </c>
      <c r="B7" s="438"/>
      <c r="C7" s="438"/>
      <c r="D7" s="438"/>
      <c r="E7" s="438"/>
      <c r="F7" s="300"/>
    </row>
    <row r="8" spans="1:6">
      <c r="A8" s="437" t="str">
        <f>GRC</f>
        <v>GENERAL RATE INCREASE</v>
      </c>
      <c r="B8" s="438"/>
      <c r="C8" s="438"/>
      <c r="D8" s="438"/>
      <c r="E8" s="438"/>
      <c r="F8" s="297"/>
    </row>
    <row r="9" spans="1:6">
      <c r="A9" s="437"/>
      <c r="B9" s="438"/>
      <c r="C9" s="438"/>
      <c r="D9" s="438"/>
      <c r="E9" s="438"/>
      <c r="F9" s="331"/>
    </row>
    <row r="10" spans="1:6">
      <c r="A10" s="440" t="s">
        <v>112</v>
      </c>
      <c r="B10" s="329"/>
      <c r="C10" s="441"/>
      <c r="D10" s="440" t="s">
        <v>399</v>
      </c>
      <c r="E10" s="440"/>
      <c r="F10" s="400"/>
    </row>
    <row r="11" spans="1:6">
      <c r="A11" s="334" t="s">
        <v>115</v>
      </c>
      <c r="B11" s="336" t="s">
        <v>116</v>
      </c>
      <c r="C11" s="442" t="s">
        <v>251</v>
      </c>
      <c r="D11" s="443" t="s">
        <v>252</v>
      </c>
      <c r="E11" s="444" t="s">
        <v>117</v>
      </c>
      <c r="F11" s="400"/>
    </row>
    <row r="12" spans="1:6">
      <c r="A12" s="337">
        <v>1</v>
      </c>
      <c r="B12" s="445" t="s">
        <v>451</v>
      </c>
      <c r="C12" s="274"/>
      <c r="D12" s="274"/>
      <c r="E12" s="274"/>
      <c r="F12" s="278"/>
    </row>
    <row r="13" spans="1:6">
      <c r="A13" s="337">
        <f>+A12+1</f>
        <v>2</v>
      </c>
      <c r="B13" s="446" t="s">
        <v>452</v>
      </c>
      <c r="C13" s="447">
        <v>0</v>
      </c>
      <c r="D13" s="447">
        <v>4805828.4263344631</v>
      </c>
      <c r="E13" s="447">
        <f>+D13-C13</f>
        <v>4805828.4263344631</v>
      </c>
      <c r="F13" s="278"/>
    </row>
    <row r="14" spans="1:6">
      <c r="A14" s="337">
        <f t="shared" ref="A14:A28" si="0">+A13+1</f>
        <v>3</v>
      </c>
      <c r="B14" s="446" t="s">
        <v>453</v>
      </c>
      <c r="C14" s="459">
        <v>0</v>
      </c>
      <c r="D14" s="448">
        <v>-330401</v>
      </c>
      <c r="E14" s="448">
        <f>+D14-C14</f>
        <v>-330401</v>
      </c>
      <c r="F14" s="278"/>
    </row>
    <row r="15" spans="1:6">
      <c r="A15" s="337">
        <f t="shared" si="0"/>
        <v>4</v>
      </c>
      <c r="B15" s="446" t="s">
        <v>454</v>
      </c>
      <c r="C15" s="449">
        <v>0</v>
      </c>
      <c r="D15" s="449">
        <v>-397569</v>
      </c>
      <c r="E15" s="449">
        <f>+D15-C15</f>
        <v>-397569</v>
      </c>
      <c r="F15" s="278"/>
    </row>
    <row r="16" spans="1:6" ht="16.5" thickBot="1">
      <c r="A16" s="337">
        <f t="shared" si="0"/>
        <v>5</v>
      </c>
      <c r="B16" s="445" t="s">
        <v>455</v>
      </c>
      <c r="C16" s="450">
        <f>SUM(C13:C15)</f>
        <v>0</v>
      </c>
      <c r="D16" s="450">
        <f>SUM(D13:D15)</f>
        <v>4077858.4263344631</v>
      </c>
      <c r="E16" s="450">
        <f>SUM(E13:E15)</f>
        <v>4077858.4263344631</v>
      </c>
      <c r="F16" s="278"/>
    </row>
    <row r="17" spans="1:6" ht="16.5" thickTop="1">
      <c r="A17" s="337">
        <f t="shared" si="0"/>
        <v>6</v>
      </c>
      <c r="B17" s="446"/>
      <c r="C17" s="451"/>
      <c r="D17" s="451"/>
      <c r="E17" s="451"/>
      <c r="F17" s="274"/>
    </row>
    <row r="18" spans="1:6">
      <c r="A18" s="337">
        <f t="shared" si="0"/>
        <v>7</v>
      </c>
      <c r="B18" s="446"/>
      <c r="C18" s="451"/>
      <c r="D18" s="451"/>
      <c r="E18" s="451"/>
      <c r="F18" s="278"/>
    </row>
    <row r="19" spans="1:6">
      <c r="A19" s="337">
        <f t="shared" si="0"/>
        <v>8</v>
      </c>
      <c r="B19" s="445" t="s">
        <v>456</v>
      </c>
      <c r="C19" s="452"/>
      <c r="D19" s="452"/>
      <c r="E19" s="452"/>
      <c r="F19" s="278"/>
    </row>
    <row r="20" spans="1:6">
      <c r="A20" s="337">
        <f t="shared" si="0"/>
        <v>9</v>
      </c>
      <c r="B20" s="446" t="s">
        <v>457</v>
      </c>
      <c r="C20" s="447">
        <v>1512141.171696</v>
      </c>
      <c r="D20" s="447">
        <v>0</v>
      </c>
      <c r="E20" s="447">
        <f>+D20-C20</f>
        <v>-1512141.171696</v>
      </c>
      <c r="F20" s="278"/>
    </row>
    <row r="21" spans="1:6">
      <c r="A21" s="337">
        <f t="shared" si="0"/>
        <v>10</v>
      </c>
      <c r="B21" s="446" t="s">
        <v>458</v>
      </c>
      <c r="C21" s="459"/>
      <c r="D21" s="453">
        <v>440534.27241399232</v>
      </c>
      <c r="E21" s="449">
        <f>D21-C21</f>
        <v>440534.27241399232</v>
      </c>
      <c r="F21" s="278"/>
    </row>
    <row r="22" spans="1:6">
      <c r="A22" s="337">
        <f t="shared" si="0"/>
        <v>11</v>
      </c>
      <c r="B22" s="446" t="s">
        <v>134</v>
      </c>
      <c r="C22" s="454">
        <f>SUM(C20:C21)</f>
        <v>1512141.171696</v>
      </c>
      <c r="D22" s="454">
        <f>SUM(D20:D21)</f>
        <v>440534.27241399232</v>
      </c>
      <c r="E22" s="454">
        <f>SUM(E20:E21)</f>
        <v>-1071606.8992820077</v>
      </c>
      <c r="F22" s="278"/>
    </row>
    <row r="23" spans="1:6">
      <c r="A23" s="337">
        <f t="shared" si="0"/>
        <v>12</v>
      </c>
      <c r="B23" s="446"/>
      <c r="C23" s="447"/>
      <c r="D23" s="447"/>
      <c r="E23" s="447"/>
      <c r="F23" s="278"/>
    </row>
    <row r="24" spans="1:6">
      <c r="A24" s="337">
        <f t="shared" si="0"/>
        <v>13</v>
      </c>
      <c r="B24" s="446" t="s">
        <v>134</v>
      </c>
      <c r="C24" s="455">
        <f>C22</f>
        <v>1512141.171696</v>
      </c>
      <c r="D24" s="455">
        <f>D22</f>
        <v>440534.27241399232</v>
      </c>
      <c r="E24" s="455">
        <f>E22</f>
        <v>-1071606.8992820077</v>
      </c>
      <c r="F24" s="278"/>
    </row>
    <row r="25" spans="1:6">
      <c r="A25" s="337">
        <f>+A24+1</f>
        <v>14</v>
      </c>
      <c r="B25" s="446"/>
      <c r="C25" s="455"/>
      <c r="D25" s="455"/>
      <c r="E25" s="455"/>
      <c r="F25" s="278"/>
    </row>
    <row r="26" spans="1:6">
      <c r="A26" s="337">
        <f t="shared" si="0"/>
        <v>15</v>
      </c>
      <c r="B26" s="326"/>
      <c r="C26" s="326"/>
      <c r="D26" s="456">
        <v>0.35</v>
      </c>
      <c r="E26" s="326"/>
      <c r="F26" s="278"/>
    </row>
    <row r="27" spans="1:6">
      <c r="A27" s="337">
        <f t="shared" si="0"/>
        <v>16</v>
      </c>
      <c r="B27" s="446" t="s">
        <v>138</v>
      </c>
      <c r="C27" s="457">
        <f>ROUND(-C24*D26,0)</f>
        <v>-529249</v>
      </c>
      <c r="D27" s="457">
        <f>ROUND(-D24*D26,0)</f>
        <v>-154187</v>
      </c>
      <c r="E27" s="457">
        <f>ROUND(-E24*D26,0)</f>
        <v>375062</v>
      </c>
      <c r="F27" s="278"/>
    </row>
    <row r="28" spans="1:6" ht="16.5" thickBot="1">
      <c r="A28" s="337">
        <f t="shared" si="0"/>
        <v>17</v>
      </c>
      <c r="B28" s="446" t="s">
        <v>459</v>
      </c>
      <c r="C28" s="458">
        <f>-C24-C27</f>
        <v>-982892.17169600003</v>
      </c>
      <c r="D28" s="458">
        <f>-D24-D27</f>
        <v>-286347.27241399232</v>
      </c>
      <c r="E28" s="458">
        <f>-E24-E27</f>
        <v>696544.89928200771</v>
      </c>
      <c r="F28" s="278"/>
    </row>
    <row r="29" spans="1:6" ht="16.5" thickTop="1">
      <c r="A29" s="326"/>
      <c r="B29" s="326"/>
      <c r="C29" s="326"/>
      <c r="D29" s="326"/>
      <c r="E29" s="326"/>
      <c r="F29" s="278"/>
    </row>
    <row r="30" spans="1:6">
      <c r="A30" s="324"/>
      <c r="B30" s="269"/>
      <c r="C30" s="347"/>
      <c r="D30" s="347"/>
      <c r="E30" s="26"/>
      <c r="F30" s="260"/>
    </row>
    <row r="31" spans="1:6">
      <c r="A31" s="324"/>
      <c r="B31" s="260"/>
      <c r="C31" s="347"/>
      <c r="D31" s="347"/>
      <c r="E31" s="347"/>
      <c r="F31" s="260"/>
    </row>
    <row r="32" spans="1:6">
      <c r="A32" s="324"/>
      <c r="B32" s="347"/>
      <c r="C32" s="347"/>
      <c r="D32" s="347"/>
      <c r="E32" s="325"/>
      <c r="F32" s="260"/>
    </row>
    <row r="33" spans="1:6">
      <c r="A33" s="324"/>
      <c r="B33" s="347"/>
      <c r="C33" s="347"/>
      <c r="D33" s="347"/>
      <c r="E33" s="347"/>
      <c r="F33" s="260"/>
    </row>
    <row r="34" spans="1:6">
      <c r="A34" s="324"/>
      <c r="B34" s="347"/>
      <c r="C34" s="347"/>
      <c r="D34" s="347"/>
      <c r="E34" s="26"/>
      <c r="F34" s="260"/>
    </row>
    <row r="35" spans="1:6">
      <c r="A35" s="324"/>
      <c r="B35" s="278"/>
      <c r="C35" s="278"/>
      <c r="D35" s="278"/>
      <c r="E35" s="26"/>
      <c r="F35" s="260"/>
    </row>
    <row r="36" spans="1:6">
      <c r="A36" s="324"/>
      <c r="B36" s="278"/>
      <c r="C36" s="278"/>
      <c r="D36" s="278"/>
      <c r="E36" s="325"/>
      <c r="F36" s="260"/>
    </row>
    <row r="37" spans="1:6">
      <c r="A37" s="278"/>
      <c r="B37" s="278"/>
      <c r="C37" s="278"/>
      <c r="D37" s="278"/>
      <c r="E37" s="278"/>
      <c r="F37" s="260"/>
    </row>
    <row r="38" spans="1:6">
      <c r="A38" s="326"/>
      <c r="B38" s="326"/>
      <c r="C38" s="326"/>
      <c r="D38" s="326"/>
      <c r="E38" s="326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0" orientation="portrait" r:id="rId1"/>
  <headerFooter>
    <oddHeader>&amp;R&amp;"Times New Roman,Regular"&amp;12EXHIBIT KHB-3
Page 3.28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zoomScale="110" zoomScaleNormal="110" workbookViewId="0">
      <selection activeCell="B42" sqref="B42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4" width="9.140625" style="2"/>
    <col min="5" max="5" width="23.42578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3" t="s">
        <v>222</v>
      </c>
      <c r="B4" s="61"/>
      <c r="C4" s="39"/>
      <c r="D4" s="61"/>
      <c r="E4" s="77"/>
    </row>
    <row r="5" spans="1:5">
      <c r="A5" s="43" t="s">
        <v>111</v>
      </c>
      <c r="B5" s="61"/>
      <c r="C5" s="39"/>
      <c r="D5" s="61"/>
      <c r="E5" s="61"/>
    </row>
    <row r="6" spans="1:5">
      <c r="A6" s="39" t="str">
        <f>+TY</f>
        <v>FOR THE TWELVE MONTHS ENDED DECEMBER  31, 2008</v>
      </c>
      <c r="B6" s="61"/>
      <c r="C6" s="39"/>
      <c r="D6" s="61"/>
      <c r="E6" s="61"/>
    </row>
    <row r="7" spans="1:5">
      <c r="A7" s="43" t="s">
        <v>111</v>
      </c>
      <c r="B7" s="78"/>
      <c r="C7" s="61"/>
      <c r="D7" s="61"/>
      <c r="E7" s="61"/>
    </row>
    <row r="8" spans="1:5">
      <c r="A8" s="53"/>
      <c r="B8" s="53"/>
      <c r="C8" s="53"/>
      <c r="D8" s="53"/>
      <c r="E8" s="53"/>
    </row>
    <row r="9" spans="1:5">
      <c r="A9" s="47" t="s">
        <v>112</v>
      </c>
      <c r="B9" s="53"/>
      <c r="C9" s="53"/>
      <c r="D9" s="53"/>
      <c r="E9" s="52" t="s">
        <v>50</v>
      </c>
    </row>
    <row r="10" spans="1:5">
      <c r="A10" s="49" t="s">
        <v>115</v>
      </c>
      <c r="B10" s="62" t="s">
        <v>116</v>
      </c>
      <c r="C10" s="79"/>
      <c r="D10" s="79"/>
      <c r="E10" s="63" t="s">
        <v>50</v>
      </c>
    </row>
    <row r="11" spans="1:5">
      <c r="A11" s="53"/>
      <c r="B11" s="53"/>
      <c r="C11" s="53"/>
      <c r="D11" s="53"/>
      <c r="E11" s="53"/>
    </row>
    <row r="12" spans="1:5">
      <c r="A12" s="52">
        <v>1</v>
      </c>
      <c r="B12" s="53" t="s">
        <v>123</v>
      </c>
      <c r="C12" s="53"/>
      <c r="D12" s="53"/>
      <c r="E12" s="103">
        <f>+'EXH KBH-3 P3.1'!E48</f>
        <v>1467691655.5332451</v>
      </c>
    </row>
    <row r="13" spans="1:5">
      <c r="A13" s="52">
        <f t="shared" ref="A13:A23" si="0">A12+1</f>
        <v>2</v>
      </c>
      <c r="B13" s="57" t="s">
        <v>177</v>
      </c>
      <c r="C13" s="53"/>
      <c r="D13" s="53"/>
      <c r="E13" s="104">
        <f>+'Capital P3.30'!E20</f>
        <v>7.8899999999999998E-2</v>
      </c>
    </row>
    <row r="14" spans="1:5">
      <c r="A14" s="52">
        <f t="shared" si="0"/>
        <v>3</v>
      </c>
      <c r="B14" s="57"/>
      <c r="C14" s="80" t="s">
        <v>50</v>
      </c>
      <c r="D14" s="53"/>
      <c r="E14" s="53"/>
    </row>
    <row r="15" spans="1:5">
      <c r="A15" s="52">
        <f t="shared" si="0"/>
        <v>4</v>
      </c>
      <c r="B15" s="53" t="s">
        <v>178</v>
      </c>
      <c r="C15" s="53"/>
      <c r="D15" s="53"/>
      <c r="E15" s="105">
        <f>+E12*E13</f>
        <v>115800871.62157303</v>
      </c>
    </row>
    <row r="16" spans="1:5">
      <c r="A16" s="52">
        <f t="shared" si="0"/>
        <v>5</v>
      </c>
      <c r="B16" s="53"/>
      <c r="C16" s="53"/>
      <c r="D16" s="53"/>
      <c r="E16" s="80"/>
    </row>
    <row r="17" spans="1:5">
      <c r="A17" s="52">
        <f t="shared" si="0"/>
        <v>6</v>
      </c>
      <c r="B17" s="57" t="s">
        <v>179</v>
      </c>
      <c r="C17" s="53"/>
      <c r="D17" s="53"/>
      <c r="E17" s="106">
        <f>+'EXH KBH-3 P3.1'!E39</f>
        <v>111238599.51600027</v>
      </c>
    </row>
    <row r="18" spans="1:5">
      <c r="A18" s="52">
        <f t="shared" si="0"/>
        <v>7</v>
      </c>
      <c r="B18" s="57" t="s">
        <v>180</v>
      </c>
      <c r="C18" s="53"/>
      <c r="D18" s="53"/>
      <c r="E18" s="105">
        <f>+E15-E17</f>
        <v>4562272.1055727601</v>
      </c>
    </row>
    <row r="19" spans="1:5">
      <c r="A19" s="52">
        <f t="shared" si="0"/>
        <v>8</v>
      </c>
      <c r="B19" s="53"/>
      <c r="C19" s="53"/>
      <c r="D19" s="53"/>
      <c r="E19" s="80"/>
    </row>
    <row r="20" spans="1:5">
      <c r="A20" s="52">
        <f t="shared" si="0"/>
        <v>9</v>
      </c>
      <c r="B20" s="53" t="s">
        <v>110</v>
      </c>
      <c r="C20" s="53"/>
      <c r="D20" s="53"/>
      <c r="E20" s="81">
        <f>+'Conv Fact P3.31'!E23</f>
        <v>0.62189099999999997</v>
      </c>
    </row>
    <row r="21" spans="1:5">
      <c r="A21" s="52">
        <f>A20+1</f>
        <v>10</v>
      </c>
      <c r="B21" s="53" t="s">
        <v>181</v>
      </c>
      <c r="C21" s="53"/>
      <c r="D21" s="82"/>
      <c r="E21" s="107">
        <f>ROUND(+E18/E20,0)</f>
        <v>7336128</v>
      </c>
    </row>
    <row r="22" spans="1:5">
      <c r="A22" s="52">
        <f t="shared" si="0"/>
        <v>11</v>
      </c>
      <c r="B22" s="57" t="s">
        <v>128</v>
      </c>
      <c r="C22" s="53"/>
      <c r="D22" s="53"/>
      <c r="E22" s="108">
        <v>205780</v>
      </c>
    </row>
    <row r="23" spans="1:5">
      <c r="A23" s="52">
        <f t="shared" si="0"/>
        <v>12</v>
      </c>
      <c r="B23" s="57"/>
      <c r="C23" s="53"/>
      <c r="D23" s="53"/>
      <c r="E23" s="108"/>
    </row>
    <row r="24" spans="1:5" ht="16.5" thickBot="1">
      <c r="A24" s="52">
        <f>A23+1</f>
        <v>13</v>
      </c>
      <c r="B24" s="53" t="s">
        <v>181</v>
      </c>
      <c r="C24" s="53"/>
      <c r="D24" s="53"/>
      <c r="E24" s="109">
        <f>+E21-E23-E22</f>
        <v>7130348</v>
      </c>
    </row>
    <row r="25" spans="1:5" ht="16.5" thickTop="1">
      <c r="A25" s="52"/>
      <c r="B25" s="53"/>
      <c r="C25" s="53"/>
      <c r="D25" s="53"/>
      <c r="E25" s="53"/>
    </row>
  </sheetData>
  <pageMargins left="0.7" right="0.7" top="1.25" bottom="0.75" header="0.75" footer="0.3"/>
  <pageSetup scale="97" orientation="portrait" r:id="rId1"/>
  <headerFooter>
    <oddHeader>&amp;R&amp;"Times New Roman,Regular"&amp;12EXHIBIT KHB-3
Page 3.29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I48"/>
  <sheetViews>
    <sheetView topLeftCell="A6" zoomScaleNormal="100" workbookViewId="0">
      <pane xSplit="2" ySplit="4" topLeftCell="C27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403" t="s">
        <v>188</v>
      </c>
      <c r="B2" s="403"/>
      <c r="C2" s="403"/>
      <c r="D2" s="403"/>
      <c r="E2" s="403"/>
      <c r="F2" s="403"/>
      <c r="G2" s="403"/>
      <c r="H2" s="404"/>
      <c r="I2" s="404"/>
    </row>
    <row r="3" spans="1:9">
      <c r="A3" s="403" t="s">
        <v>45</v>
      </c>
      <c r="B3" s="403"/>
      <c r="C3" s="403"/>
      <c r="D3" s="403"/>
      <c r="E3" s="403"/>
      <c r="F3" s="403"/>
      <c r="G3" s="403"/>
      <c r="H3" s="404"/>
      <c r="I3" s="404"/>
    </row>
    <row r="4" spans="1:9">
      <c r="A4" s="403" t="s">
        <v>44</v>
      </c>
      <c r="B4" s="403"/>
      <c r="C4" s="403"/>
      <c r="D4" s="403"/>
      <c r="E4" s="403"/>
      <c r="F4" s="403"/>
      <c r="G4" s="403"/>
      <c r="H4" s="404"/>
      <c r="I4" s="404"/>
    </row>
    <row r="5" spans="1:9">
      <c r="A5" s="403" t="s">
        <v>56</v>
      </c>
      <c r="B5" s="403"/>
      <c r="C5" s="403"/>
      <c r="D5" s="403"/>
      <c r="E5" s="403"/>
      <c r="F5" s="403"/>
      <c r="G5" s="403"/>
      <c r="H5" s="404"/>
      <c r="I5" s="404"/>
    </row>
    <row r="6" spans="1:9">
      <c r="A6" s="11"/>
      <c r="B6" s="11"/>
      <c r="C6" s="11" t="s">
        <v>69</v>
      </c>
      <c r="D6" s="11" t="s">
        <v>71</v>
      </c>
      <c r="E6" s="11" t="s">
        <v>81</v>
      </c>
      <c r="F6" s="11" t="s">
        <v>83</v>
      </c>
      <c r="G6" s="11" t="s">
        <v>229</v>
      </c>
      <c r="H6" s="11" t="s">
        <v>84</v>
      </c>
      <c r="I6" s="11" t="s">
        <v>233</v>
      </c>
    </row>
    <row r="7" spans="1:9">
      <c r="A7" s="12" t="s">
        <v>28</v>
      </c>
      <c r="B7" s="12"/>
      <c r="C7" s="12" t="s">
        <v>70</v>
      </c>
      <c r="D7" s="12" t="s">
        <v>72</v>
      </c>
      <c r="E7" s="12" t="s">
        <v>82</v>
      </c>
      <c r="F7" s="12" t="s">
        <v>227</v>
      </c>
      <c r="G7" s="12" t="s">
        <v>230</v>
      </c>
      <c r="H7" s="12" t="s">
        <v>85</v>
      </c>
      <c r="I7" s="12" t="s">
        <v>234</v>
      </c>
    </row>
    <row r="8" spans="1:9">
      <c r="A8" s="13" t="s">
        <v>29</v>
      </c>
      <c r="B8" s="12" t="s">
        <v>30</v>
      </c>
      <c r="C8" s="12" t="s">
        <v>224</v>
      </c>
      <c r="D8" s="12" t="s">
        <v>225</v>
      </c>
      <c r="E8" s="12" t="s">
        <v>226</v>
      </c>
      <c r="F8" s="12" t="s">
        <v>228</v>
      </c>
      <c r="G8" s="12" t="s">
        <v>231</v>
      </c>
      <c r="H8" s="12" t="s">
        <v>232</v>
      </c>
      <c r="I8" s="12" t="s">
        <v>235</v>
      </c>
    </row>
    <row r="9" spans="1:9">
      <c r="A9" s="14"/>
      <c r="B9" s="15"/>
      <c r="C9" s="14" t="s">
        <v>62</v>
      </c>
      <c r="D9" s="14" t="s">
        <v>63</v>
      </c>
      <c r="E9" s="14" t="s">
        <v>64</v>
      </c>
      <c r="F9" s="14" t="s">
        <v>65</v>
      </c>
      <c r="G9" s="14" t="s">
        <v>66</v>
      </c>
      <c r="H9" s="14" t="s">
        <v>67</v>
      </c>
      <c r="I9" s="17" t="s">
        <v>68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f>-(+' Adj 9.07 P3.12'!E13+' Adj 9.07 P3.12'!E14+' Adj 9.07 P3.12'!E15)</f>
        <v>41276053.570893578</v>
      </c>
      <c r="D11" s="27"/>
      <c r="E11" s="27"/>
      <c r="F11" s="27"/>
      <c r="G11" s="27"/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>
        <f>-(+' Adj 9.07 P3.12'!E16+' Adj 9.07 P3.12'!E17)</f>
        <v>-49951005.50999999</v>
      </c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>
        <f>+' Adj 9.09 P3.14'!H14</f>
        <v>924891</v>
      </c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-8674951.9391064122</v>
      </c>
      <c r="D14" s="30">
        <f>SUM(D11:D13)</f>
        <v>0</v>
      </c>
      <c r="E14" s="30">
        <f t="shared" ref="E14:I14" si="1">SUM(E11:E13)</f>
        <v>924891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f>+' Adj 9.07 P3.12'!E29</f>
        <v>50560390</v>
      </c>
      <c r="D18" s="27"/>
      <c r="E18" s="125"/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50560390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5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/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/>
      <c r="I23" s="23"/>
    </row>
    <row r="24" spans="1:9">
      <c r="A24" s="113">
        <f t="shared" si="0"/>
        <v>15</v>
      </c>
      <c r="B24" s="4" t="s">
        <v>529</v>
      </c>
      <c r="C24" s="23">
        <f>+' Adj 9.07 P3.12'!E21</f>
        <v>-24576.138843488476</v>
      </c>
      <c r="D24" s="23">
        <f>+' Adj 9.08 P3.13'!E24</f>
        <v>-699342</v>
      </c>
      <c r="E24" s="23"/>
      <c r="F24" s="23"/>
      <c r="G24" s="23"/>
      <c r="I24" s="23">
        <f>+' Adj 9.13 P3.18'!E12</f>
        <v>30273.092195121953</v>
      </c>
    </row>
    <row r="25" spans="1:9">
      <c r="A25" s="113">
        <f t="shared" si="0"/>
        <v>16</v>
      </c>
      <c r="B25" s="4" t="s">
        <v>8</v>
      </c>
      <c r="C25" s="23">
        <f>+' Adj 9.07 P3.12'!E27</f>
        <v>-3417545</v>
      </c>
      <c r="D25" s="23"/>
      <c r="E25" s="23"/>
      <c r="F25" s="23"/>
      <c r="G25" s="23"/>
      <c r="I25" s="23"/>
    </row>
    <row r="26" spans="1:9">
      <c r="A26" s="113">
        <f t="shared" si="0"/>
        <v>17</v>
      </c>
      <c r="B26" s="1" t="s">
        <v>9</v>
      </c>
      <c r="C26" s="23">
        <f>+' Adj 9.07 P3.12'!E28</f>
        <v>-7669601</v>
      </c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9.07 P3.12'!E22</f>
        <v>-17349.903878212834</v>
      </c>
      <c r="D27" s="23">
        <v>0</v>
      </c>
      <c r="E27" s="23">
        <f>+' Adj 9.09 P3.14'!H23+' Adj 9.09 P3.14'!H24+' Adj 9.09 P3.14'!H25+' Adj 9.09 P3.14'!H26+' Adj 9.09 P3.14'!H27</f>
        <v>502752</v>
      </c>
      <c r="F27" s="23"/>
      <c r="G27" s="23"/>
      <c r="H27" s="23">
        <f>+' Adj 9.12 P3.17'!H18</f>
        <v>-326284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>
        <f>+' Adj 9.09 P3.14'!H20</f>
        <v>-1414931</v>
      </c>
      <c r="F31" s="23"/>
      <c r="G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I32" s="23"/>
    </row>
    <row r="33" spans="1:9">
      <c r="A33" s="113">
        <f t="shared" si="0"/>
        <v>24</v>
      </c>
      <c r="B33" s="4" t="s">
        <v>16</v>
      </c>
      <c r="C33" s="23">
        <f>+' Adj 9.07 P3.12'!E23+' Adj 9.07 P3.12'!E30</f>
        <v>-48633838.578933015</v>
      </c>
      <c r="D33" s="23"/>
      <c r="E33" s="23"/>
      <c r="F33" s="23">
        <f>+' Adj 9.10 P3.15'!D19</f>
        <v>0</v>
      </c>
      <c r="G33" s="23">
        <f>+' Adj 9.11 P3.16'!D20</f>
        <v>-1066354.0315999915</v>
      </c>
      <c r="I33" s="23"/>
    </row>
    <row r="34" spans="1:9">
      <c r="A34" s="113">
        <f t="shared" si="0"/>
        <v>25</v>
      </c>
      <c r="B34" s="4" t="s">
        <v>17</v>
      </c>
      <c r="C34" s="23">
        <f>+' Adj 9.07 P3.12'!E35</f>
        <v>184649.03889190577</v>
      </c>
      <c r="D34" s="23">
        <f>+' Adj 9.08 P3.13'!E26</f>
        <v>244770</v>
      </c>
      <c r="E34" s="23">
        <f>+' Adj 9.09 P3.14'!H31</f>
        <v>642974.5</v>
      </c>
      <c r="F34" s="23">
        <f>+' Adj 9.10 P3.15'!D20</f>
        <v>0</v>
      </c>
      <c r="G34" s="26">
        <f>+' Adj 9.11 P3.16'!D22</f>
        <v>373223.91105999699</v>
      </c>
      <c r="H34" s="29">
        <f>+' Adj 9.12 P3.17'!H20</f>
        <v>114199.4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-9017871.5827628132</v>
      </c>
      <c r="D36" s="31">
        <f t="shared" si="3"/>
        <v>-454572</v>
      </c>
      <c r="E36" s="31">
        <f t="shared" si="3"/>
        <v>-269204.5</v>
      </c>
      <c r="F36" s="31">
        <f t="shared" si="3"/>
        <v>0</v>
      </c>
      <c r="G36" s="31">
        <f t="shared" si="3"/>
        <v>-693130.12053999444</v>
      </c>
      <c r="H36" s="31">
        <f t="shared" si="3"/>
        <v>-212084.6</v>
      </c>
      <c r="I36" s="31">
        <f t="shared" si="3"/>
        <v>30273.092195121953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342919.64365640096</v>
      </c>
      <c r="D38" s="32">
        <f t="shared" si="4"/>
        <v>454572</v>
      </c>
      <c r="E38" s="32">
        <f t="shared" si="4"/>
        <v>1194095.5</v>
      </c>
      <c r="F38" s="32">
        <f t="shared" si="4"/>
        <v>0</v>
      </c>
      <c r="G38" s="32">
        <f t="shared" si="4"/>
        <v>693130.12053999444</v>
      </c>
      <c r="H38" s="32">
        <f t="shared" si="4"/>
        <v>212084.6</v>
      </c>
      <c r="I38" s="32">
        <f t="shared" si="4"/>
        <v>-30273.092195121953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27"/>
      <c r="D41" s="27">
        <v>0</v>
      </c>
      <c r="E41" s="27">
        <v>0</v>
      </c>
      <c r="F41" s="27"/>
      <c r="G41" s="27"/>
      <c r="H41" s="28"/>
      <c r="I41" s="27"/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>
        <f>+' Adj 9.13 P3.18'!E16</f>
        <v>-6973755.5683333296</v>
      </c>
    </row>
    <row r="45" spans="1:9">
      <c r="A45" s="113">
        <f>1+A44</f>
        <v>36</v>
      </c>
      <c r="B45" s="4" t="s">
        <v>193</v>
      </c>
      <c r="C45" s="142">
        <f>SUM(C41:C44)</f>
        <v>0</v>
      </c>
      <c r="D45" s="142">
        <f t="shared" ref="D45:H45" si="5">SUM(D41:D44)</f>
        <v>0</v>
      </c>
      <c r="E45" s="142">
        <f t="shared" si="5"/>
        <v>0</v>
      </c>
      <c r="F45" s="142">
        <f t="shared" si="5"/>
        <v>0</v>
      </c>
      <c r="G45" s="142">
        <f t="shared" si="5"/>
        <v>0</v>
      </c>
      <c r="H45" s="142">
        <f t="shared" si="5"/>
        <v>0</v>
      </c>
      <c r="I45" s="30">
        <f>SUM(I41:I44)</f>
        <v>-6973755.5683333296</v>
      </c>
    </row>
    <row r="46" spans="1:9">
      <c r="A46" s="113">
        <f t="shared" ref="A46:A47" si="6">1+A45</f>
        <v>37</v>
      </c>
      <c r="B46" s="4" t="s">
        <v>24</v>
      </c>
      <c r="C46" s="23"/>
      <c r="D46" s="23"/>
      <c r="E46" s="23"/>
      <c r="F46" s="23"/>
      <c r="G46" s="23"/>
      <c r="I46" s="23">
        <f>+' Adj 9.13 P3.18'!E17</f>
        <v>1628997.9547713771</v>
      </c>
    </row>
    <row r="47" spans="1:9" ht="16.5" thickBot="1">
      <c r="A47" s="113">
        <f t="shared" si="6"/>
        <v>38</v>
      </c>
      <c r="B47" s="4" t="s">
        <v>26</v>
      </c>
      <c r="C47" s="32">
        <f>+C46+C45</f>
        <v>0</v>
      </c>
      <c r="D47" s="32">
        <f t="shared" ref="D47:H47" si="7">+D46+D45</f>
        <v>0</v>
      </c>
      <c r="E47" s="32">
        <f t="shared" si="7"/>
        <v>0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>+I46+I45</f>
        <v>-5344757.6135619525</v>
      </c>
    </row>
    <row r="48" spans="1:9" ht="16.5" thickTop="1"/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E27"/>
  <sheetViews>
    <sheetView zoomScaleNormal="100" workbookViewId="0">
      <selection activeCell="B42" sqref="B42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/>
      <c r="B4" s="53"/>
      <c r="C4" s="53"/>
      <c r="D4" s="53"/>
      <c r="E4" s="59"/>
    </row>
    <row r="5" spans="1:5" ht="16.5" thickBot="1">
      <c r="A5" s="53"/>
      <c r="B5" s="53"/>
      <c r="C5" s="53"/>
      <c r="D5" s="53"/>
      <c r="E5" s="59"/>
    </row>
    <row r="6" spans="1:5" ht="17.25" thickTop="1" thickBot="1">
      <c r="A6" s="53"/>
      <c r="B6" s="53"/>
      <c r="C6" s="53"/>
      <c r="D6" s="53"/>
      <c r="E6" s="60"/>
    </row>
    <row r="7" spans="1:5" ht="16.5" thickTop="1">
      <c r="A7" s="43" t="s">
        <v>108</v>
      </c>
      <c r="B7" s="61"/>
      <c r="C7" s="39"/>
      <c r="D7" s="39"/>
      <c r="E7" s="39"/>
    </row>
    <row r="8" spans="1:5">
      <c r="A8" s="39" t="s">
        <v>154</v>
      </c>
      <c r="B8" s="61"/>
      <c r="C8" s="39"/>
      <c r="D8" s="39"/>
      <c r="E8" s="39"/>
    </row>
    <row r="9" spans="1:5">
      <c r="A9" s="39" t="str">
        <f>TY</f>
        <v>FOR THE TWELVE MONTHS ENDED DECEMBER  31, 2008</v>
      </c>
      <c r="B9" s="61"/>
      <c r="C9" s="39"/>
      <c r="D9" s="39"/>
      <c r="E9" s="39"/>
    </row>
    <row r="10" spans="1:5">
      <c r="A10" s="43" t="s">
        <v>111</v>
      </c>
      <c r="B10" s="61"/>
      <c r="C10" s="39"/>
      <c r="D10" s="39"/>
      <c r="E10" s="39"/>
    </row>
    <row r="11" spans="1:5">
      <c r="A11" s="40"/>
      <c r="B11" s="53"/>
      <c r="C11" s="53"/>
      <c r="D11" s="53"/>
      <c r="E11" s="53"/>
    </row>
    <row r="12" spans="1:5">
      <c r="A12" s="53"/>
      <c r="B12" s="53"/>
      <c r="C12" s="53"/>
      <c r="D12" s="53"/>
      <c r="E12" s="53"/>
    </row>
    <row r="13" spans="1:5">
      <c r="A13" s="47" t="s">
        <v>112</v>
      </c>
      <c r="B13" s="53"/>
      <c r="C13" s="52" t="s">
        <v>159</v>
      </c>
      <c r="D13" s="52"/>
      <c r="E13" s="52" t="s">
        <v>160</v>
      </c>
    </row>
    <row r="14" spans="1:5">
      <c r="A14" s="49" t="s">
        <v>115</v>
      </c>
      <c r="B14" s="62" t="s">
        <v>116</v>
      </c>
      <c r="C14" s="63" t="s">
        <v>161</v>
      </c>
      <c r="D14" s="63" t="s">
        <v>162</v>
      </c>
      <c r="E14" s="63" t="s">
        <v>163</v>
      </c>
    </row>
    <row r="15" spans="1:5">
      <c r="A15" s="64"/>
      <c r="B15" s="64"/>
      <c r="C15" s="64"/>
      <c r="D15" s="64"/>
      <c r="E15" s="64"/>
    </row>
    <row r="16" spans="1:5">
      <c r="A16" s="52">
        <v>1</v>
      </c>
      <c r="B16" s="53" t="s">
        <v>164</v>
      </c>
      <c r="C16" s="152">
        <v>3.95E-2</v>
      </c>
      <c r="D16" s="152">
        <v>2.47E-2</v>
      </c>
      <c r="E16" s="150">
        <f>ROUND(C16*D16,4)</f>
        <v>1E-3</v>
      </c>
    </row>
    <row r="17" spans="1:5">
      <c r="A17" s="52">
        <v>2</v>
      </c>
      <c r="B17" s="53" t="s">
        <v>165</v>
      </c>
      <c r="C17" s="152">
        <v>0.51049999999999995</v>
      </c>
      <c r="D17" s="152">
        <v>6.4500000000000002E-2</v>
      </c>
      <c r="E17" s="150">
        <f>ROUND(C17*D17,4)</f>
        <v>3.2899999999999999E-2</v>
      </c>
    </row>
    <row r="18" spans="1:5">
      <c r="A18" s="52">
        <v>3</v>
      </c>
      <c r="B18" s="53" t="s">
        <v>166</v>
      </c>
      <c r="C18" s="152">
        <v>0</v>
      </c>
      <c r="D18" s="152">
        <v>0</v>
      </c>
      <c r="E18" s="150">
        <f>ROUND(C18*D18,4)</f>
        <v>0</v>
      </c>
    </row>
    <row r="19" spans="1:5">
      <c r="A19" s="52">
        <v>4</v>
      </c>
      <c r="B19" s="53" t="s">
        <v>167</v>
      </c>
      <c r="C19" s="153">
        <v>0.45</v>
      </c>
      <c r="D19" s="154">
        <v>0.1</v>
      </c>
      <c r="E19" s="150">
        <f>ROUND(C19*D19,4)</f>
        <v>4.4999999999999998E-2</v>
      </c>
    </row>
    <row r="20" spans="1:5">
      <c r="A20" s="52">
        <v>5</v>
      </c>
      <c r="B20" s="53" t="s">
        <v>120</v>
      </c>
      <c r="C20" s="151">
        <v>1</v>
      </c>
      <c r="D20" s="150"/>
      <c r="E20" s="151">
        <f>SUM(E16:E19)</f>
        <v>7.8899999999999998E-2</v>
      </c>
    </row>
    <row r="21" spans="1:5">
      <c r="A21" s="52">
        <v>6</v>
      </c>
      <c r="B21" s="53"/>
      <c r="C21" s="150"/>
      <c r="D21" s="150"/>
      <c r="E21" s="150"/>
    </row>
    <row r="22" spans="1:5">
      <c r="A22" s="52">
        <v>7</v>
      </c>
      <c r="B22" s="53" t="s">
        <v>170</v>
      </c>
      <c r="C22" s="150">
        <f>C16</f>
        <v>3.95E-2</v>
      </c>
      <c r="D22" s="150">
        <f>D16*0.65</f>
        <v>1.6055E-2</v>
      </c>
      <c r="E22" s="150">
        <f>ROUND(E16*0.65,4)</f>
        <v>6.9999999999999999E-4</v>
      </c>
    </row>
    <row r="23" spans="1:5">
      <c r="A23" s="52">
        <v>8</v>
      </c>
      <c r="B23" s="53" t="s">
        <v>172</v>
      </c>
      <c r="C23" s="150">
        <f>C17</f>
        <v>0.51049999999999995</v>
      </c>
      <c r="D23" s="150">
        <f>D17*0.65</f>
        <v>4.1925000000000004E-2</v>
      </c>
      <c r="E23" s="150">
        <f>ROUND(E17*0.65,4)</f>
        <v>2.1399999999999999E-2</v>
      </c>
    </row>
    <row r="24" spans="1:5">
      <c r="A24" s="52">
        <v>9</v>
      </c>
      <c r="B24" s="53" t="s">
        <v>166</v>
      </c>
      <c r="C24" s="150">
        <f>C18</f>
        <v>0</v>
      </c>
      <c r="D24" s="150">
        <f>D18</f>
        <v>0</v>
      </c>
      <c r="E24" s="150">
        <f>ROUND(C24*D24,4)</f>
        <v>0</v>
      </c>
    </row>
    <row r="25" spans="1:5">
      <c r="A25" s="52">
        <v>10</v>
      </c>
      <c r="B25" s="53" t="s">
        <v>167</v>
      </c>
      <c r="C25" s="155">
        <f>C19</f>
        <v>0.45</v>
      </c>
      <c r="D25" s="104">
        <f>D19</f>
        <v>0.1</v>
      </c>
      <c r="E25" s="150">
        <f>ROUND(C25*D25,4)</f>
        <v>4.4999999999999998E-2</v>
      </c>
    </row>
    <row r="26" spans="1:5">
      <c r="A26" s="52">
        <v>11</v>
      </c>
      <c r="B26" s="53" t="s">
        <v>174</v>
      </c>
      <c r="C26" s="151">
        <f>SUM(C22:C25)</f>
        <v>1</v>
      </c>
      <c r="D26" s="150"/>
      <c r="E26" s="151">
        <f>SUM(E22:E25)</f>
        <v>6.7099999999999993E-2</v>
      </c>
    </row>
    <row r="27" spans="1:5">
      <c r="A27" s="52"/>
      <c r="B27" s="53"/>
      <c r="C27" s="42"/>
      <c r="D27" s="65"/>
      <c r="E27" s="42"/>
    </row>
  </sheetData>
  <pageMargins left="0.7" right="0.7" top="1.25" bottom="0.75" header="0.75" footer="0.3"/>
  <pageSetup scale="74" orientation="portrait" r:id="rId1"/>
  <headerFooter>
    <oddHeader>&amp;R&amp;"Times New Roman,Regular"&amp;12EXHIBIT KHB-3
Page 3.30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63.140625" style="2" customWidth="1"/>
    <col min="3" max="4" width="9.140625" style="2"/>
    <col min="5" max="5" width="26.7109375" style="2" customWidth="1"/>
    <col min="6" max="6" width="2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6"/>
      <c r="B4" s="53"/>
      <c r="C4" s="53"/>
      <c r="D4" s="53"/>
      <c r="E4" s="59"/>
      <c r="F4" s="46"/>
    </row>
    <row r="5" spans="1:6">
      <c r="A5" s="46"/>
      <c r="B5" s="46"/>
      <c r="C5" s="46"/>
      <c r="D5" s="46"/>
      <c r="E5" s="59"/>
      <c r="F5" s="66"/>
    </row>
    <row r="6" spans="1:6">
      <c r="A6" s="46"/>
      <c r="B6" s="46"/>
      <c r="C6" s="46"/>
      <c r="D6" s="46"/>
      <c r="E6" s="76"/>
      <c r="F6" s="46"/>
    </row>
    <row r="7" spans="1:6">
      <c r="A7" s="43" t="s">
        <v>108</v>
      </c>
      <c r="B7" s="39"/>
      <c r="C7" s="39"/>
      <c r="D7" s="39"/>
      <c r="E7" s="39"/>
      <c r="F7" s="43"/>
    </row>
    <row r="8" spans="1:6">
      <c r="A8" s="39" t="s">
        <v>110</v>
      </c>
      <c r="B8" s="39"/>
      <c r="C8" s="39"/>
      <c r="D8" s="39"/>
      <c r="E8" s="39"/>
      <c r="F8" s="43"/>
    </row>
    <row r="9" spans="1:6">
      <c r="A9" s="39" t="str">
        <f>TY</f>
        <v>FOR THE TWELVE MONTHS ENDED DECEMBER  31, 2008</v>
      </c>
      <c r="B9" s="39"/>
      <c r="C9" s="39"/>
      <c r="D9" s="39"/>
      <c r="E9" s="39"/>
      <c r="F9" s="39"/>
    </row>
    <row r="10" spans="1:6">
      <c r="A10" s="43" t="s">
        <v>111</v>
      </c>
      <c r="B10" s="39"/>
      <c r="C10" s="39"/>
      <c r="D10" s="39"/>
      <c r="E10" s="39"/>
      <c r="F10" s="43"/>
    </row>
    <row r="11" spans="1:6">
      <c r="A11" s="46"/>
      <c r="B11" s="46"/>
      <c r="C11" s="46"/>
      <c r="D11" s="46"/>
      <c r="E11" s="46"/>
      <c r="F11" s="46"/>
    </row>
    <row r="12" spans="1:6">
      <c r="A12" s="47" t="s">
        <v>112</v>
      </c>
      <c r="B12" s="46"/>
      <c r="C12" s="46"/>
      <c r="D12" s="46"/>
      <c r="E12" s="46"/>
      <c r="F12" s="74"/>
    </row>
    <row r="13" spans="1:6">
      <c r="A13" s="49" t="s">
        <v>115</v>
      </c>
      <c r="B13" s="67" t="s">
        <v>116</v>
      </c>
      <c r="C13" s="48"/>
      <c r="D13" s="48"/>
      <c r="E13" s="49" t="s">
        <v>121</v>
      </c>
      <c r="F13" s="74"/>
    </row>
    <row r="14" spans="1:6">
      <c r="A14" s="53"/>
      <c r="B14" s="53"/>
      <c r="C14" s="53"/>
      <c r="D14" s="53"/>
      <c r="E14" s="52"/>
      <c r="F14" s="75"/>
    </row>
    <row r="15" spans="1:6">
      <c r="A15" s="52">
        <v>1</v>
      </c>
      <c r="B15" s="57" t="s">
        <v>109</v>
      </c>
      <c r="C15" s="53"/>
      <c r="D15" s="53"/>
      <c r="E15" s="68">
        <f>+' Adj 9.08 P3.13'!E16</f>
        <v>2.833E-3</v>
      </c>
      <c r="F15" s="50"/>
    </row>
    <row r="16" spans="1:6">
      <c r="A16" s="52">
        <v>2</v>
      </c>
      <c r="B16" s="57" t="s">
        <v>129</v>
      </c>
      <c r="C16" s="53"/>
      <c r="D16" s="53"/>
      <c r="E16" s="68">
        <v>2E-3</v>
      </c>
      <c r="F16" s="50"/>
    </row>
    <row r="17" spans="1:6">
      <c r="A17" s="52">
        <v>3</v>
      </c>
      <c r="B17" s="57" t="str">
        <f>"STATE UTILITY TAX ( "&amp;D17*100&amp;"% - ( LINE 1 * "&amp;D17*100&amp;"% )  )"</f>
        <v>STATE UTILITY TAX ( 3.852% - ( LINE 1 * 3.852% )  )</v>
      </c>
      <c r="C17" s="53"/>
      <c r="D17" s="69">
        <v>3.8519999999999999E-2</v>
      </c>
      <c r="E17" s="70">
        <f>ROUND(D17-(D17*E15),6)</f>
        <v>3.8411000000000001E-2</v>
      </c>
      <c r="F17" s="54"/>
    </row>
    <row r="18" spans="1:6">
      <c r="A18" s="52">
        <v>4</v>
      </c>
      <c r="B18" s="57"/>
      <c r="C18" s="53"/>
      <c r="D18" s="53"/>
      <c r="E18" s="71"/>
      <c r="F18" s="54"/>
    </row>
    <row r="19" spans="1:6">
      <c r="A19" s="52">
        <v>5</v>
      </c>
      <c r="B19" s="57" t="s">
        <v>135</v>
      </c>
      <c r="C19" s="53"/>
      <c r="D19" s="53"/>
      <c r="E19" s="68">
        <f>ROUND(SUM(E15:E17),6)</f>
        <v>4.3243999999999998E-2</v>
      </c>
      <c r="F19" s="54"/>
    </row>
    <row r="20" spans="1:6">
      <c r="A20" s="52">
        <v>6</v>
      </c>
      <c r="B20" s="53"/>
      <c r="C20" s="53"/>
      <c r="D20" s="53"/>
      <c r="E20" s="68"/>
      <c r="F20" s="54"/>
    </row>
    <row r="21" spans="1:6">
      <c r="A21" s="52">
        <v>7</v>
      </c>
      <c r="B21" s="53" t="str">
        <f>"CONVERSION FACTOR EXCLUDING FEDERAL INCOME TAX ( 1 - LINE "&amp;$GE$17&amp;" )"</f>
        <v>CONVERSION FACTOR EXCLUDING FEDERAL INCOME TAX ( 1 - LINE  )</v>
      </c>
      <c r="C21" s="53"/>
      <c r="D21" s="53"/>
      <c r="E21" s="68">
        <f>ROUND(1-E19,6)</f>
        <v>0.95675600000000005</v>
      </c>
      <c r="F21" s="54"/>
    </row>
    <row r="22" spans="1:6">
      <c r="A22" s="52">
        <v>8</v>
      </c>
      <c r="B22" s="57" t="str">
        <f>"FEDERAL INCOME TAX ( LINE "&amp;A21&amp;"  * "&amp;FIT*100&amp;"% )"</f>
        <v>FEDERAL INCOME TAX ( LINE 7  * 35% )</v>
      </c>
      <c r="C22" s="53"/>
      <c r="D22" s="72">
        <v>0.35</v>
      </c>
      <c r="E22" s="68">
        <f>ROUND((E21)*FIT,6)</f>
        <v>0.33486500000000002</v>
      </c>
      <c r="F22" s="54"/>
    </row>
    <row r="23" spans="1:6">
      <c r="A23" s="52">
        <v>9</v>
      </c>
      <c r="B23" s="57" t="str">
        <f>"CONVERSION FACTOR INCL FEDERAL INCOME TAX ( LINE "&amp;A21&amp;" - LINE "&amp;A22&amp;" ) "</f>
        <v xml:space="preserve">CONVERSION FACTOR INCL FEDERAL INCOME TAX ( LINE 7 - LINE 8 ) </v>
      </c>
      <c r="C23" s="53"/>
      <c r="D23" s="53"/>
      <c r="E23" s="73">
        <f>E21-E22</f>
        <v>0.62189099999999997</v>
      </c>
      <c r="F23" s="54"/>
    </row>
  </sheetData>
  <pageMargins left="0.7" right="0.7" top="0.75" bottom="0.75" header="0.75" footer="0.3"/>
  <pageSetup scale="75" orientation="portrait" r:id="rId1"/>
  <headerFooter>
    <oddHeader>&amp;R&amp;"Times New Roman,Regular"&amp;12EXHIBIT KHB-3
Page 3.31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workbookViewId="0">
      <pane xSplit="3" ySplit="9" topLeftCell="D19" activePane="bottomRight" state="frozen"/>
      <selection activeCell="B42" sqref="B42"/>
      <selection pane="topRight" activeCell="B42" sqref="B42"/>
      <selection pane="bottomLeft" activeCell="B42" sqref="B42"/>
      <selection pane="bottomRight" activeCell="F36" sqref="F36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7109375" style="2" bestFit="1" customWidth="1"/>
    <col min="5" max="5" width="18.5703125" style="2" bestFit="1" customWidth="1"/>
    <col min="6" max="6" width="15.140625" style="2" bestFit="1" customWidth="1"/>
    <col min="7" max="7" width="15.5703125" style="2" bestFit="1" customWidth="1"/>
    <col min="8" max="8" width="17.28515625" style="2" bestFit="1" customWidth="1"/>
    <col min="9" max="9" width="16.140625" style="2" bestFit="1" customWidth="1"/>
    <col min="10" max="10" width="14.140625" style="2" bestFit="1" customWidth="1"/>
    <col min="11" max="11" width="15" style="2" bestFit="1" customWidth="1"/>
    <col min="12" max="12" width="16.28515625" style="2" bestFit="1" customWidth="1"/>
    <col min="13" max="16384" width="9.140625" style="2"/>
  </cols>
  <sheetData>
    <row r="1" spans="1:12">
      <c r="A1" s="2" t="s">
        <v>466</v>
      </c>
    </row>
    <row r="2" spans="1:12">
      <c r="A2" s="2" t="s">
        <v>508</v>
      </c>
      <c r="I2" s="379"/>
    </row>
    <row r="3" spans="1:12">
      <c r="A3" s="2" t="s">
        <v>468</v>
      </c>
      <c r="I3" s="379"/>
    </row>
    <row r="4" spans="1:12">
      <c r="A4" s="2" t="s">
        <v>513</v>
      </c>
    </row>
    <row r="5" spans="1:12">
      <c r="A5" s="2" t="s">
        <v>470</v>
      </c>
    </row>
    <row r="7" spans="1:12">
      <c r="B7" s="11"/>
      <c r="C7" s="11"/>
      <c r="D7" s="417" t="s">
        <v>365</v>
      </c>
      <c r="E7" s="418"/>
      <c r="F7" s="419"/>
      <c r="G7" s="417" t="s">
        <v>374</v>
      </c>
      <c r="H7" s="418"/>
      <c r="I7" s="419"/>
      <c r="J7" s="417" t="s">
        <v>512</v>
      </c>
      <c r="K7" s="420"/>
      <c r="L7" s="421"/>
    </row>
    <row r="8" spans="1:12">
      <c r="B8" s="12" t="s">
        <v>473</v>
      </c>
      <c r="C8" s="12" t="s">
        <v>30</v>
      </c>
      <c r="D8" s="12" t="s">
        <v>514</v>
      </c>
      <c r="E8" s="12" t="s">
        <v>475</v>
      </c>
      <c r="F8" s="34" t="s">
        <v>472</v>
      </c>
      <c r="G8" s="12" t="s">
        <v>514</v>
      </c>
      <c r="H8" s="12" t="s">
        <v>475</v>
      </c>
      <c r="I8" s="34" t="s">
        <v>472</v>
      </c>
      <c r="J8" s="12" t="s">
        <v>514</v>
      </c>
      <c r="K8" s="12" t="s">
        <v>475</v>
      </c>
      <c r="L8" s="11" t="s">
        <v>472</v>
      </c>
    </row>
    <row r="9" spans="1:12">
      <c r="B9" s="17" t="s">
        <v>478</v>
      </c>
      <c r="C9" s="17" t="s">
        <v>479</v>
      </c>
      <c r="D9" s="17" t="s">
        <v>61</v>
      </c>
      <c r="E9" s="17" t="s">
        <v>43</v>
      </c>
      <c r="F9" s="17" t="s">
        <v>515</v>
      </c>
      <c r="G9" s="17" t="s">
        <v>480</v>
      </c>
      <c r="H9" s="17" t="s">
        <v>481</v>
      </c>
      <c r="I9" s="422" t="s">
        <v>47</v>
      </c>
      <c r="J9" s="17" t="s">
        <v>516</v>
      </c>
      <c r="K9" s="17" t="s">
        <v>64</v>
      </c>
      <c r="L9" s="17" t="s">
        <v>517</v>
      </c>
    </row>
    <row r="11" spans="1:12">
      <c r="C11" s="423" t="s">
        <v>482</v>
      </c>
      <c r="D11" s="30">
        <f>'Staff Gas'!D11</f>
        <v>111350200.68471289</v>
      </c>
      <c r="E11" s="30">
        <f>'Staff Gas'!E11</f>
        <v>1474511300</v>
      </c>
      <c r="F11" s="424">
        <f>ROUND((-+D11+(E11*Capital!$D$9))/Capital!$D$11,2)</f>
        <v>8021889.5</v>
      </c>
      <c r="G11" s="425">
        <f>+'Company Gas'!D11</f>
        <v>111350201</v>
      </c>
      <c r="H11" s="425">
        <f>+'Company Gas'!E11</f>
        <v>1474337487</v>
      </c>
      <c r="I11" s="424">
        <f>ROUND((-+G11+(H11*Capital!$C$9))/Capital!$C$11,2)</f>
        <v>22461308.16</v>
      </c>
      <c r="J11" s="31">
        <f t="shared" ref="J11:J34" si="0">+D11-G11</f>
        <v>-0.31528711318969727</v>
      </c>
      <c r="K11" s="31">
        <f t="shared" ref="K11:K34" si="1">+E11-H11</f>
        <v>173813</v>
      </c>
      <c r="L11" s="31">
        <f t="shared" ref="L11:L34" si="2">+F11-I11</f>
        <v>-14439418.66</v>
      </c>
    </row>
    <row r="12" spans="1:12">
      <c r="B12" s="426">
        <v>9.01</v>
      </c>
      <c r="C12" s="2" t="s">
        <v>483</v>
      </c>
      <c r="D12" s="16">
        <f>+'Staff Gas'!D12</f>
        <v>-8781320.8861283362</v>
      </c>
      <c r="E12" s="16">
        <f>+'Staff Gas'!E12</f>
        <v>0</v>
      </c>
      <c r="F12" s="427">
        <f>ROUND((-+D12+(E12*Capital!$D$9))/Capital!$D$11,2)</f>
        <v>14120353.710000001</v>
      </c>
      <c r="G12" s="16">
        <f>'Company Gas'!D12</f>
        <v>-8781321</v>
      </c>
      <c r="H12" s="16">
        <f>'Company Gas'!E12</f>
        <v>0</v>
      </c>
      <c r="I12" s="428">
        <f>ROUND((-+G12+(H12*Capital!$C$9))/Capital!$C$11,2)</f>
        <v>14120353.890000001</v>
      </c>
      <c r="J12" s="16">
        <f t="shared" si="0"/>
        <v>0.11387166380882263</v>
      </c>
      <c r="K12" s="16">
        <f t="shared" si="1"/>
        <v>0</v>
      </c>
      <c r="L12" s="16">
        <f t="shared" si="2"/>
        <v>-0.17999999970197678</v>
      </c>
    </row>
    <row r="13" spans="1:12">
      <c r="B13" s="426">
        <v>9.02</v>
      </c>
      <c r="C13" s="2" t="s">
        <v>484</v>
      </c>
      <c r="D13" s="16">
        <f>+'Staff Gas'!D13</f>
        <v>20919188.763121411</v>
      </c>
      <c r="E13" s="16">
        <f>+'Staff Gas'!E13</f>
        <v>0</v>
      </c>
      <c r="F13" s="427">
        <f>ROUND((-+D13+(E13*Capital!$D$9))/Capital!$D$11,2)</f>
        <v>-33638031.039999999</v>
      </c>
      <c r="G13" s="16">
        <f>'Company Gas'!D13</f>
        <v>20539623</v>
      </c>
      <c r="H13" s="16">
        <f>'Company Gas'!E13</f>
        <v>0</v>
      </c>
      <c r="I13" s="428">
        <f>ROUND((-+G13+(H13*Capital!$C$9))/Capital!$C$10,2)</f>
        <v>-33061128.800000001</v>
      </c>
      <c r="J13" s="16">
        <f t="shared" si="0"/>
        <v>379565.7631214112</v>
      </c>
      <c r="K13" s="16">
        <f t="shared" si="1"/>
        <v>0</v>
      </c>
      <c r="L13" s="16">
        <f t="shared" si="2"/>
        <v>-576902.23999999836</v>
      </c>
    </row>
    <row r="14" spans="1:12">
      <c r="B14" s="426">
        <v>9.0299999999999994</v>
      </c>
      <c r="C14" s="2" t="s">
        <v>485</v>
      </c>
      <c r="D14" s="16">
        <f>+'Staff Gas'!D14</f>
        <v>0</v>
      </c>
      <c r="E14" s="16">
        <f>+'Staff Gas'!E14</f>
        <v>-2443570.9583333335</v>
      </c>
      <c r="F14" s="427">
        <f>ROUND((-+D14+(E14*Capital!$D$9))/Capital!$D$11,2)</f>
        <v>-310018.55</v>
      </c>
      <c r="G14" s="16">
        <f>'Company Gas'!D14</f>
        <v>-1018402</v>
      </c>
      <c r="H14" s="16">
        <f>'Company Gas'!E14</f>
        <v>-915968</v>
      </c>
      <c r="I14" s="428">
        <f>ROUND((-+G14+(H14*Capital!$C$9))/Capital!$C$10,2)</f>
        <v>1513926.04</v>
      </c>
      <c r="J14" s="16">
        <f t="shared" si="0"/>
        <v>1018402</v>
      </c>
      <c r="K14" s="16">
        <f t="shared" si="1"/>
        <v>-1527602.9583333335</v>
      </c>
      <c r="L14" s="16">
        <f t="shared" si="2"/>
        <v>-1823944.59</v>
      </c>
    </row>
    <row r="15" spans="1:12">
      <c r="B15" s="426">
        <v>9.0399999999999991</v>
      </c>
      <c r="C15" s="2" t="s">
        <v>486</v>
      </c>
      <c r="D15" s="16">
        <f>+'Staff Gas'!D15</f>
        <v>915757.72939999774</v>
      </c>
      <c r="E15" s="16">
        <f>+'Staff Gas'!E15</f>
        <v>0</v>
      </c>
      <c r="F15" s="427">
        <f>ROUND((-+D15+(E15*Capital!$D$9))/Capital!$D$11,2)</f>
        <v>-1472537.36</v>
      </c>
      <c r="G15" s="16">
        <f>'Company Gas'!D15</f>
        <v>915758</v>
      </c>
      <c r="H15" s="16">
        <f>'Company Gas'!E15</f>
        <v>0</v>
      </c>
      <c r="I15" s="428">
        <f>ROUND((-+G15+(H15*Capital!$C$9))/Capital!$C$10,2)</f>
        <v>-1474028.67</v>
      </c>
      <c r="J15" s="16">
        <f t="shared" si="0"/>
        <v>-0.27060000225901604</v>
      </c>
      <c r="K15" s="16">
        <f t="shared" si="1"/>
        <v>0</v>
      </c>
      <c r="L15" s="16">
        <f t="shared" si="2"/>
        <v>1491.309999999823</v>
      </c>
    </row>
    <row r="16" spans="1:12">
      <c r="B16" s="426">
        <v>9.0500000000000007</v>
      </c>
      <c r="C16" s="2" t="s">
        <v>487</v>
      </c>
      <c r="D16" s="16">
        <f>+'Staff Gas'!D16</f>
        <v>-8386015.674829755</v>
      </c>
      <c r="E16" s="16">
        <f>+'Staff Gas'!E16</f>
        <v>0</v>
      </c>
      <c r="F16" s="427">
        <f>ROUND((-+D16+(E16*Capital!$D$9))/Capital!$D$11,2)</f>
        <v>13484703.390000001</v>
      </c>
      <c r="G16" s="16">
        <f>'Company Gas'!D16</f>
        <v>-8358141</v>
      </c>
      <c r="H16" s="16">
        <f>'Company Gas'!E16</f>
        <v>0</v>
      </c>
      <c r="I16" s="428">
        <f>ROUND((-+G16+(H16*Capital!$C$9))/Capital!$C$10,2)</f>
        <v>13453488.220000001</v>
      </c>
      <c r="J16" s="16">
        <f t="shared" si="0"/>
        <v>-27874.674829754978</v>
      </c>
      <c r="K16" s="16">
        <f t="shared" si="1"/>
        <v>0</v>
      </c>
      <c r="L16" s="16">
        <f t="shared" si="2"/>
        <v>31215.169999999925</v>
      </c>
    </row>
    <row r="17" spans="2:12">
      <c r="B17" s="426">
        <v>9.06</v>
      </c>
      <c r="C17" s="2" t="s">
        <v>488</v>
      </c>
      <c r="D17" s="16">
        <f>+'Staff Gas'!D17</f>
        <v>-6218348.6423879797</v>
      </c>
      <c r="E17" s="16">
        <f>+'Staff Gas'!E17</f>
        <v>-3109174.3211939898</v>
      </c>
      <c r="F17" s="427">
        <f>ROUND((-+D17+(E17*Capital!$D$9))/Capital!$D$11,2)</f>
        <v>9604632.9499999993</v>
      </c>
      <c r="G17" s="16">
        <f>'Company Gas'!D17</f>
        <v>-6218349</v>
      </c>
      <c r="H17" s="16">
        <f>'Company Gas'!E17</f>
        <v>-3109174</v>
      </c>
      <c r="I17" s="428">
        <f>ROUND((-+G17+(H17*Capital!$C$9))/Capital!$C$10,2)</f>
        <v>9583829.6999999993</v>
      </c>
      <c r="J17" s="16">
        <f t="shared" si="0"/>
        <v>0.35761202033609152</v>
      </c>
      <c r="K17" s="16">
        <f t="shared" si="1"/>
        <v>-0.32119398983195424</v>
      </c>
      <c r="L17" s="16">
        <f t="shared" si="2"/>
        <v>20803.25</v>
      </c>
    </row>
    <row r="18" spans="2:12">
      <c r="B18" s="426">
        <v>9.07</v>
      </c>
      <c r="C18" s="2" t="s">
        <v>489</v>
      </c>
      <c r="D18" s="16">
        <f>+'Staff Gas'!D18</f>
        <v>342919.64365640096</v>
      </c>
      <c r="E18" s="16">
        <f>+'Staff Gas'!E18</f>
        <v>0</v>
      </c>
      <c r="F18" s="427">
        <f>ROUND((-+D18+(E18*Capital!$D$9))/Capital!$D$11,2)</f>
        <v>-551414.39</v>
      </c>
      <c r="G18" s="16">
        <f>'Company Gas'!D18</f>
        <v>342920</v>
      </c>
      <c r="H18" s="16">
        <f>'Company Gas'!E18</f>
        <v>0</v>
      </c>
      <c r="I18" s="428">
        <f>ROUND((-+G18+(H18*Capital!$C$9))/Capital!$C$10,2)</f>
        <v>-551973.24</v>
      </c>
      <c r="J18" s="16">
        <f t="shared" si="0"/>
        <v>-0.35634359903633595</v>
      </c>
      <c r="K18" s="16">
        <f t="shared" si="1"/>
        <v>0</v>
      </c>
      <c r="L18" s="16">
        <f t="shared" si="2"/>
        <v>558.84999999997672</v>
      </c>
    </row>
    <row r="19" spans="2:12">
      <c r="B19" s="426">
        <v>9.08</v>
      </c>
      <c r="C19" s="2" t="s">
        <v>490</v>
      </c>
      <c r="D19" s="16">
        <f>+'Staff Gas'!D19</f>
        <v>454572</v>
      </c>
      <c r="E19" s="16">
        <f>+'Staff Gas'!E19</f>
        <v>0</v>
      </c>
      <c r="F19" s="427">
        <f>ROUND((-+D19+(E19*Capital!$D$9))/Capital!$D$11,2)</f>
        <v>-730951.24</v>
      </c>
      <c r="G19" s="16">
        <f>'Company Gas'!D19</f>
        <v>454572</v>
      </c>
      <c r="H19" s="16">
        <f>'Company Gas'!E19</f>
        <v>0</v>
      </c>
      <c r="I19" s="428">
        <f>ROUND((-+G19+(H19*Capital!$C$9))/Capital!$C$10,2)</f>
        <v>-731691.3</v>
      </c>
      <c r="J19" s="16">
        <f t="shared" si="0"/>
        <v>0</v>
      </c>
      <c r="K19" s="16">
        <f t="shared" si="1"/>
        <v>0</v>
      </c>
      <c r="L19" s="16">
        <f t="shared" si="2"/>
        <v>740.06000000005588</v>
      </c>
    </row>
    <row r="20" spans="2:12">
      <c r="B20" s="426">
        <v>9.09</v>
      </c>
      <c r="C20" s="2" t="s">
        <v>491</v>
      </c>
      <c r="D20" s="16">
        <f>+'Staff Gas'!D20</f>
        <v>1194095.5</v>
      </c>
      <c r="E20" s="16">
        <f>+'Staff Gas'!E20</f>
        <v>0</v>
      </c>
      <c r="F20" s="427">
        <f>ROUND((-+D20+(E20*Capital!$D$9))/Capital!$D$11,2)</f>
        <v>-1920104.17</v>
      </c>
      <c r="G20" s="16">
        <f>'Company Gas'!D20</f>
        <v>440899</v>
      </c>
      <c r="H20" s="16">
        <f>'Company Gas'!E20</f>
        <v>0</v>
      </c>
      <c r="I20" s="428">
        <f>ROUND((-+G20+(H20*Capital!$C$9))/Capital!$C$10,2)</f>
        <v>-709682.87</v>
      </c>
      <c r="J20" s="16">
        <f t="shared" si="0"/>
        <v>753196.5</v>
      </c>
      <c r="K20" s="16">
        <f t="shared" si="1"/>
        <v>0</v>
      </c>
      <c r="L20" s="16">
        <f t="shared" si="2"/>
        <v>-1210421.2999999998</v>
      </c>
    </row>
    <row r="21" spans="2:12">
      <c r="B21" s="426">
        <v>9.1</v>
      </c>
      <c r="C21" s="2" t="s">
        <v>492</v>
      </c>
      <c r="D21" s="16">
        <f>+'Staff Gas'!D21</f>
        <v>0</v>
      </c>
      <c r="E21" s="16">
        <f>+'Staff Gas'!E21</f>
        <v>0</v>
      </c>
      <c r="F21" s="427">
        <f>ROUND((-+D21+(E21*Capital!$D$9))/Capital!$D$11,2)</f>
        <v>0</v>
      </c>
      <c r="G21" s="16">
        <f>'Company Gas'!D21</f>
        <v>-850450</v>
      </c>
      <c r="H21" s="16">
        <f>'Company Gas'!E21</f>
        <v>0</v>
      </c>
      <c r="I21" s="428">
        <f>ROUND((-+G21+(H21*Capital!$C$9))/Capital!$C$10,2)</f>
        <v>1368907.16</v>
      </c>
      <c r="J21" s="16">
        <f t="shared" si="0"/>
        <v>850450</v>
      </c>
      <c r="K21" s="16">
        <f t="shared" si="1"/>
        <v>0</v>
      </c>
      <c r="L21" s="16">
        <f t="shared" si="2"/>
        <v>-1368907.16</v>
      </c>
    </row>
    <row r="22" spans="2:12">
      <c r="B22" s="426">
        <v>9.11</v>
      </c>
      <c r="C22" s="2" t="s">
        <v>493</v>
      </c>
      <c r="D22" s="16">
        <f>+'Staff Gas'!D22</f>
        <v>693130.12053999444</v>
      </c>
      <c r="E22" s="16">
        <f>+'Staff Gas'!E22</f>
        <v>0</v>
      </c>
      <c r="F22" s="427">
        <f>ROUND((-+D22+(E22*Capital!$D$9))/Capital!$D$11,2)</f>
        <v>-1114552.42</v>
      </c>
      <c r="G22" s="16">
        <f>'Company Gas'!D22</f>
        <v>693130</v>
      </c>
      <c r="H22" s="16">
        <f>'Company Gas'!E22</f>
        <v>0</v>
      </c>
      <c r="I22" s="428">
        <f>ROUND((-+G22+(H22*Capital!$C$9))/Capital!$C$10,2)</f>
        <v>-1115680.6599999999</v>
      </c>
      <c r="J22" s="16">
        <f t="shared" si="0"/>
        <v>0.1205399944446981</v>
      </c>
      <c r="K22" s="16">
        <f t="shared" si="1"/>
        <v>0</v>
      </c>
      <c r="L22" s="16">
        <f t="shared" si="2"/>
        <v>1128.2399999999907</v>
      </c>
    </row>
    <row r="23" spans="2:12">
      <c r="B23" s="426">
        <v>9.1199999999999992</v>
      </c>
      <c r="C23" s="2" t="s">
        <v>494</v>
      </c>
      <c r="D23" s="16">
        <f>+'Staff Gas'!D23</f>
        <v>212084.6</v>
      </c>
      <c r="E23" s="16">
        <f>+'Staff Gas'!E23</f>
        <v>0</v>
      </c>
      <c r="F23" s="427">
        <f>ROUND((-+D23+(E23*Capital!$D$9))/Capital!$D$11,2)</f>
        <v>-341031.79</v>
      </c>
      <c r="G23" s="16">
        <f>'Company Gas'!D23</f>
        <v>142454</v>
      </c>
      <c r="H23" s="16">
        <f>'Company Gas'!E23</f>
        <v>0</v>
      </c>
      <c r="I23" s="428">
        <f>ROUND((-+G23+(H23*Capital!$C$9))/Capital!$C$10,2)</f>
        <v>-229297.78</v>
      </c>
      <c r="J23" s="16">
        <f t="shared" si="0"/>
        <v>69630.600000000006</v>
      </c>
      <c r="K23" s="16">
        <f t="shared" si="1"/>
        <v>0</v>
      </c>
      <c r="L23" s="16">
        <f t="shared" si="2"/>
        <v>-111734.00999999998</v>
      </c>
    </row>
    <row r="24" spans="2:12">
      <c r="B24" s="426">
        <v>9.1300000000000008</v>
      </c>
      <c r="C24" s="2" t="s">
        <v>495</v>
      </c>
      <c r="D24" s="16">
        <f>+'Staff Gas'!D24</f>
        <v>-30273.092195121953</v>
      </c>
      <c r="E24" s="16">
        <f>+'Staff Gas'!E24</f>
        <v>-5344757.6135619525</v>
      </c>
      <c r="F24" s="427">
        <f>ROUND((-+D24+(E24*Capital!$D$9))/Capital!$D$11,2)</f>
        <v>-629416.22</v>
      </c>
      <c r="G24" s="16">
        <f>'Company Gas'!D24</f>
        <v>-30273</v>
      </c>
      <c r="H24" s="16">
        <f>'Company Gas'!E24</f>
        <v>0</v>
      </c>
      <c r="I24" s="428">
        <f>ROUND((-+G24+(H24*Capital!$C$9))/Capital!$C$10,2)</f>
        <v>48728.23</v>
      </c>
      <c r="J24" s="16">
        <f t="shared" si="0"/>
        <v>-9.2195121953409398E-2</v>
      </c>
      <c r="K24" s="16">
        <f t="shared" si="1"/>
        <v>-5344757.6135619525</v>
      </c>
      <c r="L24" s="16">
        <f t="shared" si="2"/>
        <v>-678144.45</v>
      </c>
    </row>
    <row r="25" spans="2:12">
      <c r="B25" s="426">
        <v>9.14</v>
      </c>
      <c r="C25" s="2" t="s">
        <v>496</v>
      </c>
      <c r="D25" s="16">
        <f>+'Staff Gas'!D25</f>
        <v>153958.35</v>
      </c>
      <c r="E25" s="16">
        <f>+'Staff Gas'!E25</f>
        <v>0</v>
      </c>
      <c r="F25" s="427">
        <f>ROUND((-+D25+(E25*Capital!$D$9))/Capital!$D$11,2)</f>
        <v>-247564.85</v>
      </c>
      <c r="G25" s="16">
        <f>'Company Gas'!D25</f>
        <v>153958</v>
      </c>
      <c r="H25" s="16">
        <f>'Company Gas'!E25</f>
        <v>0</v>
      </c>
      <c r="I25" s="428">
        <f>ROUND((-+G25+(H25*Capital!$C$9))/Capital!$C$10,2)</f>
        <v>-247814.93</v>
      </c>
      <c r="J25" s="16">
        <f t="shared" si="0"/>
        <v>0.35000000000582077</v>
      </c>
      <c r="K25" s="16">
        <f t="shared" si="1"/>
        <v>0</v>
      </c>
      <c r="L25" s="16">
        <f t="shared" si="2"/>
        <v>250.07999999998719</v>
      </c>
    </row>
    <row r="26" spans="2:12">
      <c r="B26" s="426">
        <v>9.15</v>
      </c>
      <c r="C26" s="2" t="s">
        <v>497</v>
      </c>
      <c r="D26" s="16">
        <f>+'Staff Gas'!D26</f>
        <v>-313412.05350000004</v>
      </c>
      <c r="E26" s="16">
        <f>+'Staff Gas'!E26</f>
        <v>0</v>
      </c>
      <c r="F26" s="427">
        <f>ROUND((-+D26+(E26*Capital!$D$9))/Capital!$D$11,2)</f>
        <v>503966.22</v>
      </c>
      <c r="G26" s="16">
        <f>'Company Gas'!D26</f>
        <v>-313412</v>
      </c>
      <c r="H26" s="16">
        <f>'Company Gas'!E26</f>
        <v>0</v>
      </c>
      <c r="I26" s="428">
        <f>ROUND((-+G26+(H26*Capital!$C$9))/Capital!$C$10,2)</f>
        <v>504476.37</v>
      </c>
      <c r="J26" s="16">
        <f t="shared" si="0"/>
        <v>-5.3500000038184226E-2</v>
      </c>
      <c r="K26" s="16">
        <f t="shared" si="1"/>
        <v>0</v>
      </c>
      <c r="L26" s="16">
        <f t="shared" si="2"/>
        <v>-510.15000000002328</v>
      </c>
    </row>
    <row r="27" spans="2:12">
      <c r="B27" s="426">
        <v>9.16</v>
      </c>
      <c r="C27" s="2" t="s">
        <v>498</v>
      </c>
      <c r="D27" s="16">
        <f>+'Staff Gas'!D27</f>
        <v>234055.13295752846</v>
      </c>
      <c r="E27" s="16">
        <f>+'Staff Gas'!E27</f>
        <v>0</v>
      </c>
      <c r="F27" s="427">
        <f>ROUND((-+D27+(E27*Capital!$D$9))/Capital!$D$11,2)</f>
        <v>-376360.38</v>
      </c>
      <c r="G27" s="16">
        <f>'Company Gas'!D27</f>
        <v>233199</v>
      </c>
      <c r="H27" s="16">
        <f>'Company Gas'!E27</f>
        <v>0</v>
      </c>
      <c r="I27" s="428">
        <f>ROUND((-+G27+(H27*Capital!$C$9))/Capital!$C$10,2)</f>
        <v>-375363.37</v>
      </c>
      <c r="J27" s="16">
        <f t="shared" si="0"/>
        <v>856.1329575284617</v>
      </c>
      <c r="K27" s="16">
        <f t="shared" si="1"/>
        <v>0</v>
      </c>
      <c r="L27" s="16">
        <f t="shared" si="2"/>
        <v>-997.01000000000931</v>
      </c>
    </row>
    <row r="28" spans="2:12">
      <c r="B28" s="426">
        <v>9.17</v>
      </c>
      <c r="C28" s="2" t="s">
        <v>499</v>
      </c>
      <c r="D28" s="16">
        <f>+'Staff Gas'!D28</f>
        <v>-1480293.4733602586</v>
      </c>
      <c r="E28" s="16">
        <f>+'Staff Gas'!E28</f>
        <v>0</v>
      </c>
      <c r="F28" s="427">
        <f>ROUND((-+D28+(E28*Capital!$D$9))/Capital!$D$11,2)</f>
        <v>2380310.17</v>
      </c>
      <c r="G28" s="16">
        <f>'Company Gas'!D28</f>
        <v>-1480293</v>
      </c>
      <c r="H28" s="16">
        <f>'Company Gas'!E28</f>
        <v>0</v>
      </c>
      <c r="I28" s="428">
        <f>ROUND((-+G28+(H28*Capital!$C$9))/Capital!$C$10,2)</f>
        <v>2382719.37</v>
      </c>
      <c r="J28" s="16">
        <f t="shared" si="0"/>
        <v>-0.47336025862023234</v>
      </c>
      <c r="K28" s="16">
        <f t="shared" si="1"/>
        <v>0</v>
      </c>
      <c r="L28" s="16">
        <f t="shared" si="2"/>
        <v>-2409.2000000001863</v>
      </c>
    </row>
    <row r="29" spans="2:12">
      <c r="B29" s="426">
        <v>9.18</v>
      </c>
      <c r="C29" s="2" t="s">
        <v>500</v>
      </c>
      <c r="D29" s="16">
        <f>+'Staff Gas'!D29</f>
        <v>-1172783.3398225149</v>
      </c>
      <c r="E29" s="16">
        <f>+'Staff Gas'!E29</f>
        <v>0</v>
      </c>
      <c r="F29" s="427">
        <f>ROUND((-+D29+(E29*Capital!$D$9))/Capital!$D$11,2)</f>
        <v>1885834.24</v>
      </c>
      <c r="G29" s="16">
        <f>'Company Gas'!D29</f>
        <v>-1898225</v>
      </c>
      <c r="H29" s="16">
        <f>'Company Gas'!E29</f>
        <v>0</v>
      </c>
      <c r="I29" s="428">
        <f>ROUND((-+G29+(H29*Capital!$C$9))/Capital!$C$10,2)</f>
        <v>3055433.94</v>
      </c>
      <c r="J29" s="16">
        <f t="shared" si="0"/>
        <v>725441.66017748509</v>
      </c>
      <c r="K29" s="16">
        <f t="shared" si="1"/>
        <v>0</v>
      </c>
      <c r="L29" s="16">
        <f t="shared" si="2"/>
        <v>-1169599.7</v>
      </c>
    </row>
    <row r="30" spans="2:12">
      <c r="B30" s="426">
        <v>9.19</v>
      </c>
      <c r="C30" s="2" t="s">
        <v>501</v>
      </c>
      <c r="D30" s="16">
        <f>+'Staff Gas'!D30</f>
        <v>-54210.845445896033</v>
      </c>
      <c r="E30" s="16">
        <f>+'Staff Gas'!E30</f>
        <v>0</v>
      </c>
      <c r="F30" s="427">
        <f>ROUND((-+D30+(E30*Capital!$D$9))/Capital!$D$11,2)</f>
        <v>87170.98</v>
      </c>
      <c r="G30" s="16">
        <f>'Company Gas'!D30</f>
        <v>-100005</v>
      </c>
      <c r="H30" s="16">
        <f>'Company Gas'!E30</f>
        <v>0</v>
      </c>
      <c r="I30" s="428">
        <f>ROUND((-+G30+(H30*Capital!$C$9))/Capital!$C$10,2)</f>
        <v>160970.73000000001</v>
      </c>
      <c r="J30" s="16">
        <f t="shared" si="0"/>
        <v>45794.154554103967</v>
      </c>
      <c r="K30" s="16">
        <f t="shared" si="1"/>
        <v>0</v>
      </c>
      <c r="L30" s="16">
        <f t="shared" si="2"/>
        <v>-73799.750000000015</v>
      </c>
    </row>
    <row r="31" spans="2:12">
      <c r="B31" s="426">
        <v>9.1999999999999993</v>
      </c>
      <c r="C31" s="2" t="s">
        <v>502</v>
      </c>
      <c r="D31" s="16">
        <f>+'Staff Gas'!D31</f>
        <v>-418147</v>
      </c>
      <c r="E31" s="16">
        <f>+'Staff Gas'!E31</f>
        <v>0</v>
      </c>
      <c r="F31" s="427">
        <f>ROUND((-+D31+(E31*Capital!$D$9))/Capital!$D$11,2)</f>
        <v>672379.89</v>
      </c>
      <c r="G31" s="16">
        <f>'Company Gas'!D31</f>
        <v>-544180</v>
      </c>
      <c r="H31" s="16">
        <f>'Company Gas'!E31</f>
        <v>0</v>
      </c>
      <c r="I31" s="428">
        <f>ROUND((-+G31+(H31*Capital!$C$9))/Capital!$C$10,2)</f>
        <v>875926.74</v>
      </c>
      <c r="J31" s="16">
        <f t="shared" si="0"/>
        <v>126033</v>
      </c>
      <c r="K31" s="16">
        <f t="shared" si="1"/>
        <v>0</v>
      </c>
      <c r="L31" s="16">
        <f t="shared" si="2"/>
        <v>-203546.84999999998</v>
      </c>
    </row>
    <row r="32" spans="2:12">
      <c r="B32" s="426">
        <v>9.2100000000000009</v>
      </c>
      <c r="C32" s="2" t="s">
        <v>503</v>
      </c>
      <c r="D32" s="16">
        <f>+'Staff Gas'!D32</f>
        <v>615785</v>
      </c>
      <c r="E32" s="16">
        <f>+'Staff Gas'!E32</f>
        <v>0</v>
      </c>
      <c r="F32" s="427">
        <f>ROUND((-+D32+(E32*Capital!$D$9))/Capital!$D$11,2)</f>
        <v>-990181.56</v>
      </c>
      <c r="G32" s="16">
        <f>'Company Gas'!D32</f>
        <v>615785</v>
      </c>
      <c r="H32" s="16">
        <f>'Company Gas'!E32</f>
        <v>0</v>
      </c>
      <c r="I32" s="428">
        <f>ROUND((-+G32+(H32*Capital!$C$9))/Capital!$C$10,2)</f>
        <v>-991184.07</v>
      </c>
      <c r="J32" s="16">
        <f t="shared" si="0"/>
        <v>0</v>
      </c>
      <c r="K32" s="16">
        <f t="shared" si="1"/>
        <v>0</v>
      </c>
      <c r="L32" s="16">
        <f t="shared" si="2"/>
        <v>1002.5099999998929</v>
      </c>
    </row>
    <row r="33" spans="2:12">
      <c r="B33" s="426">
        <v>9.2200000000000006</v>
      </c>
      <c r="C33" s="2" t="s">
        <v>504</v>
      </c>
      <c r="D33" s="16">
        <f>+'Staff Gas'!D33</f>
        <v>311112.09999999998</v>
      </c>
      <c r="E33" s="16">
        <f>+'Staff Gas'!E33</f>
        <v>0</v>
      </c>
      <c r="F33" s="427">
        <f>ROUND((-+D33+(E33*Capital!$D$9))/Capital!$D$11,2)</f>
        <v>-500267.89</v>
      </c>
      <c r="G33" s="16">
        <f>'Company Gas'!D33</f>
        <v>311112</v>
      </c>
      <c r="H33" s="16">
        <f>'Company Gas'!E33</f>
        <v>0</v>
      </c>
      <c r="I33" s="428">
        <f>ROUND((-+G33+(H33*Capital!$C$9))/Capital!$C$10,2)</f>
        <v>-500774.23</v>
      </c>
      <c r="J33" s="16">
        <f t="shared" si="0"/>
        <v>9.9999999976716936E-2</v>
      </c>
      <c r="K33" s="16">
        <f t="shared" si="1"/>
        <v>0</v>
      </c>
      <c r="L33" s="16">
        <f t="shared" si="2"/>
        <v>506.3399999999674</v>
      </c>
    </row>
    <row r="34" spans="2:12">
      <c r="B34" s="426">
        <v>9.23</v>
      </c>
      <c r="C34" s="2" t="s">
        <v>505</v>
      </c>
      <c r="D34" s="16">
        <f>+'Staff Gas'!D34</f>
        <v>696544.89928200771</v>
      </c>
      <c r="E34" s="16">
        <f>+'Staff Gas'!E34</f>
        <v>4077858.4263344631</v>
      </c>
      <c r="F34" s="427">
        <f>ROUND((-+D34+(E34*Capital!$D$9))/Capital!$D$11,2)</f>
        <v>-602680.97</v>
      </c>
      <c r="G34" s="16">
        <f>'Company Gas'!D34</f>
        <v>696545</v>
      </c>
      <c r="H34" s="16">
        <f>'Company Gas'!E34</f>
        <v>4077858</v>
      </c>
      <c r="I34" s="428">
        <f>ROUND((-+G34+(H34*Capital!$C$9))/Capital!$C$10,2)</f>
        <v>-563252.01</v>
      </c>
      <c r="J34" s="16">
        <f t="shared" si="0"/>
        <v>-0.10071799228899181</v>
      </c>
      <c r="K34" s="16">
        <f t="shared" si="1"/>
        <v>0.42633446305990219</v>
      </c>
      <c r="L34" s="16">
        <f t="shared" si="2"/>
        <v>-39428.959999999963</v>
      </c>
    </row>
    <row r="35" spans="2:12">
      <c r="B35" s="426"/>
      <c r="C35" s="423" t="s">
        <v>506</v>
      </c>
      <c r="D35" s="30">
        <f>SUM(D12:D34)</f>
        <v>-111601.16871252179</v>
      </c>
      <c r="E35" s="30">
        <f>SUM(E12:E34)</f>
        <v>-6819644.4667548127</v>
      </c>
      <c r="F35" s="424">
        <f>ROUND((-+D35+(E35*Capital!$D$9))/Capital!$D$11,2)</f>
        <v>-685761.3</v>
      </c>
      <c r="G35" s="425">
        <f>SUM(G12:G34)</f>
        <v>-4053096</v>
      </c>
      <c r="H35" s="425">
        <f>SUM(H12:H34)</f>
        <v>52716</v>
      </c>
      <c r="I35" s="424">
        <f>ROUND((-+G35+(H35*Capital!$C$9))/Capital!$C$11,2)</f>
        <v>6524578.8399999999</v>
      </c>
      <c r="J35" s="30">
        <f>SUM(J12:J34)</f>
        <v>3941494.8312874781</v>
      </c>
      <c r="K35" s="30">
        <f>SUM(K12:K34)</f>
        <v>-6872360.4667548127</v>
      </c>
      <c r="L35" s="30">
        <f>SUM(L12:L34)</f>
        <v>-7202649.7399999984</v>
      </c>
    </row>
    <row r="36" spans="2:12">
      <c r="B36" s="426"/>
      <c r="C36" s="423" t="s">
        <v>507</v>
      </c>
      <c r="D36" s="30">
        <f>+D35+D11</f>
        <v>111238599.51600036</v>
      </c>
      <c r="E36" s="30">
        <f>+E35+E11</f>
        <v>1467691655.5332451</v>
      </c>
      <c r="F36" s="429">
        <f>ROUND((-+D36+(E36*Capital!$D$9))/Capital!$D$11,2)</f>
        <v>7336128.21</v>
      </c>
      <c r="G36" s="425">
        <f>+G35+G11</f>
        <v>107297105</v>
      </c>
      <c r="H36" s="425">
        <f>+H35+H11</f>
        <v>1474390203</v>
      </c>
      <c r="I36" s="429">
        <f>ROUND((-+G36+(H36*Capital!$C$9))/Capital!$C$11,2)</f>
        <v>28985887</v>
      </c>
      <c r="J36" s="30">
        <f>+J35+J11</f>
        <v>3941494.5160003649</v>
      </c>
      <c r="K36" s="30">
        <f>+K35+K11</f>
        <v>-6698547.4667548127</v>
      </c>
      <c r="L36" s="30">
        <f>+L35+L11</f>
        <v>-21642068.399999999</v>
      </c>
    </row>
    <row r="37" spans="2:12">
      <c r="G37" s="16"/>
      <c r="H37" s="16"/>
      <c r="I37" s="16"/>
    </row>
    <row r="38" spans="2:12">
      <c r="G38" s="16"/>
      <c r="H38" s="16"/>
      <c r="I38" s="16"/>
    </row>
    <row r="39" spans="2:12">
      <c r="G39" s="16"/>
      <c r="H39" s="16"/>
      <c r="I39" s="16"/>
    </row>
    <row r="40" spans="2:12">
      <c r="G40" s="16"/>
      <c r="H40" s="16"/>
      <c r="I40" s="16"/>
    </row>
    <row r="41" spans="2:12">
      <c r="G41" s="16"/>
      <c r="H41" s="16"/>
      <c r="I41" s="16"/>
    </row>
  </sheetData>
  <mergeCells count="3">
    <mergeCell ref="G7:I7"/>
    <mergeCell ref="D7:F7"/>
    <mergeCell ref="J7:L7"/>
  </mergeCells>
  <pageMargins left="0.2" right="0.45" top="1" bottom="0.75" header="0.55000000000000004" footer="0.3"/>
  <pageSetup scale="67" orientation="landscape" r:id="rId1"/>
  <headerFooter>
    <oddHeader>&amp;R&amp;"Times New Roman,Regular"EXHIBIT KHB-3
Page 3.32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22" zoomScale="120" zoomScaleNormal="120" workbookViewId="0">
      <selection activeCell="B42" sqref="B42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16384" width="9.140625" style="2"/>
  </cols>
  <sheetData>
    <row r="1" spans="1:7">
      <c r="A1" s="2" t="s">
        <v>466</v>
      </c>
    </row>
    <row r="2" spans="1:7">
      <c r="A2" s="2" t="s">
        <v>467</v>
      </c>
      <c r="F2" s="379"/>
    </row>
    <row r="3" spans="1:7">
      <c r="A3" s="2" t="s">
        <v>468</v>
      </c>
      <c r="F3" s="379"/>
    </row>
    <row r="4" spans="1:7">
      <c r="A4" s="2" t="s">
        <v>469</v>
      </c>
    </row>
    <row r="5" spans="1:7">
      <c r="A5" s="2" t="s">
        <v>470</v>
      </c>
    </row>
    <row r="7" spans="1:7">
      <c r="B7" s="11"/>
      <c r="C7" s="11"/>
      <c r="D7" s="11" t="s">
        <v>471</v>
      </c>
      <c r="E7" s="11"/>
      <c r="F7" s="33" t="s">
        <v>472</v>
      </c>
      <c r="G7" s="11" t="s">
        <v>472</v>
      </c>
    </row>
    <row r="8" spans="1:7">
      <c r="B8" s="12" t="s">
        <v>473</v>
      </c>
      <c r="C8" s="12" t="s">
        <v>30</v>
      </c>
      <c r="D8" s="12" t="s">
        <v>474</v>
      </c>
      <c r="E8" s="12" t="s">
        <v>475</v>
      </c>
      <c r="F8" s="430" t="s">
        <v>476</v>
      </c>
      <c r="G8" s="431" t="s">
        <v>477</v>
      </c>
    </row>
    <row r="9" spans="1:7">
      <c r="B9" s="17" t="s">
        <v>478</v>
      </c>
      <c r="C9" s="17" t="s">
        <v>479</v>
      </c>
      <c r="D9" s="17" t="s">
        <v>480</v>
      </c>
      <c r="E9" s="17" t="s">
        <v>481</v>
      </c>
      <c r="F9" s="422" t="s">
        <v>47</v>
      </c>
      <c r="G9" s="17" t="s">
        <v>61</v>
      </c>
    </row>
    <row r="11" spans="1:7">
      <c r="C11" s="423" t="s">
        <v>482</v>
      </c>
      <c r="D11" s="425">
        <v>111350201</v>
      </c>
      <c r="E11" s="425">
        <v>1474337487</v>
      </c>
      <c r="F11" s="432">
        <f>ROUND((-+D11+(E11*Capital!$C$9))/Capital!$C$11,2)</f>
        <v>22461308.16</v>
      </c>
      <c r="G11" s="432">
        <f>ROUND((-+D11+(E11*Capital!$D$9))/Capital!$D$11,2)</f>
        <v>7999837.1500000004</v>
      </c>
    </row>
    <row r="12" spans="1:7">
      <c r="B12" s="426">
        <v>9.01</v>
      </c>
      <c r="C12" s="2" t="s">
        <v>483</v>
      </c>
      <c r="D12" s="16">
        <v>-8781321</v>
      </c>
      <c r="E12" s="16">
        <v>0</v>
      </c>
      <c r="F12" s="428">
        <f>ROUND((-+D12+(E12*Capital!$C$9))/Capital!$C$11,2)</f>
        <v>14120353.890000001</v>
      </c>
      <c r="G12" s="428">
        <f>ROUND((-+D12+(E12*Capital!$D$9))/Capital!$D$11,2)</f>
        <v>14120353.890000001</v>
      </c>
    </row>
    <row r="13" spans="1:7">
      <c r="B13" s="426">
        <v>9.02</v>
      </c>
      <c r="C13" s="2" t="s">
        <v>484</v>
      </c>
      <c r="D13" s="16">
        <v>20539623</v>
      </c>
      <c r="E13" s="16">
        <v>0</v>
      </c>
      <c r="F13" s="428">
        <f>ROUND((-+D13+(E13*Capital!$C$9))/Capital!$C$11,2)</f>
        <v>-33027689.739999998</v>
      </c>
      <c r="G13" s="428">
        <f>ROUND((-+D13+(E13*Capital!$D$9))/Capital!$D$11,2)</f>
        <v>-33027689.739999998</v>
      </c>
    </row>
    <row r="14" spans="1:7">
      <c r="B14" s="426">
        <v>9.0299999999999994</v>
      </c>
      <c r="C14" s="2" t="s">
        <v>485</v>
      </c>
      <c r="D14" s="16">
        <v>-1018402</v>
      </c>
      <c r="E14" s="16">
        <v>-915968</v>
      </c>
      <c r="F14" s="428">
        <f>ROUND((-+D14+(E14*Capital!$C$9))/Capital!$C$11,2)</f>
        <v>1512394.81</v>
      </c>
      <c r="G14" s="428">
        <f>ROUND((-+D14+(E14*Capital!$D$9))/Capital!$D$11,2)</f>
        <v>1521379.35</v>
      </c>
    </row>
    <row r="15" spans="1:7">
      <c r="B15" s="426">
        <v>9.0399999999999991</v>
      </c>
      <c r="C15" s="2" t="s">
        <v>486</v>
      </c>
      <c r="D15" s="16">
        <v>915758</v>
      </c>
      <c r="E15" s="16">
        <v>0</v>
      </c>
      <c r="F15" s="428">
        <f>ROUND((-+D15+(E15*Capital!$C$9))/Capital!$C$11,2)</f>
        <v>-1472537.79</v>
      </c>
      <c r="G15" s="428">
        <f>ROUND((-+D15+(E15*Capital!$D$9))/Capital!$D$11,2)</f>
        <v>-1472537.79</v>
      </c>
    </row>
    <row r="16" spans="1:7">
      <c r="B16" s="426">
        <v>9.0500000000000007</v>
      </c>
      <c r="C16" s="2" t="s">
        <v>487</v>
      </c>
      <c r="D16" s="16">
        <v>-8358141</v>
      </c>
      <c r="E16" s="16">
        <v>0</v>
      </c>
      <c r="F16" s="428">
        <f>ROUND((-+D16+(E16*Capital!$C$9))/Capital!$C$11,2)</f>
        <v>13439880.939999999</v>
      </c>
      <c r="G16" s="428">
        <f>ROUND((-+D16+(E16*Capital!$D$9))/Capital!$D$11,2)</f>
        <v>13439880.939999999</v>
      </c>
    </row>
    <row r="17" spans="2:7">
      <c r="B17" s="426">
        <v>9.06</v>
      </c>
      <c r="C17" s="2" t="s">
        <v>488</v>
      </c>
      <c r="D17" s="16">
        <v>-6218349</v>
      </c>
      <c r="E17" s="16">
        <v>-3109174</v>
      </c>
      <c r="F17" s="428">
        <f>ROUND((-+D17+(E17*Capital!$C$9))/Capital!$C$11,2)</f>
        <v>9574136.3200000003</v>
      </c>
      <c r="G17" s="428">
        <f>ROUND((-+D17+(E17*Capital!$D$9))/Capital!$D$11,2)</f>
        <v>9604633.5600000005</v>
      </c>
    </row>
    <row r="18" spans="2:7">
      <c r="B18" s="426">
        <v>9.07</v>
      </c>
      <c r="C18" s="2" t="s">
        <v>489</v>
      </c>
      <c r="D18" s="16">
        <v>342920</v>
      </c>
      <c r="E18" s="16"/>
      <c r="F18" s="428">
        <f>ROUND((-+D18+(E18*Capital!$C$9))/Capital!$C$11,2)</f>
        <v>-551414.96</v>
      </c>
      <c r="G18" s="428">
        <f>ROUND((-+D18+(E18*Capital!$D$9))/Capital!$D$11,2)</f>
        <v>-551414.96</v>
      </c>
    </row>
    <row r="19" spans="2:7">
      <c r="B19" s="426">
        <v>9.08</v>
      </c>
      <c r="C19" s="2" t="s">
        <v>490</v>
      </c>
      <c r="D19" s="16">
        <v>454572</v>
      </c>
      <c r="E19" s="16"/>
      <c r="F19" s="428">
        <f>ROUND((-+D19+(E19*Capital!$C$9))/Capital!$C$11,2)</f>
        <v>-730951.24</v>
      </c>
      <c r="G19" s="428">
        <f>ROUND((-+D19+(E19*Capital!$D$9))/Capital!$D$11,2)</f>
        <v>-730951.24</v>
      </c>
    </row>
    <row r="20" spans="2:7">
      <c r="B20" s="426">
        <v>9.09</v>
      </c>
      <c r="C20" s="2" t="s">
        <v>491</v>
      </c>
      <c r="D20" s="16">
        <v>440899</v>
      </c>
      <c r="E20" s="16"/>
      <c r="F20" s="428">
        <f>ROUND((-+D20+(E20*Capital!$C$9))/Capital!$C$11,2)</f>
        <v>-708965.08</v>
      </c>
      <c r="G20" s="428">
        <f>ROUND((-+D20+(E20*Capital!$D$9))/Capital!$D$11,2)</f>
        <v>-708965.08</v>
      </c>
    </row>
    <row r="21" spans="2:7">
      <c r="B21" s="426">
        <v>9.1</v>
      </c>
      <c r="C21" s="2" t="s">
        <v>492</v>
      </c>
      <c r="D21" s="16">
        <v>-850450</v>
      </c>
      <c r="E21" s="16"/>
      <c r="F21" s="428">
        <f>ROUND((-+D21+(E21*Capital!$C$9))/Capital!$C$11,2)</f>
        <v>1367522.6</v>
      </c>
      <c r="G21" s="428">
        <f>ROUND((-+D21+(E21*Capital!$D$9))/Capital!$D$11,2)</f>
        <v>1367522.6</v>
      </c>
    </row>
    <row r="22" spans="2:7">
      <c r="B22" s="426">
        <v>9.11</v>
      </c>
      <c r="C22" s="2" t="s">
        <v>493</v>
      </c>
      <c r="D22" s="16">
        <v>693130</v>
      </c>
      <c r="E22" s="16"/>
      <c r="F22" s="428">
        <f>ROUND((-+D22+(E22*Capital!$C$9))/Capital!$C$11,2)</f>
        <v>-1114552.23</v>
      </c>
      <c r="G22" s="428">
        <f>ROUND((-+D22+(E22*Capital!$D$9))/Capital!$D$11,2)</f>
        <v>-1114552.23</v>
      </c>
    </row>
    <row r="23" spans="2:7">
      <c r="B23" s="426">
        <v>9.1199999999999992</v>
      </c>
      <c r="C23" s="2" t="s">
        <v>494</v>
      </c>
      <c r="D23" s="16">
        <v>142454</v>
      </c>
      <c r="E23" s="16"/>
      <c r="F23" s="428">
        <f>ROUND((-+D23+(E23*Capital!$C$9))/Capital!$C$11,2)</f>
        <v>-229065.87</v>
      </c>
      <c r="G23" s="428">
        <f>ROUND((-+D23+(E23*Capital!$D$9))/Capital!$D$11,2)</f>
        <v>-229065.87</v>
      </c>
    </row>
    <row r="24" spans="2:7">
      <c r="B24" s="426">
        <v>9.1300000000000008</v>
      </c>
      <c r="C24" s="2" t="s">
        <v>495</v>
      </c>
      <c r="D24" s="16">
        <v>-30273</v>
      </c>
      <c r="E24" s="16">
        <v>0</v>
      </c>
      <c r="F24" s="428">
        <f>ROUND((-+D24+(E24*Capital!$C$9))/Capital!$C$11,2)</f>
        <v>48678.95</v>
      </c>
      <c r="G24" s="428">
        <f>ROUND((-+D24+(E24*Capital!$D$9))/Capital!$D$11,2)</f>
        <v>48678.95</v>
      </c>
    </row>
    <row r="25" spans="2:7">
      <c r="B25" s="426">
        <v>9.14</v>
      </c>
      <c r="C25" s="2" t="s">
        <v>496</v>
      </c>
      <c r="D25" s="16">
        <v>153958</v>
      </c>
      <c r="E25" s="16">
        <v>0</v>
      </c>
      <c r="F25" s="428">
        <f>ROUND((-+D25+(E25*Capital!$C$9))/Capital!$C$11,2)</f>
        <v>-247564.28</v>
      </c>
      <c r="G25" s="428">
        <f>ROUND((-+D25+(E25*Capital!$D$9))/Capital!$D$11,2)</f>
        <v>-247564.28</v>
      </c>
    </row>
    <row r="26" spans="2:7">
      <c r="B26" s="426">
        <v>9.15</v>
      </c>
      <c r="C26" s="2" t="s">
        <v>497</v>
      </c>
      <c r="D26" s="16">
        <v>-313412</v>
      </c>
      <c r="E26" s="16">
        <v>0</v>
      </c>
      <c r="F26" s="428">
        <f>ROUND((-+D26+(E26*Capital!$C$9))/Capital!$C$11,2)</f>
        <v>503966.13</v>
      </c>
      <c r="G26" s="428">
        <f>ROUND((-+D26+(E26*Capital!$D$9))/Capital!$D$11,2)</f>
        <v>503966.13</v>
      </c>
    </row>
    <row r="27" spans="2:7">
      <c r="B27" s="426">
        <v>9.16</v>
      </c>
      <c r="C27" s="2" t="s">
        <v>498</v>
      </c>
      <c r="D27" s="16">
        <v>233199</v>
      </c>
      <c r="E27" s="16">
        <v>0</v>
      </c>
      <c r="F27" s="428">
        <f>ROUND((-+D27+(E27*Capital!$C$9))/Capital!$C$11,2)</f>
        <v>-374983.72</v>
      </c>
      <c r="G27" s="428">
        <f>ROUND((-+D27+(E27*Capital!$D$9))/Capital!$D$11,2)</f>
        <v>-374983.72</v>
      </c>
    </row>
    <row r="28" spans="2:7">
      <c r="B28" s="426">
        <v>9.17</v>
      </c>
      <c r="C28" s="2" t="s">
        <v>499</v>
      </c>
      <c r="D28" s="16">
        <v>-1480293</v>
      </c>
      <c r="E28" s="16">
        <v>0</v>
      </c>
      <c r="F28" s="428">
        <f>ROUND((-+D28+(E28*Capital!$C$9))/Capital!$C$11,2)</f>
        <v>2380309.41</v>
      </c>
      <c r="G28" s="428">
        <f>ROUND((-+D28+(E28*Capital!$D$9))/Capital!$D$11,2)</f>
        <v>2380309.41</v>
      </c>
    </row>
    <row r="29" spans="2:7">
      <c r="B29" s="426">
        <v>9.18</v>
      </c>
      <c r="C29" s="2" t="s">
        <v>500</v>
      </c>
      <c r="D29" s="16">
        <v>-1898225</v>
      </c>
      <c r="E29" s="16">
        <v>0</v>
      </c>
      <c r="F29" s="428">
        <f>ROUND((-+D29+(E29*Capital!$C$9))/Capital!$C$11,2)</f>
        <v>3052343.58</v>
      </c>
      <c r="G29" s="428">
        <f>ROUND((-+D29+(E29*Capital!$D$9))/Capital!$D$11,2)</f>
        <v>3052343.58</v>
      </c>
    </row>
    <row r="30" spans="2:7">
      <c r="B30" s="426">
        <v>9.19</v>
      </c>
      <c r="C30" s="2" t="s">
        <v>501</v>
      </c>
      <c r="D30" s="16">
        <v>-100005</v>
      </c>
      <c r="E30" s="16">
        <v>0</v>
      </c>
      <c r="F30" s="428">
        <f>ROUND((-+D30+(E30*Capital!$C$9))/Capital!$C$11,2)</f>
        <v>160807.92000000001</v>
      </c>
      <c r="G30" s="428">
        <f>ROUND((-+D30+(E30*Capital!$D$9))/Capital!$D$11,2)</f>
        <v>160807.92000000001</v>
      </c>
    </row>
    <row r="31" spans="2:7">
      <c r="B31" s="426">
        <v>9.1999999999999993</v>
      </c>
      <c r="C31" s="2" t="s">
        <v>502</v>
      </c>
      <c r="D31" s="16">
        <v>-544180</v>
      </c>
      <c r="E31" s="16">
        <v>0</v>
      </c>
      <c r="F31" s="428">
        <f>ROUND((-+D31+(E31*Capital!$C$9))/Capital!$C$11,2)</f>
        <v>875040.8</v>
      </c>
      <c r="G31" s="428">
        <f>ROUND((-+D31+(E31*Capital!$D$9))/Capital!$D$11,2)</f>
        <v>875040.8</v>
      </c>
    </row>
    <row r="32" spans="2:7">
      <c r="B32" s="426">
        <v>9.2100000000000009</v>
      </c>
      <c r="C32" s="2" t="s">
        <v>503</v>
      </c>
      <c r="D32" s="16">
        <v>615785</v>
      </c>
      <c r="E32" s="16">
        <v>0</v>
      </c>
      <c r="F32" s="428">
        <f>ROUND((-+D32+(E32*Capital!$C$9))/Capital!$C$11,2)</f>
        <v>-990181.56</v>
      </c>
      <c r="G32" s="428">
        <f>ROUND((-+D32+(E32*Capital!$D$9))/Capital!$D$11,2)</f>
        <v>-990181.56</v>
      </c>
    </row>
    <row r="33" spans="2:7">
      <c r="B33" s="426">
        <v>9.2200000000000006</v>
      </c>
      <c r="C33" s="2" t="s">
        <v>504</v>
      </c>
      <c r="D33" s="16">
        <v>311112</v>
      </c>
      <c r="E33" s="16">
        <v>0</v>
      </c>
      <c r="F33" s="428">
        <f>ROUND((-+D33+(E33*Capital!$C$9))/Capital!$C$11,2)</f>
        <v>-500267.73</v>
      </c>
      <c r="G33" s="428">
        <f>ROUND((-+D33+(E33*Capital!$D$9))/Capital!$D$11,2)</f>
        <v>-500267.73</v>
      </c>
    </row>
    <row r="34" spans="2:7">
      <c r="B34" s="426">
        <v>9.23</v>
      </c>
      <c r="C34" s="2" t="s">
        <v>505</v>
      </c>
      <c r="D34" s="16">
        <v>696545</v>
      </c>
      <c r="E34" s="16">
        <v>4077858</v>
      </c>
      <c r="F34" s="428">
        <f>ROUND((-+D34+(E34*Capital!$C$9))/Capital!$C$11,2)</f>
        <v>-562682.31999999995</v>
      </c>
      <c r="G34" s="428">
        <f>ROUND((-+D34+(E34*Capital!$D$9))/Capital!$D$11,2)</f>
        <v>-602681.18000000005</v>
      </c>
    </row>
    <row r="35" spans="2:7">
      <c r="B35" s="426"/>
      <c r="C35" s="423" t="s">
        <v>506</v>
      </c>
      <c r="D35" s="425">
        <f>SUM(D12:D34)</f>
        <v>-4053096</v>
      </c>
      <c r="E35" s="425">
        <f>SUM(E12:E34)</f>
        <v>52716</v>
      </c>
      <c r="F35" s="425">
        <f>SUM(F12:F34)</f>
        <v>6524578.8300000001</v>
      </c>
      <c r="G35" s="425">
        <f>SUM(G12:G34)</f>
        <v>6524061.7500000037</v>
      </c>
    </row>
    <row r="36" spans="2:7">
      <c r="B36" s="426"/>
      <c r="C36" s="423" t="s">
        <v>507</v>
      </c>
      <c r="D36" s="425">
        <f>+D35+D11</f>
        <v>107297105</v>
      </c>
      <c r="E36" s="425">
        <f>+E35+E11</f>
        <v>1474390203</v>
      </c>
      <c r="F36" s="433">
        <f>ROUND((-+D36+(E36*Capital!$C$9))/Capital!$C$11,2)</f>
        <v>28985887</v>
      </c>
      <c r="G36" s="425">
        <f>ROUND((-+D36+(E36*Capital!$D$9))/Capital!$D$11,2)</f>
        <v>14523898.91</v>
      </c>
    </row>
    <row r="37" spans="2:7">
      <c r="D37" s="16"/>
      <c r="E37" s="16"/>
      <c r="F37" s="16"/>
    </row>
    <row r="38" spans="2:7">
      <c r="C38" s="2" t="s">
        <v>536</v>
      </c>
      <c r="D38" s="16"/>
      <c r="E38" s="16"/>
      <c r="F38" s="16"/>
    </row>
    <row r="39" spans="2:7">
      <c r="D39" s="16"/>
      <c r="E39" s="16"/>
      <c r="F39" s="16"/>
    </row>
    <row r="40" spans="2:7">
      <c r="D40" s="16"/>
      <c r="E40" s="16"/>
      <c r="F40" s="16"/>
    </row>
    <row r="41" spans="2:7">
      <c r="D41" s="16"/>
      <c r="E41" s="16"/>
      <c r="F41" s="16"/>
    </row>
  </sheetData>
  <pageMargins left="0.2" right="0.2" top="0.75" bottom="0.5" header="0.3" footer="0.3"/>
  <pageSetup scale="90" orientation="landscape" r:id="rId1"/>
  <headerFooter>
    <oddFooter>&amp;L&amp;F &amp;A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1"/>
  <sheetViews>
    <sheetView tabSelected="1" topLeftCell="A4" workbookViewId="0">
      <selection activeCell="C18" sqref="C18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7" style="2" customWidth="1"/>
    <col min="5" max="5" width="19.85546875" style="2" customWidth="1"/>
    <col min="6" max="6" width="16.28515625" style="2" customWidth="1"/>
    <col min="7" max="7" width="16.42578125" style="2" customWidth="1"/>
    <col min="8" max="8" width="15" style="2" customWidth="1"/>
    <col min="9" max="16384" width="9.140625" style="2"/>
  </cols>
  <sheetData>
    <row r="1" spans="1:8">
      <c r="A1" s="2" t="s">
        <v>466</v>
      </c>
    </row>
    <row r="2" spans="1:8">
      <c r="A2" s="2" t="s">
        <v>508</v>
      </c>
      <c r="F2" s="379"/>
    </row>
    <row r="3" spans="1:8">
      <c r="A3" s="2" t="s">
        <v>468</v>
      </c>
      <c r="F3" s="379"/>
    </row>
    <row r="4" spans="1:8">
      <c r="A4" s="2" t="s">
        <v>509</v>
      </c>
    </row>
    <row r="5" spans="1:8">
      <c r="A5" s="2" t="s">
        <v>470</v>
      </c>
    </row>
    <row r="7" spans="1:8">
      <c r="B7" s="11"/>
      <c r="C7" s="11"/>
      <c r="D7" s="11" t="s">
        <v>471</v>
      </c>
      <c r="E7" s="11"/>
      <c r="F7" s="33" t="s">
        <v>472</v>
      </c>
      <c r="G7" s="11" t="s">
        <v>472</v>
      </c>
      <c r="H7" s="11" t="s">
        <v>510</v>
      </c>
    </row>
    <row r="8" spans="1:8">
      <c r="B8" s="12" t="s">
        <v>473</v>
      </c>
      <c r="C8" s="12" t="s">
        <v>30</v>
      </c>
      <c r="D8" s="12" t="s">
        <v>474</v>
      </c>
      <c r="E8" s="12" t="s">
        <v>475</v>
      </c>
      <c r="F8" s="430" t="s">
        <v>511</v>
      </c>
      <c r="G8" s="431" t="s">
        <v>477</v>
      </c>
      <c r="H8" s="12" t="s">
        <v>512</v>
      </c>
    </row>
    <row r="9" spans="1:8">
      <c r="B9" s="17" t="s">
        <v>478</v>
      </c>
      <c r="C9" s="17" t="s">
        <v>479</v>
      </c>
      <c r="D9" s="17" t="s">
        <v>480</v>
      </c>
      <c r="E9" s="17" t="s">
        <v>481</v>
      </c>
      <c r="F9" s="422" t="s">
        <v>47</v>
      </c>
      <c r="G9" s="17" t="s">
        <v>61</v>
      </c>
      <c r="H9" s="17" t="s">
        <v>43</v>
      </c>
    </row>
    <row r="11" spans="1:8">
      <c r="C11" s="423" t="s">
        <v>482</v>
      </c>
      <c r="D11" s="425">
        <f>+'EXH KBH-3 P3.1'!C39</f>
        <v>111350200.68471289</v>
      </c>
      <c r="E11" s="425">
        <f>+'EXH KBH-3 P3.1'!C48</f>
        <v>1474511300</v>
      </c>
      <c r="F11" s="432">
        <f>ROUND((-+D11+(E11*Capital!$C$9))/Capital!$C$11,2)</f>
        <v>22485065.41</v>
      </c>
      <c r="G11" s="432">
        <f>ROUND((-+D11+(E11*Capital!$D$9))/Capital!$D$11,2)</f>
        <v>8021889.5</v>
      </c>
      <c r="H11" s="434">
        <f t="shared" ref="H11:H34" si="0">+G11-F11</f>
        <v>-14463175.91</v>
      </c>
    </row>
    <row r="12" spans="1:8">
      <c r="B12" s="426">
        <v>9.01</v>
      </c>
      <c r="C12" s="2" t="s">
        <v>483</v>
      </c>
      <c r="D12" s="16">
        <f>+'EXH KBH-3 P3.2'!$D$38</f>
        <v>-8781320.8861283362</v>
      </c>
      <c r="E12" s="16">
        <v>0</v>
      </c>
      <c r="F12" s="428">
        <f>ROUND((-+D12+(E12*Capital!$C$9))/Capital!$C$11,2)</f>
        <v>14120353.710000001</v>
      </c>
      <c r="G12" s="428">
        <f>ROUND((-+D12+(E12*Capital!$D$9))/Capital!$D$11,2)</f>
        <v>14120353.710000001</v>
      </c>
      <c r="H12" s="435">
        <f t="shared" si="0"/>
        <v>0</v>
      </c>
    </row>
    <row r="13" spans="1:8">
      <c r="B13" s="426">
        <v>9.02</v>
      </c>
      <c r="C13" s="2" t="s">
        <v>484</v>
      </c>
      <c r="D13" s="16">
        <f>+'EXH KBH-3 P3.2'!$E$38</f>
        <v>20919188.763121411</v>
      </c>
      <c r="E13" s="16">
        <v>0</v>
      </c>
      <c r="F13" s="428">
        <f>ROUND((-+D13+(E13*Capital!$C$9))/Capital!$C$11,2)</f>
        <v>-33638031.039999999</v>
      </c>
      <c r="G13" s="428">
        <f>ROUND((-+D13+(E13*Capital!$D$9))/Capital!$D$11,2)</f>
        <v>-33638031.039999999</v>
      </c>
      <c r="H13" s="435">
        <f t="shared" si="0"/>
        <v>0</v>
      </c>
    </row>
    <row r="14" spans="1:8">
      <c r="B14" s="426">
        <v>9.0299999999999994</v>
      </c>
      <c r="C14" s="2" t="s">
        <v>485</v>
      </c>
      <c r="D14" s="16">
        <f>+'EXH KBH-3 P3.2'!$F$38</f>
        <v>0</v>
      </c>
      <c r="E14" s="16">
        <f>+'EXH KBH-3 P3.2'!$F$47</f>
        <v>-2443570.9583333335</v>
      </c>
      <c r="F14" s="428">
        <f>ROUND((-+D14+(E14*Capital!$C$9))/Capital!$C$11,2)</f>
        <v>-333987.03999999998</v>
      </c>
      <c r="G14" s="428">
        <f>ROUND((-+D14+(E14*Capital!$D$9))/Capital!$D$11,2)</f>
        <v>-310018.55</v>
      </c>
      <c r="H14" s="435">
        <f t="shared" si="0"/>
        <v>23968.489999999991</v>
      </c>
    </row>
    <row r="15" spans="1:8">
      <c r="B15" s="426">
        <v>9.0399999999999991</v>
      </c>
      <c r="C15" s="2" t="s">
        <v>486</v>
      </c>
      <c r="D15" s="16">
        <f>+'EXH KBH-3 P3.2'!$G$38</f>
        <v>915757.72939999774</v>
      </c>
      <c r="E15" s="16">
        <v>0</v>
      </c>
      <c r="F15" s="428">
        <f>ROUND((-+D15+(E15*Capital!$C$9))/Capital!$C$11,2)</f>
        <v>-1472537.36</v>
      </c>
      <c r="G15" s="428">
        <f>ROUND((-+D15+(E15*Capital!$D$9))/Capital!$D$11,2)</f>
        <v>-1472537.36</v>
      </c>
      <c r="H15" s="435">
        <f t="shared" si="0"/>
        <v>0</v>
      </c>
    </row>
    <row r="16" spans="1:8">
      <c r="B16" s="426">
        <v>9.0500000000000007</v>
      </c>
      <c r="C16" s="2" t="s">
        <v>487</v>
      </c>
      <c r="D16" s="16">
        <f>+'EXH KBH-3 P3.2'!$H$38</f>
        <v>-8386015.674829755</v>
      </c>
      <c r="E16" s="16">
        <v>0</v>
      </c>
      <c r="F16" s="428">
        <f>ROUND((-+D16+(E16*Capital!$C$9))/Capital!$C$11,2)</f>
        <v>13484703.390000001</v>
      </c>
      <c r="G16" s="428">
        <f>ROUND((-+D16+(E16*Capital!$D$9))/Capital!$D$11,2)</f>
        <v>13484703.390000001</v>
      </c>
      <c r="H16" s="435">
        <f t="shared" si="0"/>
        <v>0</v>
      </c>
    </row>
    <row r="17" spans="2:8">
      <c r="B17" s="426">
        <v>9.06</v>
      </c>
      <c r="C17" s="2" t="s">
        <v>488</v>
      </c>
      <c r="D17" s="16">
        <f>+'EXH KBH-3 P3.2'!$I$38</f>
        <v>-6218348.6423879797</v>
      </c>
      <c r="E17" s="16">
        <f>+'EXH KBH-3 P3.2'!$I$47</f>
        <v>-3109174.3211939898</v>
      </c>
      <c r="F17" s="428">
        <f>ROUND((-+D17+(E17*Capital!$C$9))/Capital!$C$11,2)</f>
        <v>9574135.6999999993</v>
      </c>
      <c r="G17" s="428">
        <f>ROUND((-+D17+(E17*Capital!$D$9))/Capital!$D$11,2)</f>
        <v>9604632.9499999993</v>
      </c>
      <c r="H17" s="435">
        <f t="shared" si="0"/>
        <v>30497.25</v>
      </c>
    </row>
    <row r="18" spans="2:8">
      <c r="B18" s="426">
        <v>9.07</v>
      </c>
      <c r="C18" s="2" t="s">
        <v>489</v>
      </c>
      <c r="D18" s="16">
        <f>+'EXH KBH-3 P3.3'!$C$38</f>
        <v>342919.64365640096</v>
      </c>
      <c r="E18" s="16"/>
      <c r="F18" s="428">
        <f>ROUND((-+D18+(E18*Capital!$C$9))/Capital!$C$11,2)</f>
        <v>-551414.39</v>
      </c>
      <c r="G18" s="428">
        <f>ROUND((-+D18+(E18*Capital!$D$9))/Capital!$D$11,2)</f>
        <v>-551414.39</v>
      </c>
      <c r="H18" s="435">
        <f t="shared" si="0"/>
        <v>0</v>
      </c>
    </row>
    <row r="19" spans="2:8">
      <c r="B19" s="426">
        <v>9.08</v>
      </c>
      <c r="C19" s="2" t="s">
        <v>490</v>
      </c>
      <c r="D19" s="16">
        <f>+'EXH KBH-3 P3.3'!$D$38</f>
        <v>454572</v>
      </c>
      <c r="E19" s="16"/>
      <c r="F19" s="428">
        <f>ROUND((-+D19+(E19*Capital!$C$9))/Capital!$C$11,2)</f>
        <v>-730951.24</v>
      </c>
      <c r="G19" s="428">
        <f>ROUND((-+D19+(E19*Capital!$D$9))/Capital!$D$11,2)</f>
        <v>-730951.24</v>
      </c>
      <c r="H19" s="435">
        <f t="shared" si="0"/>
        <v>0</v>
      </c>
    </row>
    <row r="20" spans="2:8">
      <c r="B20" s="426">
        <v>9.09</v>
      </c>
      <c r="C20" s="2" t="s">
        <v>491</v>
      </c>
      <c r="D20" s="16">
        <f>+'EXH KBH-3 P3.3'!$E$38</f>
        <v>1194095.5</v>
      </c>
      <c r="E20" s="16"/>
      <c r="F20" s="428">
        <f>ROUND((-+D20+(E20*Capital!$C$9))/Capital!$C$11,2)</f>
        <v>-1920104.17</v>
      </c>
      <c r="G20" s="428">
        <f>ROUND((-+D20+(E20*Capital!$D$9))/Capital!$D$11,2)</f>
        <v>-1920104.17</v>
      </c>
      <c r="H20" s="435">
        <f t="shared" si="0"/>
        <v>0</v>
      </c>
    </row>
    <row r="21" spans="2:8">
      <c r="B21" s="426">
        <v>9.1</v>
      </c>
      <c r="C21" s="2" t="s">
        <v>492</v>
      </c>
      <c r="D21" s="16">
        <f>+'EXH KBH-3 P3.3'!$F$38</f>
        <v>0</v>
      </c>
      <c r="E21" s="16"/>
      <c r="F21" s="428">
        <f>ROUND((-+D21+(E21*Capital!$C$9))/Capital!$C$11,2)</f>
        <v>0</v>
      </c>
      <c r="G21" s="428">
        <f>ROUND((-+D21+(E21*Capital!$D$9))/Capital!$D$11,2)</f>
        <v>0</v>
      </c>
      <c r="H21" s="435">
        <f t="shared" si="0"/>
        <v>0</v>
      </c>
    </row>
    <row r="22" spans="2:8">
      <c r="B22" s="426">
        <v>9.11</v>
      </c>
      <c r="C22" s="2" t="s">
        <v>493</v>
      </c>
      <c r="D22" s="16">
        <f>+'EXH KBH-3 P3.3'!$G$38</f>
        <v>693130.12053999444</v>
      </c>
      <c r="E22" s="16"/>
      <c r="F22" s="428">
        <f>ROUND((-+D22+(E22*Capital!$C$9))/Capital!$C$11,2)</f>
        <v>-1114552.42</v>
      </c>
      <c r="G22" s="428">
        <f>ROUND((-+D22+(E22*Capital!$D$9))/Capital!$D$11,2)</f>
        <v>-1114552.42</v>
      </c>
      <c r="H22" s="435">
        <f t="shared" si="0"/>
        <v>0</v>
      </c>
    </row>
    <row r="23" spans="2:8">
      <c r="B23" s="426">
        <v>9.1199999999999992</v>
      </c>
      <c r="C23" s="2" t="s">
        <v>494</v>
      </c>
      <c r="D23" s="16">
        <f>+'EXH KBH-3 P3.3'!$H$38</f>
        <v>212084.6</v>
      </c>
      <c r="E23" s="16">
        <v>0</v>
      </c>
      <c r="F23" s="428">
        <f>ROUND((-+D23+(E23*Capital!$C$9))/Capital!$C$11,2)</f>
        <v>-341031.79</v>
      </c>
      <c r="G23" s="428">
        <f>ROUND((-+D23+(E23*Capital!$D$9))/Capital!$D$11,2)</f>
        <v>-341031.79</v>
      </c>
      <c r="H23" s="435">
        <f t="shared" si="0"/>
        <v>0</v>
      </c>
    </row>
    <row r="24" spans="2:8">
      <c r="B24" s="426">
        <v>9.1300000000000008</v>
      </c>
      <c r="C24" s="2" t="s">
        <v>495</v>
      </c>
      <c r="D24" s="16">
        <f>+'EXH KBH-3 P3.3'!$I$38</f>
        <v>-30273.092195121953</v>
      </c>
      <c r="E24" s="16">
        <f>+'EXH KBH-3 P3.3'!$I$47</f>
        <v>-5344757.6135619525</v>
      </c>
      <c r="F24" s="428">
        <f>ROUND((-+D24+(E24*Capital!$C$9))/Capital!$C$11,2)</f>
        <v>-681841.84</v>
      </c>
      <c r="G24" s="428">
        <f>ROUND((-+D24+(E24*Capital!$D$9))/Capital!$D$11,2)</f>
        <v>-629416.22</v>
      </c>
      <c r="H24" s="435">
        <f t="shared" si="0"/>
        <v>52425.619999999995</v>
      </c>
    </row>
    <row r="25" spans="2:8">
      <c r="B25" s="426">
        <v>9.14</v>
      </c>
      <c r="C25" s="2" t="s">
        <v>496</v>
      </c>
      <c r="D25" s="16">
        <f>+'EXH KBH-3 P3.4'!$C$38</f>
        <v>153958.35</v>
      </c>
      <c r="E25" s="16">
        <v>0</v>
      </c>
      <c r="F25" s="428">
        <f>ROUND((-+D25+(E25*Capital!$C$9))/Capital!$C$11,2)</f>
        <v>-247564.85</v>
      </c>
      <c r="G25" s="428">
        <f>ROUND((-+D25+(E25*Capital!$D$9))/Capital!$D$11,2)</f>
        <v>-247564.85</v>
      </c>
      <c r="H25" s="435">
        <f t="shared" si="0"/>
        <v>0</v>
      </c>
    </row>
    <row r="26" spans="2:8">
      <c r="B26" s="426">
        <v>9.15</v>
      </c>
      <c r="C26" s="2" t="s">
        <v>497</v>
      </c>
      <c r="D26" s="16">
        <f>+'EXH KBH-3 P3.4'!$D$38</f>
        <v>-313412.05350000004</v>
      </c>
      <c r="E26" s="16">
        <v>0</v>
      </c>
      <c r="F26" s="428">
        <f>ROUND((-+D26+(E26*Capital!$C$9))/Capital!$C$11,2)</f>
        <v>503966.22</v>
      </c>
      <c r="G26" s="428">
        <f>ROUND((-+D26+(E26*Capital!$D$9))/Capital!$D$11,2)</f>
        <v>503966.22</v>
      </c>
      <c r="H26" s="435">
        <f t="shared" si="0"/>
        <v>0</v>
      </c>
    </row>
    <row r="27" spans="2:8">
      <c r="B27" s="426">
        <v>9.16</v>
      </c>
      <c r="C27" s="2" t="s">
        <v>498</v>
      </c>
      <c r="D27" s="16">
        <f>+'EXH KBH-3 P3.4'!$E$38</f>
        <v>234055.13295752846</v>
      </c>
      <c r="E27" s="16">
        <v>0</v>
      </c>
      <c r="F27" s="428">
        <f>ROUND((-+D27+(E27*Capital!$C$9))/Capital!$C$11,2)</f>
        <v>-376360.38</v>
      </c>
      <c r="G27" s="428">
        <f>ROUND((-+D27+(E27*Capital!$D$9))/Capital!$D$11,2)</f>
        <v>-376360.38</v>
      </c>
      <c r="H27" s="435">
        <f t="shared" si="0"/>
        <v>0</v>
      </c>
    </row>
    <row r="28" spans="2:8">
      <c r="B28" s="426">
        <v>9.17</v>
      </c>
      <c r="C28" s="2" t="s">
        <v>499</v>
      </c>
      <c r="D28" s="16">
        <f>+'EXH KBH-3 P3.4'!$F$38</f>
        <v>-1480293.4733602586</v>
      </c>
      <c r="E28" s="16">
        <v>0</v>
      </c>
      <c r="F28" s="428">
        <f>ROUND((-+D28+(E28*Capital!$C$9))/Capital!$C$11,2)</f>
        <v>2380310.17</v>
      </c>
      <c r="G28" s="428">
        <f>ROUND((-+D28+(E28*Capital!$D$9))/Capital!$D$11,2)</f>
        <v>2380310.17</v>
      </c>
      <c r="H28" s="435">
        <f t="shared" si="0"/>
        <v>0</v>
      </c>
    </row>
    <row r="29" spans="2:8">
      <c r="B29" s="426">
        <v>9.18</v>
      </c>
      <c r="C29" s="2" t="s">
        <v>500</v>
      </c>
      <c r="D29" s="16">
        <f>+'EXH KBH-3 P3.4'!$G$38</f>
        <v>-1172783.3398225149</v>
      </c>
      <c r="E29" s="16">
        <v>0</v>
      </c>
      <c r="F29" s="428">
        <f>ROUND((-+D29+(E29*Capital!$C$9))/Capital!$C$11,2)</f>
        <v>1885834.24</v>
      </c>
      <c r="G29" s="428">
        <f>ROUND((-+D29+(E29*Capital!$D$9))/Capital!$D$11,2)</f>
        <v>1885834.24</v>
      </c>
      <c r="H29" s="435">
        <f t="shared" si="0"/>
        <v>0</v>
      </c>
    </row>
    <row r="30" spans="2:8">
      <c r="B30" s="426">
        <v>9.19</v>
      </c>
      <c r="C30" s="2" t="s">
        <v>501</v>
      </c>
      <c r="D30" s="16">
        <f>+'EXH KBH-3 P3.4'!$H$38</f>
        <v>-54210.845445896033</v>
      </c>
      <c r="E30" s="16">
        <v>0</v>
      </c>
      <c r="F30" s="428">
        <f>ROUND((-+D30+(E30*Capital!$C$9))/Capital!$C$11,2)</f>
        <v>87170.98</v>
      </c>
      <c r="G30" s="428">
        <f>ROUND((-+D30+(E30*Capital!$D$9))/Capital!$D$11,2)</f>
        <v>87170.98</v>
      </c>
      <c r="H30" s="435">
        <f t="shared" si="0"/>
        <v>0</v>
      </c>
    </row>
    <row r="31" spans="2:8">
      <c r="B31" s="426">
        <v>9.1999999999999993</v>
      </c>
      <c r="C31" s="2" t="s">
        <v>502</v>
      </c>
      <c r="D31" s="16">
        <f>+'EXH KBH-3 P3.4'!$I$38</f>
        <v>-418147</v>
      </c>
      <c r="E31" s="16">
        <v>0</v>
      </c>
      <c r="F31" s="428">
        <f>ROUND((-+D31+(E31*Capital!$C$9))/Capital!$C$11,2)</f>
        <v>672379.89</v>
      </c>
      <c r="G31" s="428">
        <f>ROUND((-+D31+(E31*Capital!$D$9))/Capital!$D$11,2)</f>
        <v>672379.89</v>
      </c>
      <c r="H31" s="435">
        <f t="shared" si="0"/>
        <v>0</v>
      </c>
    </row>
    <row r="32" spans="2:8">
      <c r="B32" s="426">
        <v>9.2100000000000009</v>
      </c>
      <c r="C32" s="2" t="s">
        <v>503</v>
      </c>
      <c r="D32" s="16">
        <f>+'EXH KBH-3 P3.5'!$C$38</f>
        <v>615785</v>
      </c>
      <c r="E32" s="16">
        <v>0</v>
      </c>
      <c r="F32" s="428">
        <f>ROUND((-+D32+(E32*Capital!$C$9))/Capital!$C$11,2)</f>
        <v>-990181.56</v>
      </c>
      <c r="G32" s="428">
        <f>ROUND((-+D32+(E32*Capital!$D$9))/Capital!$D$11,2)</f>
        <v>-990181.56</v>
      </c>
      <c r="H32" s="435">
        <f t="shared" si="0"/>
        <v>0</v>
      </c>
    </row>
    <row r="33" spans="2:8">
      <c r="B33" s="426">
        <v>9.2200000000000006</v>
      </c>
      <c r="C33" s="2" t="s">
        <v>504</v>
      </c>
      <c r="D33" s="16">
        <f>+'EXH KBH-3 P3.5'!$D$38</f>
        <v>311112.09999999998</v>
      </c>
      <c r="E33" s="16">
        <v>0</v>
      </c>
      <c r="F33" s="428">
        <f>ROUND((-+D33+(E33*Capital!$C$9))/Capital!$C$11,2)</f>
        <v>-500267.89</v>
      </c>
      <c r="G33" s="428">
        <f>ROUND((-+D33+(E33*Capital!$D$9))/Capital!$D$11,2)</f>
        <v>-500267.89</v>
      </c>
      <c r="H33" s="435">
        <f t="shared" si="0"/>
        <v>0</v>
      </c>
    </row>
    <row r="34" spans="2:8">
      <c r="B34" s="426">
        <v>9.23</v>
      </c>
      <c r="C34" s="2" t="s">
        <v>505</v>
      </c>
      <c r="D34" s="16">
        <f>+'EXH KBH-3 P3.5'!$E$38</f>
        <v>696544.89928200771</v>
      </c>
      <c r="E34" s="16">
        <f>+'EXH KBH-3 P3.5'!$E$47</f>
        <v>4077858.4263344631</v>
      </c>
      <c r="F34" s="428">
        <f>ROUND((-+D34+(E34*Capital!$C$9))/Capital!$C$11,2)</f>
        <v>-562682.1</v>
      </c>
      <c r="G34" s="428">
        <f>ROUND((-+D34+(E34*Capital!$D$9))/Capital!$D$11,2)</f>
        <v>-602680.97</v>
      </c>
      <c r="H34" s="435">
        <f t="shared" si="0"/>
        <v>-39998.869999999995</v>
      </c>
    </row>
    <row r="35" spans="2:8">
      <c r="B35" s="426"/>
      <c r="C35" s="423" t="s">
        <v>506</v>
      </c>
      <c r="D35" s="425">
        <f>SUM(D12:D34)</f>
        <v>-111601.16871252179</v>
      </c>
      <c r="E35" s="425">
        <f>SUM(E12:E34)</f>
        <v>-6819644.4667548127</v>
      </c>
      <c r="F35" s="425">
        <f>SUM(F12:F34)</f>
        <v>-752653.76999999653</v>
      </c>
      <c r="G35" s="425">
        <f>SUM(G12:G34)</f>
        <v>-685761.27999999805</v>
      </c>
      <c r="H35" s="425">
        <f>SUM(H12:H34)</f>
        <v>66892.489999999991</v>
      </c>
    </row>
    <row r="36" spans="2:8">
      <c r="B36" s="426"/>
      <c r="C36" s="423" t="s">
        <v>507</v>
      </c>
      <c r="D36" s="425">
        <f>+D35+D11</f>
        <v>111238599.51600036</v>
      </c>
      <c r="E36" s="425">
        <f>+E35+E11</f>
        <v>1467691655.5332451</v>
      </c>
      <c r="F36" s="425">
        <f>+F35+F11</f>
        <v>21732411.640000004</v>
      </c>
      <c r="G36" s="432">
        <f>ROUND((-+D36+(E36*Capital!$D$9))/Capital!$D$11,2)</f>
        <v>7336128.21</v>
      </c>
      <c r="H36" s="425">
        <f>+H35+H11</f>
        <v>-14396283.42</v>
      </c>
    </row>
    <row r="37" spans="2:8">
      <c r="D37" s="16"/>
      <c r="E37" s="16"/>
      <c r="F37" s="16"/>
    </row>
    <row r="38" spans="2:8">
      <c r="D38" s="16"/>
      <c r="E38" s="16"/>
      <c r="F38" s="16"/>
    </row>
    <row r="39" spans="2:8">
      <c r="D39" s="16"/>
      <c r="E39" s="16"/>
      <c r="F39" s="16"/>
    </row>
    <row r="40" spans="2:8">
      <c r="D40" s="16"/>
      <c r="E40" s="16"/>
      <c r="F40" s="16"/>
    </row>
    <row r="41" spans="2:8">
      <c r="D41" s="16"/>
      <c r="E41" s="16"/>
      <c r="F41" s="16"/>
    </row>
  </sheetData>
  <pageMargins left="0.7" right="0.7" top="0.75" bottom="0.75" header="0.3" footer="0.3"/>
  <pageSetup scale="9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B4:D12"/>
  <sheetViews>
    <sheetView workbookViewId="0">
      <selection activeCell="B42" sqref="B42"/>
    </sheetView>
  </sheetViews>
  <sheetFormatPr defaultRowHeight="15"/>
  <cols>
    <col min="1" max="1" width="9.140625" style="436"/>
    <col min="2" max="2" width="30.42578125" style="436" customWidth="1"/>
    <col min="3" max="3" width="15.5703125" style="436" customWidth="1"/>
    <col min="4" max="4" width="19.85546875" style="436" customWidth="1"/>
    <col min="5" max="16384" width="9.140625" style="436"/>
  </cols>
  <sheetData>
    <row r="4" spans="2:4" ht="15.75">
      <c r="B4" s="380"/>
      <c r="C4" s="99" t="s">
        <v>518</v>
      </c>
      <c r="D4" s="381" t="s">
        <v>519</v>
      </c>
    </row>
    <row r="5" spans="2:4" ht="15.75">
      <c r="B5" s="382" t="s">
        <v>520</v>
      </c>
      <c r="C5" s="383">
        <v>3.2199999999999999E-2</v>
      </c>
      <c r="D5" s="384">
        <v>1E-3</v>
      </c>
    </row>
    <row r="6" spans="2:4" ht="15.75">
      <c r="B6" s="385" t="s">
        <v>521</v>
      </c>
      <c r="C6" s="383">
        <v>1E-3</v>
      </c>
      <c r="D6" s="384">
        <v>3.2899999999999999E-2</v>
      </c>
    </row>
    <row r="7" spans="2:4" ht="15.75">
      <c r="B7" s="382" t="s">
        <v>522</v>
      </c>
      <c r="C7" s="383">
        <v>0</v>
      </c>
      <c r="D7" s="384">
        <v>0</v>
      </c>
    </row>
    <row r="8" spans="2:4" ht="15.75">
      <c r="B8" s="386" t="s">
        <v>523</v>
      </c>
      <c r="C8" s="383">
        <v>5.1799999999999999E-2</v>
      </c>
      <c r="D8" s="384">
        <v>4.4999999999999998E-2</v>
      </c>
    </row>
    <row r="9" spans="2:4" ht="15.75">
      <c r="B9" s="387" t="s">
        <v>510</v>
      </c>
      <c r="C9" s="388">
        <f>SUM(C5:C8)</f>
        <v>8.4999999999999992E-2</v>
      </c>
      <c r="D9" s="389">
        <f>SUM(D5:D8)</f>
        <v>7.8899999999999998E-2</v>
      </c>
    </row>
    <row r="10" spans="2:4" ht="15.75">
      <c r="B10" s="387" t="s">
        <v>530</v>
      </c>
      <c r="C10" s="232">
        <v>0.62126199999999998</v>
      </c>
      <c r="D10" s="390">
        <v>0.62126199999999998</v>
      </c>
    </row>
    <row r="11" spans="2:4" ht="15.75">
      <c r="B11" s="387" t="s">
        <v>527</v>
      </c>
      <c r="C11" s="232">
        <v>0.62189099999999997</v>
      </c>
      <c r="D11" s="390">
        <v>0.62189099999999997</v>
      </c>
    </row>
    <row r="12" spans="2:4" ht="15.75">
      <c r="B12" s="391" t="s">
        <v>524</v>
      </c>
      <c r="C12" s="392">
        <v>0.35</v>
      </c>
      <c r="D12" s="393">
        <v>0.35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2:I54"/>
  <sheetViews>
    <sheetView zoomScaleNormal="100" workbookViewId="0">
      <pane xSplit="2" ySplit="9" topLeftCell="C18" activePane="bottomRight" state="frozen"/>
      <selection activeCell="B42" sqref="B42"/>
      <selection pane="topRight" activeCell="B42" sqref="B42"/>
      <selection pane="bottomLeft" activeCell="B42" sqref="B42"/>
      <selection pane="bottomRight" activeCell="B42" sqref="B4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403" t="s">
        <v>200</v>
      </c>
      <c r="B2" s="403"/>
      <c r="C2" s="403"/>
      <c r="D2" s="403"/>
      <c r="E2" s="403"/>
      <c r="F2" s="403"/>
      <c r="G2" s="403"/>
      <c r="H2" s="404"/>
      <c r="I2" s="404"/>
    </row>
    <row r="3" spans="1:9">
      <c r="A3" s="403" t="s">
        <v>45</v>
      </c>
      <c r="B3" s="403"/>
      <c r="C3" s="403"/>
      <c r="D3" s="403"/>
      <c r="E3" s="403"/>
      <c r="F3" s="403"/>
      <c r="G3" s="403"/>
      <c r="H3" s="404"/>
      <c r="I3" s="404"/>
    </row>
    <row r="4" spans="1:9">
      <c r="A4" s="403" t="s">
        <v>44</v>
      </c>
      <c r="B4" s="403"/>
      <c r="C4" s="403"/>
      <c r="D4" s="403"/>
      <c r="E4" s="403"/>
      <c r="F4" s="403"/>
      <c r="G4" s="403"/>
      <c r="H4" s="404"/>
      <c r="I4" s="404"/>
    </row>
    <row r="5" spans="1:9">
      <c r="A5" s="403" t="s">
        <v>73</v>
      </c>
      <c r="B5" s="403"/>
      <c r="C5" s="403"/>
      <c r="D5" s="403"/>
      <c r="E5" s="403"/>
      <c r="F5" s="403"/>
      <c r="G5" s="403"/>
      <c r="H5" s="404"/>
      <c r="I5" s="404"/>
    </row>
    <row r="6" spans="1:9">
      <c r="A6" s="11"/>
      <c r="B6" s="11"/>
      <c r="C6" s="11" t="s">
        <v>91</v>
      </c>
      <c r="D6" s="11" t="s">
        <v>236</v>
      </c>
      <c r="E6" s="11" t="s">
        <v>92</v>
      </c>
      <c r="F6" s="11" t="s">
        <v>94</v>
      </c>
      <c r="G6" s="11" t="s">
        <v>96</v>
      </c>
      <c r="H6" s="11" t="s">
        <v>98</v>
      </c>
      <c r="I6" s="11" t="s">
        <v>100</v>
      </c>
    </row>
    <row r="7" spans="1:9">
      <c r="A7" s="12" t="s">
        <v>28</v>
      </c>
      <c r="B7" s="12"/>
      <c r="C7" s="12" t="s">
        <v>182</v>
      </c>
      <c r="D7" s="12" t="s">
        <v>237</v>
      </c>
      <c r="E7" s="12" t="s">
        <v>93</v>
      </c>
      <c r="F7" s="12" t="s">
        <v>95</v>
      </c>
      <c r="G7" s="12" t="s">
        <v>97</v>
      </c>
      <c r="H7" s="12" t="s">
        <v>95</v>
      </c>
      <c r="I7" s="12" t="s">
        <v>85</v>
      </c>
    </row>
    <row r="8" spans="1:9">
      <c r="A8" s="13" t="s">
        <v>29</v>
      </c>
      <c r="B8" s="12" t="s">
        <v>30</v>
      </c>
      <c r="C8" s="12" t="s">
        <v>238</v>
      </c>
      <c r="D8" s="12" t="s">
        <v>239</v>
      </c>
      <c r="E8" s="12" t="s">
        <v>240</v>
      </c>
      <c r="F8" s="12" t="s">
        <v>241</v>
      </c>
      <c r="G8" s="12" t="s">
        <v>242</v>
      </c>
      <c r="H8" s="12" t="s">
        <v>243</v>
      </c>
      <c r="I8" s="12" t="s">
        <v>244</v>
      </c>
    </row>
    <row r="9" spans="1:9">
      <c r="A9" s="14"/>
      <c r="B9" s="15"/>
      <c r="C9" s="14" t="s">
        <v>74</v>
      </c>
      <c r="D9" s="14" t="s">
        <v>75</v>
      </c>
      <c r="E9" s="14" t="s">
        <v>76</v>
      </c>
      <c r="F9" s="14" t="s">
        <v>77</v>
      </c>
      <c r="G9" s="14" t="s">
        <v>78</v>
      </c>
      <c r="H9" s="14" t="s">
        <v>79</v>
      </c>
      <c r="I9" s="17" t="s">
        <v>80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8">
        <v>0</v>
      </c>
      <c r="I11" s="28">
        <v>0</v>
      </c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23"/>
      <c r="G12" s="23"/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23"/>
      <c r="G13" s="23"/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I14" si="1">SUM(E11:E13)</f>
        <v>0</v>
      </c>
      <c r="F14" s="30">
        <f t="shared" si="1"/>
        <v>0</v>
      </c>
      <c r="G14" s="30">
        <f t="shared" si="1"/>
        <v>0</v>
      </c>
      <c r="H14" s="30">
        <f t="shared" si="1"/>
        <v>0</v>
      </c>
      <c r="I14" s="30">
        <f t="shared" si="1"/>
        <v>0</v>
      </c>
    </row>
    <row r="15" spans="1:9">
      <c r="A15" s="113">
        <f t="shared" si="0"/>
        <v>6</v>
      </c>
      <c r="B15" s="4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/>
      <c r="G18" s="27">
        <v>0</v>
      </c>
      <c r="H18" s="28">
        <v>0</v>
      </c>
      <c r="I18" s="27">
        <v>0</v>
      </c>
    </row>
    <row r="19" spans="1:9">
      <c r="A19" s="113">
        <f t="shared" si="0"/>
        <v>10</v>
      </c>
      <c r="B19" s="6" t="s">
        <v>4</v>
      </c>
      <c r="C19" s="31">
        <f t="shared" ref="C19:I19" si="2">SUM(C18:C18)</f>
        <v>0</v>
      </c>
      <c r="D19" s="31">
        <f t="shared" si="2"/>
        <v>0</v>
      </c>
      <c r="E19" s="31">
        <f t="shared" si="2"/>
        <v>0</v>
      </c>
      <c r="F19" s="31">
        <f t="shared" si="2"/>
        <v>0</v>
      </c>
      <c r="G19" s="31">
        <f t="shared" si="2"/>
        <v>0</v>
      </c>
      <c r="H19" s="31">
        <f t="shared" si="2"/>
        <v>0</v>
      </c>
      <c r="I19" s="31">
        <f t="shared" si="2"/>
        <v>0</v>
      </c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v>0</v>
      </c>
      <c r="D21" s="27">
        <v>0</v>
      </c>
      <c r="E21" s="27">
        <v>0</v>
      </c>
      <c r="F21" s="27">
        <v>0</v>
      </c>
      <c r="G21" s="27">
        <f>+' Adj 9.18 P3.23'!G13+' Adj 9.18 P3.23'!G14+' Adj 9.18 P3.23'!G15</f>
        <v>49226</v>
      </c>
      <c r="H21" s="28">
        <v>0</v>
      </c>
      <c r="I21" s="27">
        <v>0</v>
      </c>
    </row>
    <row r="22" spans="1:9">
      <c r="A22" s="113">
        <f t="shared" si="0"/>
        <v>13</v>
      </c>
      <c r="B22" s="4" t="s">
        <v>6</v>
      </c>
      <c r="C22" s="23"/>
      <c r="D22" s="23"/>
      <c r="E22" s="23"/>
      <c r="F22" s="23"/>
      <c r="G22" s="23">
        <f>+' Adj 9.18 P3.23'!G16</f>
        <v>7637</v>
      </c>
      <c r="I22" s="23"/>
    </row>
    <row r="23" spans="1:9">
      <c r="A23" s="113">
        <f t="shared" si="0"/>
        <v>14</v>
      </c>
      <c r="B23" s="4" t="s">
        <v>7</v>
      </c>
      <c r="C23" s="23"/>
      <c r="D23" s="23"/>
      <c r="E23" s="23"/>
      <c r="F23" s="23"/>
      <c r="G23" s="23">
        <f>+' Adj 9.18 P3.23'!G17</f>
        <v>990184</v>
      </c>
      <c r="I23" s="23"/>
    </row>
    <row r="24" spans="1:9">
      <c r="A24" s="113">
        <f t="shared" si="0"/>
        <v>15</v>
      </c>
      <c r="B24" s="4" t="s">
        <v>529</v>
      </c>
      <c r="C24" s="23"/>
      <c r="D24" s="23"/>
      <c r="E24" s="23"/>
      <c r="F24" s="23"/>
      <c r="G24" s="23">
        <f>+' Adj 9.18 P3.23'!G18</f>
        <v>293660</v>
      </c>
      <c r="I24" s="23"/>
    </row>
    <row r="25" spans="1:9">
      <c r="A25" s="113">
        <f t="shared" si="0"/>
        <v>16</v>
      </c>
      <c r="B25" s="4" t="s">
        <v>8</v>
      </c>
      <c r="C25" s="23"/>
      <c r="D25" s="23"/>
      <c r="E25" s="23"/>
      <c r="F25" s="23"/>
      <c r="G25" s="23">
        <f>+' Adj 9.18 P3.23'!G19+' Adj 9.18 P3.23'!G20</f>
        <v>38264</v>
      </c>
      <c r="I25" s="23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23"/>
      <c r="G26" s="23"/>
      <c r="I26" s="23"/>
    </row>
    <row r="27" spans="1:9">
      <c r="A27" s="113">
        <f t="shared" si="0"/>
        <v>18</v>
      </c>
      <c r="B27" s="4" t="s">
        <v>10</v>
      </c>
      <c r="C27" s="23">
        <f>+' Adj 9.14 P3.19'!D23</f>
        <v>-236859</v>
      </c>
      <c r="D27" s="23"/>
      <c r="E27" s="23">
        <f>+' Adj 9.16 P3.21'!E14</f>
        <v>-360084.81993465917</v>
      </c>
      <c r="F27" s="23">
        <f>+' Adj 9.17 P3.22'!E16</f>
        <v>2277374.5744003979</v>
      </c>
      <c r="G27" s="23">
        <f>+' Adj 9.18 P3.23'!G21</f>
        <v>310175</v>
      </c>
      <c r="H27" s="23">
        <f>+' Adj 9.19 P3.24'!E37</f>
        <v>83401.845445896033</v>
      </c>
      <c r="I27" s="23">
        <f>+' Adj 9.20 P3.25'!E21</f>
        <v>643303</v>
      </c>
    </row>
    <row r="28" spans="1:9">
      <c r="A28" s="113">
        <f t="shared" si="0"/>
        <v>19</v>
      </c>
      <c r="B28" s="4" t="s">
        <v>11</v>
      </c>
      <c r="C28" s="23"/>
      <c r="D28" s="23"/>
      <c r="E28" s="23"/>
      <c r="F28" s="23"/>
      <c r="G28" s="23"/>
      <c r="H28" s="23"/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23"/>
      <c r="G29" s="23"/>
      <c r="H29" s="23"/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23"/>
      <c r="G30" s="23"/>
      <c r="H30" s="23"/>
      <c r="I30" s="23"/>
    </row>
    <row r="31" spans="1:9">
      <c r="A31" s="113">
        <f t="shared" si="0"/>
        <v>22</v>
      </c>
      <c r="B31" s="1" t="s">
        <v>14</v>
      </c>
      <c r="C31" s="23"/>
      <c r="D31" s="23">
        <f>+' Adj 9.15 P3.20'!F20</f>
        <v>482172.39</v>
      </c>
      <c r="E31" s="23"/>
      <c r="F31" s="23"/>
      <c r="G31" s="23"/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23"/>
      <c r="G32" s="23"/>
      <c r="H32" s="23"/>
      <c r="I32" s="23"/>
    </row>
    <row r="33" spans="1:9">
      <c r="A33" s="113">
        <f t="shared" si="0"/>
        <v>24</v>
      </c>
      <c r="B33" s="4" t="s">
        <v>16</v>
      </c>
      <c r="C33" s="23"/>
      <c r="D33" s="23"/>
      <c r="E33" s="23"/>
      <c r="F33" s="23"/>
      <c r="G33" s="23">
        <f>+' Adj 9.18 P3.23'!G24</f>
        <v>115136.0612654076</v>
      </c>
      <c r="H33" s="23"/>
      <c r="I33" s="23"/>
    </row>
    <row r="34" spans="1:9">
      <c r="A34" s="113">
        <f t="shared" si="0"/>
        <v>25</v>
      </c>
      <c r="B34" s="4" t="s">
        <v>17</v>
      </c>
      <c r="C34" s="23">
        <f>+' Adj 9.14 P3.19'!D25</f>
        <v>82900.649999999994</v>
      </c>
      <c r="D34" s="23">
        <f>+' Adj 9.15 P3.20'!F22</f>
        <v>-168760.3365</v>
      </c>
      <c r="E34" s="23">
        <f>+' Adj 9.16 P3.21'!E17</f>
        <v>126029.6869771307</v>
      </c>
      <c r="F34" s="23">
        <f>+' Adj 9.17 P3.22'!E19</f>
        <v>-797081.10104013921</v>
      </c>
      <c r="G34" s="26">
        <f>+' Adj 9.18 P3.23'!G28</f>
        <v>-631498.72144289257</v>
      </c>
      <c r="H34" s="23">
        <f>+' Adj 9.19 P3.24'!E39</f>
        <v>-29191</v>
      </c>
      <c r="I34" s="23">
        <f>+' Adj 9.20 P3.25'!E23</f>
        <v>-225156</v>
      </c>
    </row>
    <row r="35" spans="1:9">
      <c r="A35" s="113">
        <f t="shared" si="0"/>
        <v>26</v>
      </c>
      <c r="B35" s="4" t="s">
        <v>18</v>
      </c>
      <c r="C35" s="23"/>
      <c r="D35" s="23"/>
      <c r="E35" s="23"/>
      <c r="G35" s="26"/>
      <c r="I35" s="23"/>
    </row>
    <row r="36" spans="1:9">
      <c r="A36" s="113">
        <f t="shared" si="0"/>
        <v>27</v>
      </c>
      <c r="B36" s="7" t="s">
        <v>19</v>
      </c>
      <c r="C36" s="31">
        <f t="shared" ref="C36:I36" si="3">SUM(C19:C35)</f>
        <v>-153958.35</v>
      </c>
      <c r="D36" s="31">
        <f t="shared" si="3"/>
        <v>313412.05350000004</v>
      </c>
      <c r="E36" s="31">
        <f t="shared" si="3"/>
        <v>-234055.13295752846</v>
      </c>
      <c r="F36" s="31">
        <f t="shared" si="3"/>
        <v>1480293.4733602586</v>
      </c>
      <c r="G36" s="31">
        <f t="shared" si="3"/>
        <v>1172783.3398225149</v>
      </c>
      <c r="H36" s="31">
        <f t="shared" si="3"/>
        <v>54210.845445896033</v>
      </c>
      <c r="I36" s="31">
        <f t="shared" si="3"/>
        <v>418147</v>
      </c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H37" s="16"/>
      <c r="I37" s="16"/>
    </row>
    <row r="38" spans="1:9" ht="16.5" thickBot="1">
      <c r="A38" s="113">
        <f t="shared" si="0"/>
        <v>29</v>
      </c>
      <c r="B38" s="8" t="s">
        <v>20</v>
      </c>
      <c r="C38" s="32">
        <f t="shared" ref="C38:I38" si="4">+C14-C36</f>
        <v>153958.35</v>
      </c>
      <c r="D38" s="32">
        <f t="shared" si="4"/>
        <v>-313412.05350000004</v>
      </c>
      <c r="E38" s="32">
        <f t="shared" si="4"/>
        <v>234055.13295752846</v>
      </c>
      <c r="F38" s="32">
        <f t="shared" si="4"/>
        <v>-1480293.4733602586</v>
      </c>
      <c r="G38" s="32">
        <f t="shared" si="4"/>
        <v>-1172783.3398225149</v>
      </c>
      <c r="H38" s="32">
        <f t="shared" si="4"/>
        <v>-54210.845445896033</v>
      </c>
      <c r="I38" s="32">
        <f t="shared" si="4"/>
        <v>-418147</v>
      </c>
    </row>
    <row r="39" spans="1:9" ht="16.5" thickTop="1">
      <c r="A39" s="113">
        <f t="shared" si="0"/>
        <v>30</v>
      </c>
      <c r="B39" s="4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I40" s="23"/>
    </row>
    <row r="41" spans="1:9">
      <c r="A41" s="113">
        <f t="shared" si="0"/>
        <v>32</v>
      </c>
      <c r="B41" s="4" t="s">
        <v>528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7">
        <v>0</v>
      </c>
    </row>
    <row r="42" spans="1:9">
      <c r="A42" s="113">
        <f t="shared" si="0"/>
        <v>33</v>
      </c>
      <c r="B42" s="4" t="s">
        <v>22</v>
      </c>
      <c r="C42" s="23"/>
      <c r="D42" s="23"/>
      <c r="E42" s="23"/>
      <c r="F42" s="23"/>
      <c r="G42" s="23"/>
      <c r="I42" s="23"/>
    </row>
    <row r="43" spans="1:9">
      <c r="A43" s="113">
        <f t="shared" si="0"/>
        <v>34</v>
      </c>
      <c r="B43" s="4" t="s">
        <v>23</v>
      </c>
      <c r="C43" s="23"/>
      <c r="D43" s="23"/>
      <c r="E43" s="23"/>
      <c r="F43" s="23"/>
      <c r="G43" s="23"/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23"/>
      <c r="G44" s="23"/>
      <c r="I44" s="23"/>
    </row>
    <row r="45" spans="1:9">
      <c r="A45" s="113">
        <f>1+A44</f>
        <v>36</v>
      </c>
      <c r="B45" s="4" t="s">
        <v>193</v>
      </c>
      <c r="C45" s="23"/>
      <c r="D45" s="23"/>
      <c r="E45" s="23"/>
      <c r="F45" s="23"/>
      <c r="G45" s="23"/>
      <c r="I45" s="23"/>
    </row>
    <row r="46" spans="1:9">
      <c r="A46" s="113">
        <f t="shared" ref="A46:A47" si="5">1+A45</f>
        <v>37</v>
      </c>
      <c r="B46" s="4" t="s">
        <v>24</v>
      </c>
      <c r="C46" s="23"/>
      <c r="D46" s="23"/>
      <c r="E46" s="23"/>
      <c r="F46" s="23"/>
      <c r="G46" s="23"/>
      <c r="I46" s="23"/>
    </row>
    <row r="47" spans="1:9" ht="16.5" thickBot="1">
      <c r="A47" s="113">
        <f t="shared" si="5"/>
        <v>38</v>
      </c>
      <c r="B47" s="4" t="s">
        <v>26</v>
      </c>
      <c r="C47" s="32">
        <f>SUM(C41:C46)</f>
        <v>0</v>
      </c>
      <c r="D47" s="32">
        <f t="shared" ref="D47:I47" si="6">SUM(D41:D46)</f>
        <v>0</v>
      </c>
      <c r="E47" s="32">
        <f t="shared" si="6"/>
        <v>0</v>
      </c>
      <c r="F47" s="32">
        <f t="shared" si="6"/>
        <v>0</v>
      </c>
      <c r="G47" s="32">
        <f t="shared" si="6"/>
        <v>0</v>
      </c>
      <c r="H47" s="32">
        <f t="shared" si="6"/>
        <v>0</v>
      </c>
      <c r="I47" s="32">
        <f t="shared" si="6"/>
        <v>0</v>
      </c>
    </row>
    <row r="48" spans="1:9" ht="16.5" thickTop="1">
      <c r="A48" s="20">
        <f t="shared" ref="A48:A53" si="7">1+A47</f>
        <v>39</v>
      </c>
      <c r="B48" s="24" t="s">
        <v>23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7"/>
        <v>40</v>
      </c>
      <c r="B49" s="24" t="s">
        <v>24</v>
      </c>
      <c r="C49" s="23"/>
      <c r="D49" s="23"/>
      <c r="E49" s="23"/>
      <c r="F49" s="23"/>
      <c r="G49" s="23"/>
      <c r="H49" s="23">
        <v>0</v>
      </c>
      <c r="I49" s="23"/>
    </row>
    <row r="50" spans="1:9">
      <c r="A50" s="20">
        <f t="shared" si="7"/>
        <v>41</v>
      </c>
      <c r="B50" s="24" t="s">
        <v>25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7"/>
        <v>42</v>
      </c>
      <c r="B51" s="24" t="s">
        <v>26</v>
      </c>
      <c r="C51" s="32">
        <f t="shared" ref="C51:I51" si="8">SUM(C45:C50)</f>
        <v>0</v>
      </c>
      <c r="D51" s="32">
        <f t="shared" si="8"/>
        <v>0</v>
      </c>
      <c r="E51" s="32">
        <f t="shared" si="8"/>
        <v>0</v>
      </c>
      <c r="F51" s="32">
        <f t="shared" si="8"/>
        <v>0</v>
      </c>
      <c r="G51" s="32">
        <f t="shared" si="8"/>
        <v>0</v>
      </c>
      <c r="H51" s="32">
        <f t="shared" si="8"/>
        <v>0</v>
      </c>
      <c r="I51" s="32">
        <f t="shared" si="8"/>
        <v>0</v>
      </c>
    </row>
    <row r="52" spans="1:9" ht="16.5" thickTop="1">
      <c r="A52" s="20">
        <f t="shared" si="7"/>
        <v>43</v>
      </c>
      <c r="B52" s="24"/>
      <c r="D52" s="23"/>
      <c r="E52" s="23"/>
      <c r="F52" s="23"/>
      <c r="G52" s="23"/>
    </row>
    <row r="53" spans="1:9">
      <c r="A53" s="20">
        <f t="shared" si="7"/>
        <v>44</v>
      </c>
      <c r="B53" s="24" t="s">
        <v>27</v>
      </c>
      <c r="D53" s="23"/>
      <c r="E53" s="23"/>
      <c r="F53" s="23"/>
      <c r="G53" s="23"/>
    </row>
    <row r="54" spans="1:9">
      <c r="A54" s="25"/>
      <c r="B54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4" orientation="landscape" r:id="rId1"/>
  <headerFooter scaleWithDoc="0">
    <oddHeader>&amp;R&amp;"Times New Roman,Regular"&amp;12UE-090704
Exhibit No. KHB-3
Page  3.4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48"/>
  <sheetViews>
    <sheetView topLeftCell="A15" zoomScaleNormal="100" workbookViewId="0">
      <selection activeCell="B42" sqref="B4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403" t="s">
        <v>200</v>
      </c>
      <c r="B2" s="403"/>
      <c r="C2" s="403"/>
      <c r="D2" s="403"/>
      <c r="E2" s="403"/>
      <c r="F2" s="403"/>
      <c r="G2" s="403"/>
      <c r="H2" s="404"/>
      <c r="I2" s="404"/>
    </row>
    <row r="3" spans="1:9">
      <c r="A3" s="403" t="s">
        <v>45</v>
      </c>
      <c r="B3" s="403"/>
      <c r="C3" s="403"/>
      <c r="D3" s="403"/>
      <c r="E3" s="403"/>
      <c r="F3" s="403"/>
      <c r="G3" s="403"/>
      <c r="H3" s="404"/>
      <c r="I3" s="404"/>
    </row>
    <row r="4" spans="1:9">
      <c r="A4" s="403" t="s">
        <v>44</v>
      </c>
      <c r="B4" s="403"/>
      <c r="C4" s="403"/>
      <c r="D4" s="403"/>
      <c r="E4" s="403"/>
      <c r="F4" s="403"/>
      <c r="G4" s="403"/>
      <c r="H4" s="404"/>
      <c r="I4" s="404"/>
    </row>
    <row r="5" spans="1:9">
      <c r="A5" s="403" t="s">
        <v>101</v>
      </c>
      <c r="B5" s="403"/>
      <c r="C5" s="403"/>
      <c r="D5" s="403"/>
      <c r="E5" s="403"/>
      <c r="F5" s="403"/>
      <c r="G5" s="403"/>
      <c r="H5" s="404"/>
      <c r="I5" s="404"/>
    </row>
    <row r="6" spans="1:9">
      <c r="A6" s="11"/>
      <c r="B6" s="11"/>
      <c r="C6" s="11" t="s">
        <v>102</v>
      </c>
      <c r="D6" s="11" t="s">
        <v>99</v>
      </c>
      <c r="E6" s="33" t="s">
        <v>184</v>
      </c>
      <c r="F6" s="101"/>
      <c r="G6" s="99" t="s">
        <v>38</v>
      </c>
      <c r="H6" s="19"/>
      <c r="I6" s="19"/>
    </row>
    <row r="7" spans="1:9">
      <c r="A7" s="12" t="s">
        <v>28</v>
      </c>
      <c r="B7" s="12"/>
      <c r="C7" s="12" t="s">
        <v>103</v>
      </c>
      <c r="D7" s="12" t="s">
        <v>104</v>
      </c>
      <c r="E7" s="34" t="s">
        <v>185</v>
      </c>
      <c r="F7" s="12" t="s">
        <v>32</v>
      </c>
      <c r="G7" s="19" t="s">
        <v>106</v>
      </c>
      <c r="H7" s="19"/>
      <c r="I7" s="19"/>
    </row>
    <row r="8" spans="1:9">
      <c r="A8" s="13" t="s">
        <v>29</v>
      </c>
      <c r="B8" s="12" t="s">
        <v>30</v>
      </c>
      <c r="C8" s="12" t="s">
        <v>245</v>
      </c>
      <c r="D8" s="12" t="s">
        <v>246</v>
      </c>
      <c r="E8" s="34" t="s">
        <v>247</v>
      </c>
      <c r="F8" s="12" t="s">
        <v>183</v>
      </c>
      <c r="G8" s="19" t="s">
        <v>107</v>
      </c>
      <c r="H8" s="19"/>
      <c r="I8" s="19"/>
    </row>
    <row r="9" spans="1:9">
      <c r="A9" s="14"/>
      <c r="B9" s="15"/>
      <c r="C9" s="14" t="s">
        <v>86</v>
      </c>
      <c r="D9" s="14" t="s">
        <v>87</v>
      </c>
      <c r="E9" s="35" t="s">
        <v>88</v>
      </c>
      <c r="F9" s="14" t="s">
        <v>89</v>
      </c>
      <c r="G9" s="100" t="s">
        <v>90</v>
      </c>
      <c r="H9" s="21"/>
      <c r="I9" s="19"/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7">
        <v>0</v>
      </c>
      <c r="D11" s="27">
        <v>0</v>
      </c>
      <c r="E11" s="27">
        <v>0</v>
      </c>
      <c r="F11" s="27">
        <f>+E11+D11+C11+'EXH KBH-3 P3.4'!I11+'EXH KBH-3 P3.4'!H11+'EXH KBH-3 P3.4'!G11+'EXH KBH-3 P3.4'!F11+'EXH KBH-3 P3.4'!E10+'EXH KBH-3 P3.4'!D11+'EXH KBH-3 P3.4'!C11+'EXH KBH-3 P3.3'!I11+'EXH KBH-3 P3.3'!H11+'EXH KBH-3 P3.3'!G11+'EXH KBH-3 P3.3'!F11+'EXH KBH-3 P3.3'!E11+'EXH KBH-3 P3.3'!D11+'EXH KBH-3 P3.3'!C11+'EXH KBH-3 P3.2'!I11+'EXH KBH-3 P3.2'!H11+'EXH KBH-3 P3.2'!G11+'EXH KBH-3 P3.2'!F11+'EXH KBH-3 P3.2'!E11+'EXH KBH-3 P3.2'!D11</f>
        <v>61608936.032015681</v>
      </c>
      <c r="G11" s="27">
        <f>+F11+'EXH KBH-3 P3.2'!C11</f>
        <v>1211196326.6120157</v>
      </c>
      <c r="H11" s="28"/>
      <c r="I11" s="28"/>
    </row>
    <row r="12" spans="1:9">
      <c r="A12" s="113">
        <f t="shared" ref="A12:A44" si="0">1+A11</f>
        <v>3</v>
      </c>
      <c r="B12" s="4" t="s">
        <v>189</v>
      </c>
      <c r="C12" s="23"/>
      <c r="D12" s="23"/>
      <c r="E12" s="23"/>
      <c r="F12" s="98">
        <f>+E12+D12+C12+'EXH KBH-3 P3.4'!I12+'EXH KBH-3 P3.4'!H12+'EXH KBH-3 P3.4'!G12+'EXH KBH-3 P3.4'!F12+'EXH KBH-3 P3.4'!E11+'EXH KBH-3 P3.4'!D12+'EXH KBH-3 P3.4'!C12+'EXH KBH-3 P3.3'!I12+'EXH KBH-3 P3.3'!H12+'EXH KBH-3 P3.3'!G12+'EXH KBH-3 P3.3'!F12+'EXH KBH-3 P3.3'!E12+'EXH KBH-3 P3.3'!D12+'EXH KBH-3 P3.3'!C12+'EXH KBH-3 P3.2'!I12+'EXH KBH-3 P3.2'!H12+'EXH KBH-3 P3.2'!G12+'EXH KBH-3 P3.2'!F12+'EXH KBH-3 P3.2'!E12+'EXH KBH-3 P3.2'!D12</f>
        <v>-49951005.50999999</v>
      </c>
      <c r="G12" s="98">
        <f>+F12+'EXH KBH-3 P3.2'!C12</f>
        <v>0</v>
      </c>
      <c r="I12" s="23"/>
    </row>
    <row r="13" spans="1:9">
      <c r="A13" s="113">
        <f t="shared" si="0"/>
        <v>4</v>
      </c>
      <c r="B13" s="4" t="s">
        <v>2</v>
      </c>
      <c r="C13" s="23"/>
      <c r="D13" s="23"/>
      <c r="E13" s="23"/>
      <c r="F13" s="98">
        <f>+E13+D13+C13+'EXH KBH-3 P3.4'!I13+'EXH KBH-3 P3.4'!H13+'EXH KBH-3 P3.4'!G13+'EXH KBH-3 P3.4'!F13+'EXH KBH-3 P3.4'!E12+'EXH KBH-3 P3.4'!D13+'EXH KBH-3 P3.4'!C13+'EXH KBH-3 P3.3'!I13+'EXH KBH-3 P3.3'!H13+'EXH KBH-3 P3.3'!G13+'EXH KBH-3 P3.3'!F13+'EXH KBH-3 P3.3'!E13+'EXH KBH-3 P3.3'!D13+'EXH KBH-3 P3.3'!C13+'EXH KBH-3 P3.2'!I13+'EXH KBH-3 P3.2'!H13+'EXH KBH-3 P3.2'!G13+'EXH KBH-3 P3.2'!F13+'EXH KBH-3 P3.2'!E13+'EXH KBH-3 P3.2'!D13</f>
        <v>-278297.67981011141</v>
      </c>
      <c r="G13" s="98">
        <f>+F13+'EXH KBH-3 P3.2'!C13</f>
        <v>17051562.680189889</v>
      </c>
      <c r="I13" s="23"/>
    </row>
    <row r="14" spans="1:9">
      <c r="A14" s="113">
        <f t="shared" si="0"/>
        <v>5</v>
      </c>
      <c r="B14" s="5" t="s">
        <v>3</v>
      </c>
      <c r="C14" s="30">
        <f>SUM(C11:C13)</f>
        <v>0</v>
      </c>
      <c r="D14" s="30">
        <f>SUM(D11:D13)</f>
        <v>0</v>
      </c>
      <c r="E14" s="30">
        <f t="shared" ref="E14:G14" si="1">SUM(E11:E13)</f>
        <v>0</v>
      </c>
      <c r="F14" s="30">
        <f t="shared" si="1"/>
        <v>11379632.84220558</v>
      </c>
      <c r="G14" s="30">
        <f t="shared" si="1"/>
        <v>1228247889.2922056</v>
      </c>
      <c r="I14" s="23"/>
    </row>
    <row r="15" spans="1:9">
      <c r="A15" s="113">
        <f t="shared" si="0"/>
        <v>6</v>
      </c>
      <c r="B15" s="4"/>
      <c r="H15" s="27"/>
      <c r="I15" s="27"/>
    </row>
    <row r="16" spans="1:9">
      <c r="A16" s="113">
        <f t="shared" si="0"/>
        <v>7</v>
      </c>
      <c r="B16" s="4" t="s">
        <v>190</v>
      </c>
      <c r="C16" s="23"/>
      <c r="D16" s="23" t="s">
        <v>50</v>
      </c>
      <c r="E16" s="23" t="s">
        <v>50</v>
      </c>
      <c r="F16" s="23" t="s">
        <v>50</v>
      </c>
      <c r="G16" s="23"/>
      <c r="I16" s="23"/>
    </row>
    <row r="17" spans="1:9">
      <c r="A17" s="113">
        <f t="shared" si="0"/>
        <v>8</v>
      </c>
      <c r="B17" s="4" t="s">
        <v>191</v>
      </c>
      <c r="C17" s="23"/>
      <c r="D17" s="23"/>
      <c r="E17" s="23"/>
      <c r="F17" s="23"/>
      <c r="G17" s="23"/>
      <c r="I17" s="23"/>
    </row>
    <row r="18" spans="1:9">
      <c r="A18" s="113">
        <f t="shared" si="0"/>
        <v>9</v>
      </c>
      <c r="B18" s="4" t="s">
        <v>192</v>
      </c>
      <c r="C18" s="27">
        <v>0</v>
      </c>
      <c r="D18" s="27">
        <v>0</v>
      </c>
      <c r="E18" s="125">
        <v>0</v>
      </c>
      <c r="F18" s="27">
        <f>+E18+D18+C18+'EXH KBH-3 P3.4'!I18+'EXH KBH-3 P3.4'!H18+'EXH KBH-3 P3.4'!G18+'EXH KBH-3 P3.4'!F18+'EXH KBH-3 P3.4'!E17+'EXH KBH-3 P3.4'!D18+'EXH KBH-3 P3.4'!C18+'EXH KBH-3 P3.3'!I18+'EXH KBH-3 P3.3'!H18+'EXH KBH-3 P3.3'!G18+'EXH KBH-3 P3.3'!F18+'EXH KBH-3 P3.3'!E18+'EXH KBH-3 P3.3'!D18+'EXH KBH-3 P3.3'!C18+'EXH KBH-3 P3.2'!I18+'EXH KBH-3 P3.2'!H18+'EXH KBH-3 P3.2'!G18+'EXH KBH-3 P3.2'!F18+'EXH KBH-3 P3.2'!E18+'EXH KBH-3 P3.2'!D18</f>
        <v>50189196.170110464</v>
      </c>
      <c r="G18" s="27">
        <f>+F18+'EXH KBH-3 P3.2'!C18</f>
        <v>788040254.1301105</v>
      </c>
      <c r="I18" s="23"/>
    </row>
    <row r="19" spans="1:9">
      <c r="A19" s="113">
        <f t="shared" si="0"/>
        <v>10</v>
      </c>
      <c r="B19" s="6" t="s">
        <v>4</v>
      </c>
      <c r="C19" s="31">
        <f>SUM(C18:C18)</f>
        <v>0</v>
      </c>
      <c r="D19" s="31">
        <f>SUM(D18:D18)</f>
        <v>0</v>
      </c>
      <c r="E19" s="31">
        <f>SUM(E18:E18)</f>
        <v>0</v>
      </c>
      <c r="F19" s="31">
        <f>SUM(F18:F18)</f>
        <v>50189196.170110464</v>
      </c>
      <c r="G19" s="31">
        <f>SUM(G18:G18)</f>
        <v>788040254.1301105</v>
      </c>
      <c r="H19" s="28"/>
      <c r="I19" s="27"/>
    </row>
    <row r="20" spans="1:9">
      <c r="A20" s="113">
        <f t="shared" si="0"/>
        <v>11</v>
      </c>
      <c r="B20" s="1"/>
      <c r="C20" s="23"/>
      <c r="D20" s="23"/>
      <c r="E20" s="23"/>
      <c r="F20" s="23"/>
      <c r="G20" s="23"/>
      <c r="I20" s="23"/>
    </row>
    <row r="21" spans="1:9">
      <c r="A21" s="113">
        <f t="shared" si="0"/>
        <v>12</v>
      </c>
      <c r="B21" s="1" t="s">
        <v>248</v>
      </c>
      <c r="C21" s="27">
        <f>+' Adj 9.21 P3.26'!E14+' Adj 9.21 P3.26'!E15+' Adj 9.21 P3.26'!E16</f>
        <v>-25346</v>
      </c>
      <c r="D21" s="27">
        <v>0</v>
      </c>
      <c r="E21" s="27">
        <v>0</v>
      </c>
      <c r="F21" s="27">
        <f>+E21+D21+C21+'EXH KBH-3 P3.4'!I21+'EXH KBH-3 P3.4'!H21+'EXH KBH-3 P3.4'!G21+'EXH KBH-3 P3.4'!F21+'EXH KBH-3 P3.4'!E20+'EXH KBH-3 P3.4'!D21+'EXH KBH-3 P3.4'!C21+'EXH KBH-3 P3.3'!I21+'EXH KBH-3 P3.3'!H21+'EXH KBH-3 P3.3'!G21+'EXH KBH-3 P3.3'!F21+'EXH KBH-3 P3.3'!E21+'EXH KBH-3 P3.3'!D21+'EXH KBH-3 P3.3'!C21+'EXH KBH-3 P3.2'!I21+'EXH KBH-3 P3.2'!H21+'EXH KBH-3 P3.2'!G21+'EXH KBH-3 P3.2'!F21+'EXH KBH-3 P3.2'!E21+'EXH KBH-3 P3.2'!D21</f>
        <v>23880</v>
      </c>
      <c r="G21" s="27">
        <f>+F21+'EXH KBH-3 P3.2'!C21</f>
        <v>1896997.13</v>
      </c>
      <c r="I21" s="23"/>
    </row>
    <row r="22" spans="1:9">
      <c r="A22" s="113">
        <f t="shared" si="0"/>
        <v>13</v>
      </c>
      <c r="B22" s="4" t="s">
        <v>6</v>
      </c>
      <c r="C22" s="23">
        <f>+' Adj 9.21 P3.26'!E17</f>
        <v>-3596</v>
      </c>
      <c r="D22" s="23"/>
      <c r="E22" s="23"/>
      <c r="F22" s="98">
        <f>+E22+D22+C22+'EXH KBH-3 P3.4'!I22+'EXH KBH-3 P3.4'!H22+'EXH KBH-3 P3.4'!G22+'EXH KBH-3 P3.4'!F22+'EXH KBH-3 P3.4'!E21+'EXH KBH-3 P3.4'!D22+'EXH KBH-3 P3.4'!C22+'EXH KBH-3 P3.3'!I22+'EXH KBH-3 P3.3'!H22+'EXH KBH-3 P3.3'!G22+'EXH KBH-3 P3.3'!F22+'EXH KBH-3 P3.3'!E22+'EXH KBH-3 P3.3'!D22+'EXH KBH-3 P3.3'!C22+'EXH KBH-3 P3.2'!I22+'EXH KBH-3 P3.2'!H22+'EXH KBH-3 P3.2'!G22+'EXH KBH-3 P3.2'!F22+'EXH KBH-3 P3.2'!E22+'EXH KBH-3 P3.2'!D22</f>
        <v>4041</v>
      </c>
      <c r="G22" s="98">
        <f>+F22+'EXH KBH-3 P3.2'!C22</f>
        <v>398321.38</v>
      </c>
      <c r="I22" s="23"/>
    </row>
    <row r="23" spans="1:9">
      <c r="A23" s="113">
        <f t="shared" si="0"/>
        <v>14</v>
      </c>
      <c r="B23" s="4" t="s">
        <v>7</v>
      </c>
      <c r="C23" s="23">
        <f>+' Adj 9.21 P3.26'!E18</f>
        <v>-437836</v>
      </c>
      <c r="D23" s="23"/>
      <c r="E23" s="23"/>
      <c r="F23" s="98">
        <f>+E23+D23+C23+'EXH KBH-3 P3.4'!I23+'EXH KBH-3 P3.4'!H23+'EXH KBH-3 P3.4'!G23+'EXH KBH-3 P3.4'!F23+'EXH KBH-3 P3.4'!E22+'EXH KBH-3 P3.4'!D23+'EXH KBH-3 P3.4'!C23+'EXH KBH-3 P3.3'!I23+'EXH KBH-3 P3.3'!H23+'EXH KBH-3 P3.3'!G23+'EXH KBH-3 P3.3'!F23+'EXH KBH-3 P3.3'!E23+'EXH KBH-3 P3.3'!D23+'EXH KBH-3 P3.3'!C23+'EXH KBH-3 P3.2'!I23+'EXH KBH-3 P3.2'!H23+'EXH KBH-3 P3.2'!G23+'EXH KBH-3 P3.2'!F23+'EXH KBH-3 P3.2'!E23+'EXH KBH-3 P3.2'!D23</f>
        <v>552348</v>
      </c>
      <c r="G23" s="98">
        <f>+F23+'EXH KBH-3 P3.2'!C23</f>
        <v>52165076.75</v>
      </c>
      <c r="H23" s="28"/>
      <c r="I23" s="28"/>
    </row>
    <row r="24" spans="1:9">
      <c r="A24" s="113">
        <f t="shared" si="0"/>
        <v>15</v>
      </c>
      <c r="B24" s="4" t="s">
        <v>529</v>
      </c>
      <c r="C24" s="23">
        <f>+' Adj 9.21 P3.26'!E19</f>
        <v>-154061</v>
      </c>
      <c r="D24" s="23"/>
      <c r="E24" s="23"/>
      <c r="F24" s="98">
        <f>+E24+D24+C24+'EXH KBH-3 P3.4'!I24+'EXH KBH-3 P3.4'!H24+'EXH KBH-3 P3.4'!G24+'EXH KBH-3 P3.4'!F24+'EXH KBH-3 P3.4'!E23+'EXH KBH-3 P3.4'!D24+'EXH KBH-3 P3.4'!C24+'EXH KBH-3 P3.3'!I24+'EXH KBH-3 P3.3'!H24+'EXH KBH-3 P3.3'!G24+'EXH KBH-3 P3.3'!F24+'EXH KBH-3 P3.3'!E24+'EXH KBH-3 P3.3'!D24+'EXH KBH-3 P3.3'!C24+'EXH KBH-3 P3.2'!I24+'EXH KBH-3 P3.2'!H24+'EXH KBH-3 P3.2'!G24+'EXH KBH-3 P3.2'!F24+'EXH KBH-3 P3.2'!E24+'EXH KBH-3 P3.2'!D24</f>
        <v>-499851.63130722044</v>
      </c>
      <c r="G24" s="98">
        <f>+F24+'EXH KBH-3 P3.2'!C24</f>
        <v>27677193.338080779</v>
      </c>
      <c r="I24" s="23"/>
    </row>
    <row r="25" spans="1:9">
      <c r="A25" s="113">
        <f t="shared" si="0"/>
        <v>16</v>
      </c>
      <c r="B25" s="4" t="s">
        <v>8</v>
      </c>
      <c r="C25" s="23">
        <f>+' Adj 9.21 P3.26'!E20+' Adj 9.21 P3.26'!E21</f>
        <v>-23856</v>
      </c>
      <c r="D25" s="23"/>
      <c r="E25" s="23"/>
      <c r="F25" s="98">
        <f>+E25+D25+C25+'EXH KBH-3 P3.4'!I25+'EXH KBH-3 P3.4'!H25+'EXH KBH-3 P3.4'!G25+'EXH KBH-3 P3.4'!F25+'EXH KBH-3 P3.4'!E24+'EXH KBH-3 P3.4'!D25+'EXH KBH-3 P3.4'!C25+'EXH KBH-3 P3.3'!I25+'EXH KBH-3 P3.3'!H25+'EXH KBH-3 P3.3'!G25+'EXH KBH-3 P3.3'!F25+'EXH KBH-3 P3.3'!E25+'EXH KBH-3 P3.3'!D25+'EXH KBH-3 P3.3'!C25+'EXH KBH-3 P3.2'!I25+'EXH KBH-3 P3.2'!H25+'EXH KBH-3 P3.2'!G25+'EXH KBH-3 P3.2'!F25+'EXH KBH-3 P3.2'!E25+'EXH KBH-3 P3.2'!D25</f>
        <v>-3403137</v>
      </c>
      <c r="G25" s="98">
        <f>+F25+'EXH KBH-3 P3.2'!C25</f>
        <v>1426423.0283300001</v>
      </c>
      <c r="H25" s="28"/>
      <c r="I25" s="27"/>
    </row>
    <row r="26" spans="1:9">
      <c r="A26" s="113">
        <f t="shared" si="0"/>
        <v>17</v>
      </c>
      <c r="B26" s="1" t="s">
        <v>9</v>
      </c>
      <c r="C26" s="23"/>
      <c r="D26" s="23"/>
      <c r="E26" s="23"/>
      <c r="F26" s="98">
        <f>+E26+D26+C26+'EXH KBH-3 P3.4'!I26+'EXH KBH-3 P3.4'!H26+'EXH KBH-3 P3.4'!G26+'EXH KBH-3 P3.4'!F26+'EXH KBH-3 P3.4'!E25+'EXH KBH-3 P3.4'!D26+'EXH KBH-3 P3.4'!C26+'EXH KBH-3 P3.3'!I26+'EXH KBH-3 P3.3'!H26+'EXH KBH-3 P3.3'!G26+'EXH KBH-3 P3.3'!F26+'EXH KBH-3 P3.3'!E26+'EXH KBH-3 P3.3'!D26+'EXH KBH-3 P3.3'!C26+'EXH KBH-3 P3.2'!I26+'EXH KBH-3 P3.2'!H26+'EXH KBH-3 P3.2'!G26+'EXH KBH-3 P3.2'!F26+'EXH KBH-3 P3.2'!E26+'EXH KBH-3 P3.2'!D26</f>
        <v>-7669601</v>
      </c>
      <c r="G26" s="98">
        <f>+F26+'EXH KBH-3 P3.2'!C26</f>
        <v>0.20000000018626451</v>
      </c>
      <c r="I26" s="23"/>
    </row>
    <row r="27" spans="1:9">
      <c r="A27" s="113">
        <f t="shared" si="0"/>
        <v>18</v>
      </c>
      <c r="B27" s="4" t="s">
        <v>10</v>
      </c>
      <c r="C27" s="23">
        <f>+' Adj 9.21 P3.26'!E22</f>
        <v>-232356</v>
      </c>
      <c r="D27" s="23">
        <f>+' Adj 9.22 P3.27'!E16</f>
        <v>-478634</v>
      </c>
      <c r="E27" s="23">
        <f>+' Adj 9.23 P3.28'!E20</f>
        <v>-1512141.171696</v>
      </c>
      <c r="F27" s="98">
        <f>+E27+D27+C27+'EXH KBH-3 P3.4'!I27+'EXH KBH-3 P3.4'!H27+'EXH KBH-3 P3.4'!G27+'EXH KBH-3 P3.4'!F27+'EXH KBH-3 P3.4'!E26+'EXH KBH-3 P3.4'!D27+'EXH KBH-3 P3.4'!C27+'EXH KBH-3 P3.3'!I27+'EXH KBH-3 P3.3'!H27+'EXH KBH-3 P3.3'!G27+'EXH KBH-3 P3.3'!F27+'EXH KBH-3 P3.3'!E27+'EXH KBH-3 P3.3'!D27+'EXH KBH-3 P3.3'!C27+'EXH KBH-3 P3.2'!I27+'EXH KBH-3 P3.2'!H27+'EXH KBH-3 P3.2'!G27+'EXH KBH-3 P3.2'!F27+'EXH KBH-3 P3.2'!E27+'EXH KBH-3 P3.2'!D27</f>
        <v>1051641.8905771617</v>
      </c>
      <c r="G27" s="98">
        <f>+F27+'EXH KBH-3 P3.2'!C27</f>
        <v>45267414.606088161</v>
      </c>
      <c r="I27" s="23"/>
    </row>
    <row r="28" spans="1:9">
      <c r="A28" s="113">
        <f t="shared" si="0"/>
        <v>19</v>
      </c>
      <c r="B28" s="4" t="s">
        <v>11</v>
      </c>
      <c r="C28" s="23"/>
      <c r="D28" s="23"/>
      <c r="E28" s="23">
        <f>+' Adj 9.23 P3.28'!E21</f>
        <v>440534.27241399232</v>
      </c>
      <c r="F28" s="98">
        <f>+E28+D28+C28+'EXH KBH-3 P3.4'!I28+'EXH KBH-3 P3.4'!H28+'EXH KBH-3 P3.4'!G28+'EXH KBH-3 P3.4'!F28+'EXH KBH-3 P3.4'!E27+'EXH KBH-3 P3.4'!D28+'EXH KBH-3 P3.4'!C28+'EXH KBH-3 P3.3'!I28+'EXH KBH-3 P3.3'!H28+'EXH KBH-3 P3.3'!G28+'EXH KBH-3 P3.3'!F28+'EXH KBH-3 P3.3'!E28+'EXH KBH-3 P3.3'!D28+'EXH KBH-3 P3.3'!C28+'EXH KBH-3 P3.2'!I28+'EXH KBH-3 P3.2'!H28+'EXH KBH-3 P3.2'!G28+'EXH KBH-3 P3.2'!F28+'EXH KBH-3 P3.2'!E28+'EXH KBH-3 P3.2'!D28</f>
        <v>6298798.0948673133</v>
      </c>
      <c r="G28" s="98">
        <f>+F28+'EXH KBH-3 P3.2'!C28</f>
        <v>88489736.552729309</v>
      </c>
      <c r="I28" s="23"/>
    </row>
    <row r="29" spans="1:9">
      <c r="A29" s="113">
        <f t="shared" si="0"/>
        <v>20</v>
      </c>
      <c r="B29" s="4" t="s">
        <v>12</v>
      </c>
      <c r="C29" s="23"/>
      <c r="D29" s="23"/>
      <c r="E29" s="23"/>
      <c r="F29" s="98">
        <f>+E29+D29+C29+'EXH KBH-3 P3.4'!I29+'EXH KBH-3 P3.4'!H29+'EXH KBH-3 P3.4'!G29+'EXH KBH-3 P3.4'!F29+'EXH KBH-3 P3.4'!E28+'EXH KBH-3 P3.4'!D29+'EXH KBH-3 P3.4'!C29+'EXH KBH-3 P3.3'!I29+'EXH KBH-3 P3.3'!H29+'EXH KBH-3 P3.3'!G29+'EXH KBH-3 P3.3'!F29+'EXH KBH-3 P3.3'!E29+'EXH KBH-3 P3.3'!D29+'EXH KBH-3 P3.3'!C29+'EXH KBH-3 P3.2'!I29+'EXH KBH-3 P3.2'!H29+'EXH KBH-3 P3.2'!G29+'EXH KBH-3 P3.2'!F29+'EXH KBH-3 P3.2'!E29+'EXH KBH-3 P3.2'!D29</f>
        <v>2.6489033189136535E-11</v>
      </c>
      <c r="G29" s="98">
        <f>+F29+'EXH KBH-3 P3.2'!C29</f>
        <v>15618788.142220002</v>
      </c>
      <c r="I29" s="23"/>
    </row>
    <row r="30" spans="1:9">
      <c r="A30" s="113">
        <f t="shared" si="0"/>
        <v>21</v>
      </c>
      <c r="B30" s="3" t="s">
        <v>13</v>
      </c>
      <c r="C30" s="23"/>
      <c r="D30" s="23"/>
      <c r="E30" s="23"/>
      <c r="F30" s="98">
        <f>+E30+D30+C30+'EXH KBH-3 P3.4'!I30+'EXH KBH-3 P3.4'!H30+'EXH KBH-3 P3.4'!G30+'EXH KBH-3 P3.4'!F30+'EXH KBH-3 P3.4'!E29+'EXH KBH-3 P3.4'!D30+'EXH KBH-3 P3.4'!C30+'EXH KBH-3 P3.3'!I30+'EXH KBH-3 P3.3'!H30+'EXH KBH-3 P3.3'!G30+'EXH KBH-3 P3.3'!F30+'EXH KBH-3 P3.3'!E30+'EXH KBH-3 P3.3'!D30+'EXH KBH-3 P3.3'!C30+'EXH KBH-3 P3.2'!I30+'EXH KBH-3 P3.2'!H30+'EXH KBH-3 P3.2'!G30+'EXH KBH-3 P3.2'!F30+'EXH KBH-3 P3.2'!E30+'EXH KBH-3 P3.2'!D30</f>
        <v>0</v>
      </c>
      <c r="G30" s="98">
        <f>+F30+'EXH KBH-3 P3.2'!C30</f>
        <v>0</v>
      </c>
      <c r="I30" s="23"/>
    </row>
    <row r="31" spans="1:9">
      <c r="A31" s="113">
        <f t="shared" si="0"/>
        <v>22</v>
      </c>
      <c r="B31" s="1" t="s">
        <v>14</v>
      </c>
      <c r="C31" s="23"/>
      <c r="D31" s="23"/>
      <c r="E31" s="23"/>
      <c r="F31" s="98">
        <f>+E31+D31+C31+'EXH KBH-3 P3.4'!I31+'EXH KBH-3 P3.4'!H31+'EXH KBH-3 P3.4'!G31+'EXH KBH-3 P3.4'!F31+'EXH KBH-3 P3.4'!E30+'EXH KBH-3 P3.4'!D31+'EXH KBH-3 P3.4'!C31+'EXH KBH-3 P3.3'!I31+'EXH KBH-3 P3.3'!H31+'EXH KBH-3 P3.3'!G31+'EXH KBH-3 P3.3'!F31+'EXH KBH-3 P3.3'!E31+'EXH KBH-3 P3.3'!D31+'EXH KBH-3 P3.3'!C31+'EXH KBH-3 P3.2'!I31+'EXH KBH-3 P3.2'!H31+'EXH KBH-3 P3.2'!G31+'EXH KBH-3 P3.2'!F31+'EXH KBH-3 P3.2'!E31+'EXH KBH-3 P3.2'!D31</f>
        <v>-932758.61</v>
      </c>
      <c r="G31" s="98">
        <f>+F31+'EXH KBH-3 P3.2'!C31</f>
        <v>-151354.68999999994</v>
      </c>
      <c r="H31" s="23"/>
      <c r="I31" s="23"/>
    </row>
    <row r="32" spans="1:9">
      <c r="A32" s="113">
        <f t="shared" si="0"/>
        <v>23</v>
      </c>
      <c r="B32" s="1" t="s">
        <v>15</v>
      </c>
      <c r="C32" s="23"/>
      <c r="D32" s="23"/>
      <c r="E32" s="23"/>
      <c r="F32" s="98">
        <f>+E32+D32+C32+'EXH KBH-3 P3.4'!I32+'EXH KBH-3 P3.4'!H32+'EXH KBH-3 P3.4'!G32+'EXH KBH-3 P3.4'!F32+'EXH KBH-3 P3.4'!E31+'EXH KBH-3 P3.4'!D32+'EXH KBH-3 P3.4'!C32+'EXH KBH-3 P3.3'!I32+'EXH KBH-3 P3.3'!H32+'EXH KBH-3 P3.3'!G32+'EXH KBH-3 P3.3'!F32+'EXH KBH-3 P3.3'!E32+'EXH KBH-3 P3.3'!D32+'EXH KBH-3 P3.3'!C32+'EXH KBH-3 P3.2'!I32+'EXH KBH-3 P3.2'!H32+'EXH KBH-3 P3.2'!G32+'EXH KBH-3 P3.2'!F32+'EXH KBH-3 P3.2'!E32+'EXH KBH-3 P3.2'!D32</f>
        <v>0</v>
      </c>
      <c r="G32" s="98">
        <f>+F32+'EXH KBH-3 P3.2'!C32</f>
        <v>0</v>
      </c>
      <c r="I32" s="23"/>
    </row>
    <row r="33" spans="1:9">
      <c r="A33" s="113">
        <f t="shared" si="0"/>
        <v>24</v>
      </c>
      <c r="B33" s="4" t="s">
        <v>16</v>
      </c>
      <c r="C33" s="23">
        <f>+' Adj 9.21 P3.26'!E25</f>
        <v>-70311</v>
      </c>
      <c r="D33" s="23"/>
      <c r="E33" s="23"/>
      <c r="F33" s="98">
        <f>+E33+D33+C33+'EXH KBH-3 P3.4'!I33+'EXH KBH-3 P3.4'!H33+'EXH KBH-3 P3.4'!G33+'EXH KBH-3 P3.4'!F33+'EXH KBH-3 P3.4'!E32+'EXH KBH-3 P3.4'!D33+'EXH KBH-3 P3.4'!C33+'EXH KBH-3 P3.3'!I33+'EXH KBH-3 P3.3'!H33+'EXH KBH-3 P3.3'!G33+'EXH KBH-3 P3.3'!F33+'EXH KBH-3 P3.3'!E33+'EXH KBH-3 P3.3'!D33+'EXH KBH-3 P3.3'!C33+'EXH KBH-3 P3.2'!I33+'EXH KBH-3 P3.2'!H33+'EXH KBH-3 P3.2'!G33+'EXH KBH-3 P3.2'!F33+'EXH KBH-3 P3.2'!E33+'EXH KBH-3 P3.2'!D33</f>
        <v>-48920576.776705377</v>
      </c>
      <c r="G33" s="98">
        <f>+F33+'EXH KBH-3 P3.2'!C33</f>
        <v>59489585.415870629</v>
      </c>
      <c r="I33" s="23"/>
    </row>
    <row r="34" spans="1:9">
      <c r="A34" s="113">
        <f t="shared" si="0"/>
        <v>25</v>
      </c>
      <c r="B34" s="4" t="s">
        <v>17</v>
      </c>
      <c r="C34" s="23">
        <f>+' Adj 9.21 P3.26'!E30</f>
        <v>331577</v>
      </c>
      <c r="D34" s="23">
        <f>+' Adj 9.22 P3.27'!E20</f>
        <v>167521.9</v>
      </c>
      <c r="E34" s="23">
        <f>+' Adj 9.23 P3.28'!E27</f>
        <v>375062</v>
      </c>
      <c r="F34" s="98">
        <f>+E34+D34+C34+'EXH KBH-3 P3.4'!I34+'EXH KBH-3 P3.4'!H34+'EXH KBH-3 P3.4'!G34+'EXH KBH-3 P3.4'!F34+'EXH KBH-3 P3.4'!E33+'EXH KBH-3 P3.4'!D34+'EXH KBH-3 P3.4'!C34+'EXH KBH-3 P3.3'!I34+'EXH KBH-3 P3.3'!H34+'EXH KBH-3 P3.3'!G34+'EXH KBH-3 P3.3'!F34+'EXH KBH-3 P3.3'!E34+'EXH KBH-3 P3.3'!D34+'EXH KBH-3 P3.3'!C34+'EXH KBH-3 P3.2'!I34+'EXH KBH-3 P3.2'!H34+'EXH KBH-3 P3.2'!G34+'EXH KBH-3 P3.2'!F34+'EXH KBH-3 P3.2'!E34+'EXH KBH-3 P3.2'!D34</f>
        <v>16625059.105798628</v>
      </c>
      <c r="G34" s="98">
        <f>+F34+'EXH KBH-3 P3.2'!C34</f>
        <v>-5359824.8942013718</v>
      </c>
      <c r="I34" s="23"/>
    </row>
    <row r="35" spans="1:9">
      <c r="A35" s="113">
        <f t="shared" si="0"/>
        <v>26</v>
      </c>
      <c r="B35" s="4" t="s">
        <v>18</v>
      </c>
      <c r="C35" s="23"/>
      <c r="D35" s="23"/>
      <c r="E35" s="23"/>
      <c r="F35" s="98">
        <f>+E35+D35+C35+'EXH KBH-3 P3.4'!I35+'EXH KBH-3 P3.4'!H35+'EXH KBH-3 P3.4'!G35+'EXH KBH-3 P3.4'!F35+'EXH KBH-3 P3.4'!E34+'EXH KBH-3 P3.4'!D35+'EXH KBH-3 P3.4'!C35+'EXH KBH-3 P3.3'!I35+'EXH KBH-3 P3.3'!H35+'EXH KBH-3 P3.3'!G35+'EXH KBH-3 P3.3'!F35+'EXH KBH-3 P3.3'!E35+'EXH KBH-3 P3.3'!D35+'EXH KBH-3 P3.3'!C35+'EXH KBH-3 P3.2'!I35+'EXH KBH-3 P3.2'!H35+'EXH KBH-3 P3.2'!G35+'EXH KBH-3 P3.2'!F35+'EXH KBH-3 P3.2'!E35+'EXH KBH-3 P3.2'!D35</f>
        <v>-1827805.2324228685</v>
      </c>
      <c r="G35" s="98">
        <f>+F35+'EXH KBH-3 P3.2'!C35</f>
        <v>42050678.686977133</v>
      </c>
      <c r="I35" s="23"/>
    </row>
    <row r="36" spans="1:9">
      <c r="A36" s="113">
        <f t="shared" si="0"/>
        <v>27</v>
      </c>
      <c r="B36" s="7" t="s">
        <v>19</v>
      </c>
      <c r="C36" s="31">
        <f>SUM(C19:C35)</f>
        <v>-615785</v>
      </c>
      <c r="D36" s="31">
        <f>SUM(D19:D35)</f>
        <v>-311112.09999999998</v>
      </c>
      <c r="E36" s="31">
        <f>SUM(E19:E35)</f>
        <v>-696544.89928200771</v>
      </c>
      <c r="F36" s="31">
        <f>SUM(F19:F35)</f>
        <v>11491234.010918098</v>
      </c>
      <c r="G36" s="31">
        <f>SUM(G19:G35)</f>
        <v>1117009289.7762053</v>
      </c>
      <c r="I36" s="23"/>
    </row>
    <row r="37" spans="1:9">
      <c r="A37" s="113">
        <f t="shared" si="0"/>
        <v>28</v>
      </c>
      <c r="B37" s="7"/>
      <c r="C37" s="16"/>
      <c r="D37" s="16"/>
      <c r="E37" s="16"/>
      <c r="F37" s="16"/>
      <c r="G37" s="16"/>
      <c r="I37" s="23"/>
    </row>
    <row r="38" spans="1:9" ht="16.5" thickBot="1">
      <c r="A38" s="113">
        <f t="shared" si="0"/>
        <v>29</v>
      </c>
      <c r="B38" s="8" t="s">
        <v>20</v>
      </c>
      <c r="C38" s="32">
        <f>+C14-C36</f>
        <v>615785</v>
      </c>
      <c r="D38" s="32">
        <f>+D14-D36</f>
        <v>311112.09999999998</v>
      </c>
      <c r="E38" s="32">
        <f>+E14-E36</f>
        <v>696544.89928200771</v>
      </c>
      <c r="F38" s="32">
        <f>+F14-F36</f>
        <v>-111601.16871251725</v>
      </c>
      <c r="G38" s="32">
        <f>+G14-G36</f>
        <v>111238599.51600027</v>
      </c>
      <c r="H38" s="29"/>
      <c r="I38" s="23"/>
    </row>
    <row r="39" spans="1:9" ht="16.5" thickTop="1">
      <c r="A39" s="113">
        <f t="shared" si="0"/>
        <v>30</v>
      </c>
      <c r="B39" s="4"/>
      <c r="I39" s="23"/>
    </row>
    <row r="40" spans="1:9">
      <c r="A40" s="113">
        <f t="shared" si="0"/>
        <v>31</v>
      </c>
      <c r="B40" s="5" t="s">
        <v>21</v>
      </c>
      <c r="C40" s="23"/>
      <c r="D40" s="23"/>
      <c r="E40" s="23"/>
      <c r="F40" s="23"/>
      <c r="G40" s="23"/>
      <c r="H40" s="28"/>
      <c r="I40" s="27"/>
    </row>
    <row r="41" spans="1:9">
      <c r="A41" s="113">
        <f t="shared" si="0"/>
        <v>32</v>
      </c>
      <c r="B41" s="4" t="s">
        <v>528</v>
      </c>
      <c r="C41" s="27">
        <v>0</v>
      </c>
      <c r="D41" s="27">
        <v>0</v>
      </c>
      <c r="E41" s="27">
        <f>+' Adj 9.23 P3.28'!E13</f>
        <v>4805828.4263344631</v>
      </c>
      <c r="F41" s="98">
        <f>+E41+D41+C41+'EXH KBH-3 P3.4'!I41+'EXH KBH-3 P3.4'!H41+'EXH KBH-3 P3.4'!G41+'EXH KBH-3 P3.4'!F41+'EXH KBH-3 P3.4'!E40+'EXH KBH-3 P3.4'!D41+'EXH KBH-3 P3.4'!C41+'EXH KBH-3 P3.3'!I41+'EXH KBH-3 P3.3'!H41+'EXH KBH-3 P3.3'!G41+'EXH KBH-3 P3.3'!F41+'EXH KBH-3 P3.3'!E41+'EXH KBH-3 P3.3'!D41+'EXH KBH-3 P3.3'!C41+'EXH KBH-3 P3.2'!I41+'EXH KBH-3 P3.2'!H41+'EXH KBH-3 P3.2'!G41+'EXH KBH-3 P3.2'!F41+'EXH KBH-3 P3.2'!E41+'EXH KBH-3 P3.2'!D41</f>
        <v>4805828.4263344631</v>
      </c>
      <c r="G41" s="27">
        <f>+F41+'EXH KBH-3 P3.2'!C41</f>
        <v>2501335392.4263344</v>
      </c>
      <c r="I41" s="23"/>
    </row>
    <row r="42" spans="1:9">
      <c r="A42" s="113">
        <f t="shared" si="0"/>
        <v>33</v>
      </c>
      <c r="B42" s="4" t="s">
        <v>22</v>
      </c>
      <c r="C42" s="23"/>
      <c r="D42" s="23"/>
      <c r="E42" s="23">
        <f>+' Adj 9.23 P3.28'!E14</f>
        <v>-330401</v>
      </c>
      <c r="F42" s="98">
        <f>+E42+D42+C42+'EXH KBH-3 P3.4'!I42+'EXH KBH-3 P3.4'!H42+'EXH KBH-3 P3.4'!G42+'EXH KBH-3 P3.4'!F42+'EXH KBH-3 P3.4'!E41+'EXH KBH-3 P3.4'!D42+'EXH KBH-3 P3.4'!C42+'EXH KBH-3 P3.3'!I42+'EXH KBH-3 P3.3'!H42+'EXH KBH-3 P3.3'!G42+'EXH KBH-3 P3.3'!F42+'EXH KBH-3 P3.3'!E42+'EXH KBH-3 P3.3'!D42+'EXH KBH-3 P3.3'!C42+'EXH KBH-3 P3.2'!I42+'EXH KBH-3 P3.2'!H42+'EXH KBH-3 P3.2'!G42+'EXH KBH-3 P3.2'!F42+'EXH KBH-3 P3.2'!E42+'EXH KBH-3 P3.2'!D42</f>
        <v>-3439575.3211939898</v>
      </c>
      <c r="G42" s="98">
        <f>+F42+'EXH KBH-3 P3.2'!C42</f>
        <v>-840759619.32119393</v>
      </c>
      <c r="H42" s="27"/>
      <c r="I42" s="27"/>
    </row>
    <row r="43" spans="1:9">
      <c r="A43" s="113">
        <f t="shared" si="0"/>
        <v>34</v>
      </c>
      <c r="B43" s="4" t="s">
        <v>23</v>
      </c>
      <c r="C43" s="23"/>
      <c r="D43" s="23"/>
      <c r="E43" s="23">
        <f>+' Adj 9.23 P3.28'!E15</f>
        <v>-397569</v>
      </c>
      <c r="F43" s="98">
        <f>+E43+D43+C43+'EXH KBH-3 P3.4'!I43+'EXH KBH-3 P3.4'!H43+'EXH KBH-3 P3.4'!G43+'EXH KBH-3 P3.4'!F43+'EXH KBH-3 P3.4'!E42+'EXH KBH-3 P3.4'!D43+'EXH KBH-3 P3.4'!C43+'EXH KBH-3 P3.3'!I43+'EXH KBH-3 P3.3'!H43+'EXH KBH-3 P3.3'!G43+'EXH KBH-3 P3.3'!F43+'EXH KBH-3 P3.3'!E43+'EXH KBH-3 P3.3'!D43+'EXH KBH-3 P3.3'!C43+'EXH KBH-3 P3.2'!I43+'EXH KBH-3 P3.2'!H43+'EXH KBH-3 P3.2'!G43+'EXH KBH-3 P3.2'!F43+'EXH KBH-3 P3.2'!E43+'EXH KBH-3 P3.2'!D43</f>
        <v>-1018707.0416666666</v>
      </c>
      <c r="G43" s="98">
        <f>+F43+'EXH KBH-3 P3.2'!C43</f>
        <v>-209964756.04166666</v>
      </c>
      <c r="I43" s="23"/>
    </row>
    <row r="44" spans="1:9">
      <c r="A44" s="113">
        <f t="shared" si="0"/>
        <v>35</v>
      </c>
      <c r="B44" s="4" t="s">
        <v>25</v>
      </c>
      <c r="C44" s="23"/>
      <c r="D44" s="23"/>
      <c r="E44" s="23"/>
      <c r="F44" s="98">
        <f>+E44+D44+C44+'EXH KBH-3 P3.4'!I44+'EXH KBH-3 P3.4'!H44+'EXH KBH-3 P3.4'!G44+'EXH KBH-3 P3.4'!F44+'EXH KBH-3 P3.4'!E43+'EXH KBH-3 P3.4'!D44+'EXH KBH-3 P3.4'!C44+'EXH KBH-3 P3.3'!I44+'EXH KBH-3 P3.3'!H44+'EXH KBH-3 P3.3'!G44+'EXH KBH-3 P3.3'!F44+'EXH KBH-3 P3.3'!E44+'EXH KBH-3 P3.3'!D44+'EXH KBH-3 P3.3'!C44+'EXH KBH-3 P3.2'!I44+'EXH KBH-3 P3.2'!H44+'EXH KBH-3 P3.2'!G44+'EXH KBH-3 P3.2'!F44+'EXH KBH-3 P3.2'!E44+'EXH KBH-3 P3.2'!D44</f>
        <v>-8796188.4849999957</v>
      </c>
      <c r="G44" s="98">
        <f>+F44+'EXH KBH-3 P3.2'!C44</f>
        <v>-35825049.484999999</v>
      </c>
      <c r="I44" s="23"/>
    </row>
    <row r="45" spans="1:9">
      <c r="A45" s="113">
        <f>1+A44</f>
        <v>36</v>
      </c>
      <c r="B45" s="4" t="s">
        <v>193</v>
      </c>
      <c r="C45" s="30">
        <f t="shared" ref="C45:F45" si="2">SUM(C41:C44)</f>
        <v>0</v>
      </c>
      <c r="D45" s="30">
        <f t="shared" si="2"/>
        <v>0</v>
      </c>
      <c r="E45" s="30">
        <f t="shared" si="2"/>
        <v>4077858.4263344631</v>
      </c>
      <c r="F45" s="30">
        <f t="shared" si="2"/>
        <v>-8448642.4215261899</v>
      </c>
      <c r="G45" s="30">
        <f>SUM(G41:G44)</f>
        <v>1414785967.5784738</v>
      </c>
      <c r="H45" s="28"/>
      <c r="I45" s="27"/>
    </row>
    <row r="46" spans="1:9">
      <c r="A46" s="113">
        <f t="shared" ref="A46:A47" si="3">1+A45</f>
        <v>37</v>
      </c>
      <c r="B46" s="4" t="s">
        <v>24</v>
      </c>
      <c r="C46" s="23"/>
      <c r="D46" s="23"/>
      <c r="E46" s="23"/>
      <c r="F46" s="98">
        <f>+E46+D46+C46+'EXH KBH-3 P3.4'!I46+'EXH KBH-3 P3.4'!H46+'EXH KBH-3 P3.4'!G46+'EXH KBH-3 P3.4'!F46+'EXH KBH-3 P3.4'!E45+'EXH KBH-3 P3.4'!D46+'EXH KBH-3 P3.4'!C46+'EXH KBH-3 P3.3'!I46+'EXH KBH-3 P3.3'!H46+'EXH KBH-3 P3.3'!G46+'EXH KBH-3 P3.3'!F46+'EXH KBH-3 P3.3'!E46+'EXH KBH-3 P3.3'!D46+'EXH KBH-3 P3.3'!C46+'EXH KBH-3 P3.2'!I46+'EXH KBH-3 P3.2'!H46+'EXH KBH-3 P3.2'!G46+'EXH KBH-3 P3.2'!F46+'EXH KBH-3 P3.2'!E46+'EXH KBH-3 P3.2'!D46</f>
        <v>1628997.9547713771</v>
      </c>
      <c r="G46" s="98">
        <f>+F46+'EXH KBH-3 P3.2'!C46</f>
        <v>52905687.954771377</v>
      </c>
      <c r="I46" s="23"/>
    </row>
    <row r="47" spans="1:9" ht="16.5" thickBot="1">
      <c r="A47" s="113">
        <f t="shared" si="3"/>
        <v>38</v>
      </c>
      <c r="B47" s="4" t="s">
        <v>26</v>
      </c>
      <c r="C47" s="32">
        <f>+C46+C45</f>
        <v>0</v>
      </c>
      <c r="D47" s="32">
        <f t="shared" ref="D47:G47" si="4">+D46+D45</f>
        <v>0</v>
      </c>
      <c r="E47" s="32">
        <f t="shared" si="4"/>
        <v>4077858.4263344631</v>
      </c>
      <c r="F47" s="32">
        <f t="shared" si="4"/>
        <v>-6819644.4667548127</v>
      </c>
      <c r="G47" s="32">
        <f t="shared" si="4"/>
        <v>1467691655.5332451</v>
      </c>
      <c r="I47" s="23"/>
    </row>
    <row r="48" spans="1:9" ht="16.5" thickTop="1">
      <c r="A48" s="25"/>
      <c r="B48" s="25"/>
    </row>
  </sheetData>
  <mergeCells count="4">
    <mergeCell ref="A2:I2"/>
    <mergeCell ref="A3:I3"/>
    <mergeCell ref="A4:I4"/>
    <mergeCell ref="A5:I5"/>
  </mergeCells>
  <pageMargins left="0.75" right="0.75" top="0.75" bottom="0.5" header="0.3" footer="0.3"/>
  <pageSetup scale="65" orientation="landscape" r:id="rId1"/>
  <headerFooter scaleWithDoc="0">
    <oddHeader>&amp;R&amp;"Times New Roman,Regular"&amp;12UE-090704
Exhibit No. KHB-3
Page 3.5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2.5703125" style="2" customWidth="1"/>
    <col min="6" max="6" width="14.7109375" style="2" customWidth="1"/>
    <col min="7" max="16384" width="9.140625" style="2"/>
  </cols>
  <sheetData>
    <row r="1" spans="1:6">
      <c r="A1" s="2" t="s">
        <v>466</v>
      </c>
    </row>
    <row r="2" spans="1:6">
      <c r="A2" s="2" t="s">
        <v>464</v>
      </c>
    </row>
    <row r="4" spans="1:6">
      <c r="A4" s="116" t="s">
        <v>50</v>
      </c>
      <c r="B4" s="116"/>
      <c r="C4" s="116"/>
      <c r="D4" s="116"/>
      <c r="E4" s="116"/>
      <c r="F4" s="116"/>
    </row>
    <row r="5" spans="1:6">
      <c r="A5" s="114" t="s">
        <v>249</v>
      </c>
      <c r="B5" s="115"/>
      <c r="C5" s="115"/>
      <c r="D5" s="115"/>
      <c r="E5" s="115"/>
      <c r="F5" s="115"/>
    </row>
    <row r="6" spans="1:6">
      <c r="A6" s="114" t="s">
        <v>270</v>
      </c>
      <c r="B6" s="114"/>
      <c r="C6" s="114"/>
      <c r="D6" s="114"/>
      <c r="E6" s="115"/>
      <c r="F6" s="156"/>
    </row>
    <row r="7" spans="1:6">
      <c r="A7" s="115" t="s">
        <v>250</v>
      </c>
      <c r="B7" s="114"/>
      <c r="C7" s="114"/>
      <c r="D7" s="114"/>
      <c r="E7" s="115"/>
      <c r="F7" s="157"/>
    </row>
    <row r="8" spans="1:6">
      <c r="A8" s="114" t="s">
        <v>111</v>
      </c>
      <c r="B8" s="114"/>
      <c r="C8" s="114"/>
      <c r="D8" s="114"/>
      <c r="E8" s="115"/>
      <c r="F8" s="115"/>
    </row>
    <row r="9" spans="1:6">
      <c r="A9" s="116"/>
      <c r="B9" s="116"/>
      <c r="C9" s="116"/>
      <c r="D9" s="116"/>
      <c r="E9" s="116"/>
      <c r="F9" s="116"/>
    </row>
    <row r="10" spans="1:6">
      <c r="A10" s="119" t="s">
        <v>112</v>
      </c>
      <c r="B10" s="140"/>
      <c r="C10" s="116"/>
      <c r="D10" s="116"/>
      <c r="E10" s="119"/>
      <c r="F10" s="119"/>
    </row>
    <row r="11" spans="1:6">
      <c r="A11" s="127" t="s">
        <v>115</v>
      </c>
      <c r="B11" s="158" t="s">
        <v>116</v>
      </c>
      <c r="C11" s="127" t="s">
        <v>251</v>
      </c>
      <c r="D11" s="127" t="s">
        <v>252</v>
      </c>
      <c r="E11" s="127" t="s">
        <v>117</v>
      </c>
      <c r="F11" s="127"/>
    </row>
    <row r="12" spans="1:6">
      <c r="A12" s="118"/>
      <c r="B12" s="159"/>
      <c r="C12" s="159"/>
      <c r="D12" s="137"/>
      <c r="E12" s="117"/>
      <c r="F12" s="117"/>
    </row>
    <row r="13" spans="1:6">
      <c r="A13" s="118">
        <v>1</v>
      </c>
      <c r="B13" s="130" t="s">
        <v>253</v>
      </c>
      <c r="C13" s="124"/>
      <c r="D13" s="124"/>
      <c r="E13" s="126"/>
      <c r="F13" s="117"/>
    </row>
    <row r="14" spans="1:6">
      <c r="A14" s="118">
        <f>+A13+1</f>
        <v>2</v>
      </c>
      <c r="B14" s="126"/>
      <c r="C14" s="160" t="s">
        <v>251</v>
      </c>
      <c r="D14" s="161" t="s">
        <v>254</v>
      </c>
      <c r="E14" s="162" t="s">
        <v>255</v>
      </c>
      <c r="F14" s="117"/>
    </row>
    <row r="15" spans="1:6">
      <c r="A15" s="118">
        <f t="shared" ref="A15:A56" si="0">+A14+1</f>
        <v>3</v>
      </c>
      <c r="B15" s="126"/>
      <c r="C15" s="163" t="s">
        <v>255</v>
      </c>
      <c r="D15" s="164" t="s">
        <v>255</v>
      </c>
      <c r="E15" s="165" t="s">
        <v>256</v>
      </c>
      <c r="F15" s="117"/>
    </row>
    <row r="16" spans="1:6">
      <c r="A16" s="118">
        <f t="shared" si="0"/>
        <v>4</v>
      </c>
      <c r="B16" s="166">
        <v>39478</v>
      </c>
      <c r="C16" s="167">
        <v>168295469</v>
      </c>
      <c r="D16" s="167">
        <v>154988222</v>
      </c>
      <c r="E16" s="168">
        <f t="shared" ref="E16:E27" si="1">+D16-C16</f>
        <v>-13307247</v>
      </c>
      <c r="F16" s="117"/>
    </row>
    <row r="17" spans="1:6">
      <c r="A17" s="118">
        <f t="shared" si="0"/>
        <v>5</v>
      </c>
      <c r="B17" s="166">
        <v>39507</v>
      </c>
      <c r="C17" s="167">
        <v>138172032</v>
      </c>
      <c r="D17" s="167">
        <v>140517165</v>
      </c>
      <c r="E17" s="169">
        <f t="shared" si="1"/>
        <v>2345133</v>
      </c>
      <c r="F17" s="134"/>
    </row>
    <row r="18" spans="1:6">
      <c r="A18" s="118">
        <f t="shared" si="0"/>
        <v>6</v>
      </c>
      <c r="B18" s="166">
        <v>39538</v>
      </c>
      <c r="C18" s="167">
        <v>131490969</v>
      </c>
      <c r="D18" s="167">
        <v>115895730</v>
      </c>
      <c r="E18" s="169">
        <f t="shared" si="1"/>
        <v>-15595239</v>
      </c>
      <c r="F18" s="117"/>
    </row>
    <row r="19" spans="1:6">
      <c r="A19" s="118">
        <f t="shared" si="0"/>
        <v>7</v>
      </c>
      <c r="B19" s="166">
        <v>39568</v>
      </c>
      <c r="C19" s="167">
        <v>109964622</v>
      </c>
      <c r="D19" s="167">
        <v>95180930</v>
      </c>
      <c r="E19" s="169">
        <f t="shared" si="1"/>
        <v>-14783692</v>
      </c>
      <c r="F19" s="117"/>
    </row>
    <row r="20" spans="1:6">
      <c r="A20" s="118">
        <f t="shared" si="0"/>
        <v>8</v>
      </c>
      <c r="B20" s="166">
        <v>39599</v>
      </c>
      <c r="C20" s="167">
        <v>76590248</v>
      </c>
      <c r="D20" s="167">
        <v>76738761</v>
      </c>
      <c r="E20" s="169">
        <f t="shared" si="1"/>
        <v>148513</v>
      </c>
      <c r="F20" s="117"/>
    </row>
    <row r="21" spans="1:6">
      <c r="A21" s="118">
        <f t="shared" si="0"/>
        <v>9</v>
      </c>
      <c r="B21" s="166">
        <v>39629</v>
      </c>
      <c r="C21" s="167">
        <v>57746204</v>
      </c>
      <c r="D21" s="167">
        <v>52990507</v>
      </c>
      <c r="E21" s="169">
        <f t="shared" si="1"/>
        <v>-4755697</v>
      </c>
      <c r="F21" s="117"/>
    </row>
    <row r="22" spans="1:6">
      <c r="A22" s="118">
        <f t="shared" si="0"/>
        <v>10</v>
      </c>
      <c r="B22" s="166">
        <v>39660</v>
      </c>
      <c r="C22" s="167">
        <v>44469072</v>
      </c>
      <c r="D22" s="167">
        <v>44469072</v>
      </c>
      <c r="E22" s="169">
        <f t="shared" si="1"/>
        <v>0</v>
      </c>
      <c r="F22" s="117"/>
    </row>
    <row r="23" spans="1:6">
      <c r="A23" s="118">
        <f t="shared" si="0"/>
        <v>11</v>
      </c>
      <c r="B23" s="166">
        <v>39691</v>
      </c>
      <c r="C23" s="167">
        <v>44755273</v>
      </c>
      <c r="D23" s="167">
        <v>44755273</v>
      </c>
      <c r="E23" s="169">
        <f t="shared" si="1"/>
        <v>0</v>
      </c>
      <c r="F23" s="117"/>
    </row>
    <row r="24" spans="1:6">
      <c r="A24" s="118">
        <f t="shared" si="0"/>
        <v>12</v>
      </c>
      <c r="B24" s="166">
        <v>39721</v>
      </c>
      <c r="C24" s="167">
        <v>52251636</v>
      </c>
      <c r="D24" s="167">
        <v>52894735</v>
      </c>
      <c r="E24" s="169">
        <f t="shared" si="1"/>
        <v>643099</v>
      </c>
      <c r="F24" s="117"/>
    </row>
    <row r="25" spans="1:6">
      <c r="A25" s="118">
        <f t="shared" si="0"/>
        <v>13</v>
      </c>
      <c r="B25" s="166">
        <v>39752</v>
      </c>
      <c r="C25" s="167">
        <v>82272893</v>
      </c>
      <c r="D25" s="170">
        <v>79217192</v>
      </c>
      <c r="E25" s="169">
        <f t="shared" si="1"/>
        <v>-3055701</v>
      </c>
      <c r="F25" s="117"/>
    </row>
    <row r="26" spans="1:6">
      <c r="A26" s="118">
        <f>+A25+1</f>
        <v>14</v>
      </c>
      <c r="B26" s="166">
        <v>39782</v>
      </c>
      <c r="C26" s="167">
        <v>104695969</v>
      </c>
      <c r="D26" s="170">
        <v>121277545</v>
      </c>
      <c r="E26" s="169">
        <f t="shared" si="1"/>
        <v>16581576</v>
      </c>
      <c r="F26" s="117"/>
    </row>
    <row r="27" spans="1:6">
      <c r="A27" s="118">
        <f t="shared" si="0"/>
        <v>15</v>
      </c>
      <c r="B27" s="166">
        <v>39813</v>
      </c>
      <c r="C27" s="171">
        <v>157188316</v>
      </c>
      <c r="D27" s="171">
        <v>141383989</v>
      </c>
      <c r="E27" s="172">
        <f t="shared" si="1"/>
        <v>-15804327</v>
      </c>
      <c r="F27" s="117"/>
    </row>
    <row r="28" spans="1:6">
      <c r="A28" s="118">
        <f t="shared" si="0"/>
        <v>16</v>
      </c>
      <c r="B28" s="126"/>
      <c r="C28" s="173">
        <f>ROUND(SUM(C16:C27),0)</f>
        <v>1167892703</v>
      </c>
      <c r="D28" s="173">
        <f>ROUND(SUM(D16:D27),0)</f>
        <v>1120309121</v>
      </c>
      <c r="E28" s="173">
        <f>ROUND(SUM(E16:E27),0)</f>
        <v>-47583582</v>
      </c>
      <c r="F28" s="117"/>
    </row>
    <row r="29" spans="1:6">
      <c r="A29" s="118">
        <f t="shared" si="0"/>
        <v>17</v>
      </c>
      <c r="B29" s="126"/>
      <c r="C29" s="174"/>
      <c r="D29" s="174"/>
      <c r="E29" s="126"/>
      <c r="F29" s="117"/>
    </row>
    <row r="30" spans="1:6">
      <c r="A30" s="118">
        <f t="shared" si="0"/>
        <v>18</v>
      </c>
      <c r="B30" s="126" t="s">
        <v>257</v>
      </c>
      <c r="C30" s="175" t="s">
        <v>258</v>
      </c>
      <c r="D30" s="176"/>
      <c r="E30" s="177">
        <v>-39901123.202315927</v>
      </c>
      <c r="F30" s="126"/>
    </row>
    <row r="31" spans="1:6">
      <c r="A31" s="118">
        <f t="shared" si="0"/>
        <v>19</v>
      </c>
      <c r="B31" s="178"/>
      <c r="C31" s="175" t="s">
        <v>259</v>
      </c>
      <c r="D31" s="122"/>
      <c r="E31" s="169">
        <v>0</v>
      </c>
      <c r="F31" s="126"/>
    </row>
    <row r="32" spans="1:6">
      <c r="A32" s="118">
        <f t="shared" si="0"/>
        <v>20</v>
      </c>
      <c r="B32" s="126"/>
      <c r="C32" s="138" t="s">
        <v>260</v>
      </c>
      <c r="D32" s="122"/>
      <c r="E32" s="169">
        <v>-12695193.629540682</v>
      </c>
      <c r="F32" s="126"/>
    </row>
    <row r="33" spans="1:6">
      <c r="A33" s="118">
        <f t="shared" si="0"/>
        <v>21</v>
      </c>
      <c r="B33" s="126"/>
      <c r="C33" s="175" t="s">
        <v>261</v>
      </c>
      <c r="D33" s="122"/>
      <c r="E33" s="169">
        <v>-1068986.6716843098</v>
      </c>
      <c r="F33" s="126"/>
    </row>
    <row r="34" spans="1:6">
      <c r="A34" s="118">
        <f t="shared" si="0"/>
        <v>22</v>
      </c>
      <c r="B34" s="126"/>
      <c r="C34" s="175" t="s">
        <v>262</v>
      </c>
      <c r="D34" s="122"/>
      <c r="E34" s="169">
        <v>0</v>
      </c>
      <c r="F34" s="126"/>
    </row>
    <row r="35" spans="1:6">
      <c r="A35" s="118">
        <f t="shared" si="0"/>
        <v>23</v>
      </c>
      <c r="B35" s="126"/>
      <c r="C35" s="175" t="s">
        <v>263</v>
      </c>
      <c r="D35" s="122"/>
      <c r="E35" s="169">
        <v>-259451.29060781933</v>
      </c>
      <c r="F35" s="126"/>
    </row>
    <row r="36" spans="1:6">
      <c r="A36" s="118">
        <f t="shared" si="0"/>
        <v>24</v>
      </c>
      <c r="B36" s="126"/>
      <c r="C36" s="175" t="s">
        <v>264</v>
      </c>
      <c r="D36" s="122"/>
      <c r="E36" s="169">
        <v>-892486.8188553974</v>
      </c>
      <c r="F36" s="126"/>
    </row>
    <row r="37" spans="1:6">
      <c r="A37" s="118">
        <f t="shared" si="0"/>
        <v>25</v>
      </c>
      <c r="B37" s="126"/>
      <c r="C37" s="179" t="s">
        <v>265</v>
      </c>
      <c r="D37" s="122"/>
      <c r="E37" s="169">
        <v>-834177.3984194845</v>
      </c>
      <c r="F37" s="126"/>
    </row>
    <row r="38" spans="1:6">
      <c r="A38" s="118">
        <f t="shared" si="0"/>
        <v>26</v>
      </c>
      <c r="B38" s="126"/>
      <c r="C38" s="179" t="s">
        <v>266</v>
      </c>
      <c r="D38" s="122"/>
      <c r="E38" s="169">
        <v>-30253.97997221339</v>
      </c>
      <c r="F38" s="126"/>
    </row>
    <row r="39" spans="1:6">
      <c r="A39" s="118">
        <f t="shared" si="0"/>
        <v>27</v>
      </c>
      <c r="B39" s="126"/>
      <c r="C39" s="179" t="s">
        <v>267</v>
      </c>
      <c r="D39" s="122"/>
      <c r="E39" s="172">
        <v>-14406.379832294304</v>
      </c>
      <c r="F39" s="126"/>
    </row>
    <row r="40" spans="1:6">
      <c r="A40" s="118">
        <f t="shared" si="0"/>
        <v>28</v>
      </c>
      <c r="B40" s="126" t="s">
        <v>268</v>
      </c>
      <c r="C40" s="126"/>
      <c r="D40" s="126"/>
      <c r="E40" s="121"/>
      <c r="F40" s="131">
        <f>SUM(E30:E39)</f>
        <v>-55696079.371228129</v>
      </c>
    </row>
    <row r="41" spans="1:6">
      <c r="A41" s="118">
        <f t="shared" si="0"/>
        <v>29</v>
      </c>
      <c r="B41" s="180"/>
      <c r="C41" s="180"/>
      <c r="D41" s="181"/>
      <c r="E41" s="36"/>
      <c r="F41" s="126"/>
    </row>
    <row r="42" spans="1:6">
      <c r="A42" s="118">
        <f t="shared" si="0"/>
        <v>30</v>
      </c>
      <c r="B42" s="182" t="s">
        <v>269</v>
      </c>
      <c r="C42" s="180"/>
      <c r="D42" s="181"/>
      <c r="E42" s="36"/>
      <c r="F42" s="126"/>
    </row>
    <row r="43" spans="1:6">
      <c r="A43" s="118">
        <f t="shared" si="0"/>
        <v>31</v>
      </c>
      <c r="B43" s="182" t="s">
        <v>215</v>
      </c>
      <c r="C43" s="180"/>
      <c r="D43" s="181"/>
      <c r="E43" s="36">
        <v>-39777834.485099792</v>
      </c>
      <c r="F43" s="126"/>
    </row>
    <row r="44" spans="1:6">
      <c r="A44" s="118">
        <f t="shared" si="0"/>
        <v>32</v>
      </c>
      <c r="B44" s="180"/>
      <c r="C44" s="180"/>
      <c r="D44" s="181"/>
      <c r="E44" s="36"/>
      <c r="F44" s="121">
        <f>E43</f>
        <v>-39777834.485099792</v>
      </c>
    </row>
    <row r="45" spans="1:6">
      <c r="A45" s="118">
        <f t="shared" si="0"/>
        <v>33</v>
      </c>
      <c r="B45" s="180"/>
      <c r="C45" s="180"/>
      <c r="D45" s="181"/>
      <c r="E45" s="36"/>
      <c r="F45" s="126"/>
    </row>
    <row r="46" spans="1:6">
      <c r="A46" s="118">
        <f t="shared" si="0"/>
        <v>34</v>
      </c>
      <c r="B46" s="124" t="s">
        <v>171</v>
      </c>
      <c r="C46" s="124"/>
      <c r="D46" s="183">
        <f>+'Conv Fact P3.31'!E15</f>
        <v>2.833E-3</v>
      </c>
      <c r="E46" s="184">
        <f>ROUND(F40*D46,0)</f>
        <v>-157787</v>
      </c>
      <c r="F46" s="122"/>
    </row>
    <row r="47" spans="1:6">
      <c r="A47" s="118">
        <f t="shared" si="0"/>
        <v>35</v>
      </c>
      <c r="B47" s="124" t="s">
        <v>173</v>
      </c>
      <c r="C47" s="124"/>
      <c r="D47" s="183">
        <f>+'Conv Fact P3.31'!E16</f>
        <v>2E-3</v>
      </c>
      <c r="E47" s="185">
        <f>ROUND(F40*D47,0)</f>
        <v>-111392</v>
      </c>
      <c r="F47" s="122"/>
    </row>
    <row r="48" spans="1:6">
      <c r="A48" s="118">
        <f t="shared" si="0"/>
        <v>36</v>
      </c>
      <c r="B48" s="132" t="s">
        <v>151</v>
      </c>
      <c r="C48" s="124"/>
      <c r="D48" s="186"/>
      <c r="E48" s="134"/>
      <c r="F48" s="187">
        <f>SUM(E46:E47)</f>
        <v>-269179</v>
      </c>
    </row>
    <row r="49" spans="1:6">
      <c r="A49" s="118">
        <f t="shared" si="0"/>
        <v>37</v>
      </c>
      <c r="B49" s="124"/>
      <c r="C49" s="124"/>
      <c r="D49" s="188"/>
      <c r="E49" s="133"/>
      <c r="F49" s="122"/>
    </row>
    <row r="50" spans="1:6">
      <c r="A50" s="118">
        <f t="shared" si="0"/>
        <v>38</v>
      </c>
      <c r="B50" s="124" t="s">
        <v>175</v>
      </c>
      <c r="C50" s="124"/>
      <c r="D50" s="183">
        <f>+'Conv Fact P3.31'!E17</f>
        <v>3.8411000000000001E-2</v>
      </c>
      <c r="E50" s="189">
        <f>ROUND(F40*D50,0)</f>
        <v>-2139342</v>
      </c>
      <c r="F50" s="122"/>
    </row>
    <row r="51" spans="1:6">
      <c r="A51" s="118">
        <f t="shared" si="0"/>
        <v>39</v>
      </c>
      <c r="B51" s="132" t="s">
        <v>176</v>
      </c>
      <c r="C51" s="124"/>
      <c r="D51" s="126"/>
      <c r="E51" s="133"/>
      <c r="F51" s="190">
        <f>SUM(E50:E50)</f>
        <v>-2139342</v>
      </c>
    </row>
    <row r="52" spans="1:6">
      <c r="A52" s="118">
        <f t="shared" si="0"/>
        <v>40</v>
      </c>
      <c r="B52" s="124"/>
      <c r="C52" s="124"/>
      <c r="D52" s="126"/>
      <c r="E52" s="126"/>
      <c r="F52" s="122"/>
    </row>
    <row r="53" spans="1:6">
      <c r="A53" s="118">
        <f t="shared" si="0"/>
        <v>41</v>
      </c>
      <c r="B53" s="124" t="s">
        <v>158</v>
      </c>
      <c r="C53" s="124"/>
      <c r="D53" s="126"/>
      <c r="E53" s="134"/>
      <c r="F53" s="38">
        <f>F40-F48-F51-F44</f>
        <v>-13509723.886128336</v>
      </c>
    </row>
    <row r="54" spans="1:6">
      <c r="A54" s="118">
        <f t="shared" si="0"/>
        <v>42</v>
      </c>
      <c r="B54" s="124"/>
      <c r="C54" s="124"/>
      <c r="D54" s="126"/>
      <c r="E54" s="134"/>
      <c r="F54" s="134"/>
    </row>
    <row r="55" spans="1:6">
      <c r="A55" s="118">
        <f t="shared" si="0"/>
        <v>43</v>
      </c>
      <c r="B55" s="124" t="s">
        <v>138</v>
      </c>
      <c r="C55" s="124"/>
      <c r="D55" s="191">
        <f>FIT</f>
        <v>0.35</v>
      </c>
      <c r="E55" s="134"/>
      <c r="F55" s="123">
        <f>ROUND(F53*D55,0)</f>
        <v>-4728403</v>
      </c>
    </row>
    <row r="56" spans="1:6" ht="16.5" thickBot="1">
      <c r="A56" s="118">
        <f t="shared" si="0"/>
        <v>44</v>
      </c>
      <c r="B56" s="124" t="s">
        <v>131</v>
      </c>
      <c r="C56" s="124"/>
      <c r="D56" s="126"/>
      <c r="E56" s="134"/>
      <c r="F56" s="37">
        <f>F53-F55</f>
        <v>-8781320.8861283362</v>
      </c>
    </row>
    <row r="57" spans="1:6" ht="16.5" thickTop="1">
      <c r="A57" s="118"/>
      <c r="B57" s="117"/>
      <c r="C57" s="117"/>
      <c r="D57" s="117"/>
      <c r="E57" s="117"/>
      <c r="F57" s="118"/>
    </row>
  </sheetData>
  <pageMargins left="0.7" right="0.7" top="0.75" bottom="0.75" header="0.75" footer="0.3"/>
  <pageSetup scale="75" orientation="portrait" r:id="rId1"/>
  <headerFooter>
    <oddHeader>&amp;R&amp;"Times New Roman,Regular"&amp;12EXHIBIT KHB-3
Page 3.6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03"/>
    <col min="2" max="2" width="42.140625" style="203" customWidth="1"/>
    <col min="3" max="3" width="22" style="203" customWidth="1"/>
    <col min="4" max="4" width="19.140625" style="203" customWidth="1"/>
    <col min="5" max="5" width="15.7109375" style="203" customWidth="1"/>
    <col min="6" max="6" width="2.140625" style="203" customWidth="1"/>
    <col min="7" max="16384" width="9.140625" style="203"/>
  </cols>
  <sheetData>
    <row r="1" spans="1:6">
      <c r="A1" s="203" t="str">
        <f>CO</f>
        <v>Puget Sound Energy</v>
      </c>
    </row>
    <row r="2" spans="1:6">
      <c r="A2" s="203" t="str">
        <f>DOCKET</f>
        <v>Docket UE-090704/UG-090705</v>
      </c>
    </row>
    <row r="4" spans="1:6">
      <c r="A4" s="555" t="str">
        <f>Title</f>
        <v xml:space="preserve">PUGET SOUND ENERGY-GAS </v>
      </c>
      <c r="B4" s="709"/>
      <c r="C4" s="709"/>
      <c r="D4" s="709"/>
      <c r="E4" s="709"/>
      <c r="F4" s="709"/>
    </row>
    <row r="5" spans="1:6">
      <c r="A5" s="439" t="s">
        <v>271</v>
      </c>
      <c r="B5" s="439"/>
      <c r="C5" s="439"/>
      <c r="D5" s="439"/>
      <c r="E5" s="653"/>
      <c r="F5" s="297"/>
    </row>
    <row r="6" spans="1:6">
      <c r="A6" s="439" t="str">
        <f>TY</f>
        <v>FOR THE TWELVE MONTHS ENDED DECEMBER  31, 2008</v>
      </c>
      <c r="B6" s="439"/>
      <c r="C6" s="439"/>
      <c r="D6" s="439"/>
      <c r="E6" s="653"/>
      <c r="F6" s="298"/>
    </row>
    <row r="7" spans="1:6">
      <c r="A7" s="439" t="str">
        <f>GRC</f>
        <v>GENERAL RATE INCREASE</v>
      </c>
      <c r="B7" s="437"/>
      <c r="C7" s="439"/>
      <c r="D7" s="437"/>
      <c r="E7" s="653"/>
      <c r="F7" s="300"/>
    </row>
    <row r="8" spans="1:6">
      <c r="A8" s="624"/>
      <c r="B8" s="494"/>
      <c r="C8" s="494"/>
      <c r="D8" s="494"/>
      <c r="E8" s="494"/>
      <c r="F8" s="297"/>
    </row>
    <row r="9" spans="1:6">
      <c r="A9" s="571" t="s">
        <v>112</v>
      </c>
      <c r="B9" s="628"/>
      <c r="C9" s="628"/>
      <c r="D9" s="628"/>
      <c r="E9" s="628"/>
      <c r="F9" s="278"/>
    </row>
    <row r="10" spans="1:6">
      <c r="A10" s="710" t="s">
        <v>115</v>
      </c>
      <c r="B10" s="711" t="s">
        <v>116</v>
      </c>
      <c r="C10" s="711"/>
      <c r="D10" s="712" t="s">
        <v>117</v>
      </c>
      <c r="E10" s="712"/>
      <c r="F10" s="713"/>
    </row>
    <row r="11" spans="1:6">
      <c r="A11" s="326"/>
      <c r="B11" s="260"/>
      <c r="C11" s="260"/>
      <c r="D11" s="499"/>
      <c r="E11" s="499"/>
      <c r="F11" s="713"/>
    </row>
    <row r="12" spans="1:6">
      <c r="A12" s="337">
        <v>1</v>
      </c>
      <c r="B12" s="498" t="s">
        <v>122</v>
      </c>
      <c r="C12" s="498"/>
      <c r="D12" s="498"/>
      <c r="E12" s="498"/>
      <c r="F12" s="278"/>
    </row>
    <row r="13" spans="1:6">
      <c r="A13" s="337">
        <f>A12+1</f>
        <v>2</v>
      </c>
      <c r="B13" s="714" t="s">
        <v>201</v>
      </c>
      <c r="C13" s="562"/>
      <c r="D13" s="715">
        <v>38581188.580983832</v>
      </c>
      <c r="E13" s="498"/>
      <c r="F13" s="278"/>
    </row>
    <row r="14" spans="1:6">
      <c r="A14" s="337">
        <f t="shared" ref="A14:A59" si="0">A13+1</f>
        <v>3</v>
      </c>
      <c r="B14" s="716" t="s">
        <v>202</v>
      </c>
      <c r="C14" s="498"/>
      <c r="D14" s="717" t="s">
        <v>50</v>
      </c>
      <c r="E14" s="498"/>
      <c r="F14" s="278"/>
    </row>
    <row r="15" spans="1:6">
      <c r="A15" s="337">
        <f t="shared" si="0"/>
        <v>4</v>
      </c>
      <c r="B15" s="446" t="s">
        <v>203</v>
      </c>
      <c r="C15" s="498"/>
      <c r="D15" s="718">
        <v>-1004369.4401898877</v>
      </c>
      <c r="E15" s="498"/>
      <c r="F15" s="278"/>
    </row>
    <row r="16" spans="1:6">
      <c r="A16" s="337">
        <f t="shared" si="0"/>
        <v>5</v>
      </c>
      <c r="B16" s="716" t="s">
        <v>204</v>
      </c>
      <c r="C16" s="719"/>
      <c r="D16" s="717"/>
      <c r="E16" s="498"/>
      <c r="F16" s="278"/>
    </row>
    <row r="17" spans="1:6">
      <c r="A17" s="337">
        <f t="shared" si="0"/>
        <v>6</v>
      </c>
      <c r="B17" s="446" t="s">
        <v>205</v>
      </c>
      <c r="C17" s="719"/>
      <c r="D17" s="477">
        <v>49392484.195988014</v>
      </c>
      <c r="E17" s="498"/>
      <c r="F17" s="274"/>
    </row>
    <row r="18" spans="1:6">
      <c r="A18" s="337">
        <f t="shared" si="0"/>
        <v>7</v>
      </c>
      <c r="B18" s="716" t="s">
        <v>206</v>
      </c>
      <c r="C18" s="719"/>
      <c r="D18" s="477">
        <v>0</v>
      </c>
      <c r="E18" s="498"/>
      <c r="F18" s="278"/>
    </row>
    <row r="19" spans="1:6">
      <c r="A19" s="337">
        <f t="shared" si="0"/>
        <v>8</v>
      </c>
      <c r="B19" s="716" t="s">
        <v>207</v>
      </c>
      <c r="C19" s="719"/>
      <c r="D19" s="477">
        <v>-10981122.504431728</v>
      </c>
      <c r="E19" s="498"/>
      <c r="F19" s="278"/>
    </row>
    <row r="20" spans="1:6">
      <c r="A20" s="337">
        <f t="shared" si="0"/>
        <v>9</v>
      </c>
      <c r="B20" s="716" t="s">
        <v>208</v>
      </c>
      <c r="C20" s="719"/>
      <c r="D20" s="477">
        <v>40781</v>
      </c>
      <c r="E20" s="498"/>
      <c r="F20" s="278"/>
    </row>
    <row r="21" spans="1:6">
      <c r="A21" s="337">
        <f t="shared" si="0"/>
        <v>10</v>
      </c>
      <c r="B21" s="720" t="s">
        <v>139</v>
      </c>
      <c r="C21" s="498"/>
      <c r="D21" s="509">
        <f>SUM(D13:D20)</f>
        <v>76028961.832350224</v>
      </c>
      <c r="E21" s="498"/>
      <c r="F21" s="278"/>
    </row>
    <row r="22" spans="1:6">
      <c r="A22" s="337">
        <f t="shared" si="0"/>
        <v>11</v>
      </c>
      <c r="B22" s="498"/>
      <c r="C22" s="498"/>
      <c r="D22" s="568"/>
      <c r="E22" s="498"/>
      <c r="F22" s="278"/>
    </row>
    <row r="23" spans="1:6">
      <c r="A23" s="337">
        <f t="shared" si="0"/>
        <v>12</v>
      </c>
      <c r="B23" s="498" t="s">
        <v>155</v>
      </c>
      <c r="C23" s="498"/>
      <c r="D23" s="498"/>
      <c r="E23" s="264">
        <f>D21</f>
        <v>76028961.832350224</v>
      </c>
      <c r="F23" s="278"/>
    </row>
    <row r="24" spans="1:6">
      <c r="A24" s="337">
        <f t="shared" si="0"/>
        <v>13</v>
      </c>
      <c r="B24" s="498"/>
      <c r="C24" s="498"/>
      <c r="D24" s="260"/>
      <c r="E24" s="498"/>
      <c r="F24" s="278"/>
    </row>
    <row r="25" spans="1:6">
      <c r="A25" s="337">
        <f t="shared" si="0"/>
        <v>14</v>
      </c>
      <c r="B25" s="503" t="s">
        <v>128</v>
      </c>
      <c r="C25" s="498"/>
      <c r="D25" s="562"/>
      <c r="E25" s="498"/>
      <c r="F25" s="278"/>
    </row>
    <row r="26" spans="1:6">
      <c r="A26" s="337">
        <f t="shared" si="0"/>
        <v>15</v>
      </c>
      <c r="B26" s="716" t="s">
        <v>209</v>
      </c>
      <c r="C26" s="498"/>
      <c r="D26" s="562"/>
      <c r="E26" s="498"/>
      <c r="F26" s="278"/>
    </row>
    <row r="27" spans="1:6">
      <c r="A27" s="337">
        <f t="shared" si="0"/>
        <v>16</v>
      </c>
      <c r="B27" s="721" t="s">
        <v>210</v>
      </c>
      <c r="C27" s="498"/>
      <c r="D27" s="562">
        <v>888730.26000000071</v>
      </c>
      <c r="E27" s="498"/>
      <c r="F27" s="278"/>
    </row>
    <row r="28" spans="1:6">
      <c r="A28" s="337">
        <f t="shared" si="0"/>
        <v>17</v>
      </c>
      <c r="B28" s="446" t="s">
        <v>207</v>
      </c>
      <c r="C28" s="498"/>
      <c r="D28" s="722">
        <v>112971.62000000011</v>
      </c>
      <c r="E28" s="498"/>
      <c r="F28" s="278"/>
    </row>
    <row r="29" spans="1:6">
      <c r="A29" s="337">
        <f t="shared" si="0"/>
        <v>18</v>
      </c>
      <c r="B29" s="716" t="s">
        <v>128</v>
      </c>
      <c r="C29" s="562"/>
      <c r="D29" s="477"/>
      <c r="E29" s="260"/>
      <c r="F29" s="278"/>
    </row>
    <row r="30" spans="1:6">
      <c r="A30" s="337">
        <f t="shared" si="0"/>
        <v>19</v>
      </c>
      <c r="B30" s="446" t="s">
        <v>211</v>
      </c>
      <c r="C30" s="562"/>
      <c r="D30" s="477"/>
      <c r="E30" s="260"/>
      <c r="F30" s="260"/>
    </row>
    <row r="31" spans="1:6">
      <c r="A31" s="337">
        <f t="shared" si="0"/>
        <v>20</v>
      </c>
      <c r="B31" s="720" t="s">
        <v>212</v>
      </c>
      <c r="C31" s="562"/>
      <c r="D31" s="262">
        <v>1004369.4401898877</v>
      </c>
      <c r="E31" s="260"/>
      <c r="F31" s="260"/>
    </row>
    <row r="32" spans="1:6">
      <c r="A32" s="337">
        <f t="shared" si="0"/>
        <v>21</v>
      </c>
      <c r="B32" s="723" t="s">
        <v>213</v>
      </c>
      <c r="C32" s="326"/>
      <c r="D32" s="477">
        <v>-3209260</v>
      </c>
      <c r="E32" s="326"/>
      <c r="F32" s="260"/>
    </row>
    <row r="33" spans="1:6">
      <c r="A33" s="337">
        <f t="shared" si="0"/>
        <v>22</v>
      </c>
      <c r="B33" s="498" t="s">
        <v>168</v>
      </c>
      <c r="C33" s="562"/>
      <c r="D33" s="724"/>
      <c r="E33" s="477">
        <f>SUM(D27:D33)</f>
        <v>-1203188.6798101114</v>
      </c>
      <c r="F33" s="260"/>
    </row>
    <row r="34" spans="1:6">
      <c r="A34" s="337">
        <f t="shared" si="0"/>
        <v>23</v>
      </c>
      <c r="B34" s="260"/>
      <c r="C34" s="260"/>
      <c r="D34" s="262"/>
      <c r="E34" s="568"/>
      <c r="F34" s="260"/>
    </row>
    <row r="35" spans="1:6">
      <c r="A35" s="337">
        <f t="shared" si="0"/>
        <v>24</v>
      </c>
      <c r="B35" s="498" t="s">
        <v>169</v>
      </c>
      <c r="C35" s="260"/>
      <c r="D35" s="267"/>
      <c r="E35" s="262">
        <f>SUM(E13:E34)</f>
        <v>74825773.152540118</v>
      </c>
      <c r="F35" s="260"/>
    </row>
    <row r="36" spans="1:6">
      <c r="A36" s="337">
        <f t="shared" si="0"/>
        <v>25</v>
      </c>
      <c r="B36" s="498"/>
      <c r="C36" s="260"/>
      <c r="D36" s="267"/>
      <c r="E36" s="262"/>
      <c r="F36" s="260"/>
    </row>
    <row r="37" spans="1:6">
      <c r="A37" s="337">
        <f t="shared" si="0"/>
        <v>26</v>
      </c>
      <c r="B37" s="498" t="s">
        <v>214</v>
      </c>
      <c r="C37" s="260"/>
      <c r="D37" s="267"/>
      <c r="E37" s="262"/>
      <c r="F37" s="260"/>
    </row>
    <row r="38" spans="1:6">
      <c r="A38" s="337">
        <f t="shared" si="0"/>
        <v>27</v>
      </c>
      <c r="B38" s="498" t="s">
        <v>215</v>
      </c>
      <c r="C38" s="498"/>
      <c r="D38" s="265"/>
      <c r="E38" s="498"/>
      <c r="F38" s="260"/>
    </row>
    <row r="39" spans="1:6">
      <c r="A39" s="337">
        <f t="shared" si="0"/>
        <v>28</v>
      </c>
      <c r="B39" s="725" t="s">
        <v>216</v>
      </c>
      <c r="C39" s="498"/>
      <c r="D39" s="265">
        <v>14998.736019134521</v>
      </c>
      <c r="E39" s="498"/>
      <c r="F39" s="260"/>
    </row>
    <row r="40" spans="1:6">
      <c r="A40" s="337">
        <f t="shared" si="0"/>
        <v>29</v>
      </c>
      <c r="B40" s="725" t="s">
        <v>217</v>
      </c>
      <c r="C40" s="498"/>
      <c r="D40" s="265"/>
      <c r="E40" s="498"/>
      <c r="F40" s="265"/>
    </row>
    <row r="41" spans="1:6">
      <c r="A41" s="337">
        <f t="shared" si="0"/>
        <v>30</v>
      </c>
      <c r="B41" s="726" t="s">
        <v>203</v>
      </c>
      <c r="C41" s="498"/>
      <c r="D41" s="265">
        <v>0</v>
      </c>
      <c r="E41" s="498"/>
      <c r="F41" s="260"/>
    </row>
    <row r="42" spans="1:6">
      <c r="A42" s="337">
        <f t="shared" si="0"/>
        <v>31</v>
      </c>
      <c r="B42" s="725" t="s">
        <v>218</v>
      </c>
      <c r="C42" s="498"/>
      <c r="D42" s="265"/>
      <c r="E42" s="498"/>
      <c r="F42" s="260"/>
    </row>
    <row r="43" spans="1:6">
      <c r="A43" s="337">
        <f t="shared" si="0"/>
        <v>32</v>
      </c>
      <c r="B43" s="726" t="s">
        <v>219</v>
      </c>
      <c r="C43" s="498"/>
      <c r="D43" s="265">
        <v>47259203.739200711</v>
      </c>
      <c r="E43" s="498"/>
      <c r="F43" s="260"/>
    </row>
    <row r="44" spans="1:6">
      <c r="A44" s="337">
        <f t="shared" si="0"/>
        <v>33</v>
      </c>
      <c r="B44" s="726" t="s">
        <v>148</v>
      </c>
      <c r="C44" s="498"/>
      <c r="D44" s="265">
        <v>0</v>
      </c>
      <c r="E44" s="498"/>
      <c r="F44" s="264"/>
    </row>
    <row r="45" spans="1:6">
      <c r="A45" s="337">
        <f t="shared" si="0"/>
        <v>34</v>
      </c>
      <c r="B45" s="725" t="s">
        <v>207</v>
      </c>
      <c r="C45" s="498"/>
      <c r="D45" s="265">
        <v>-7866367.8624643087</v>
      </c>
      <c r="E45" s="498"/>
      <c r="F45" s="260"/>
    </row>
    <row r="46" spans="1:6">
      <c r="A46" s="337">
        <f t="shared" si="0"/>
        <v>35</v>
      </c>
      <c r="B46" s="725" t="s">
        <v>208</v>
      </c>
      <c r="C46" s="498"/>
      <c r="D46" s="265">
        <v>-1193.9575452804565</v>
      </c>
      <c r="E46" s="498"/>
      <c r="F46" s="262"/>
    </row>
    <row r="47" spans="1:6">
      <c r="A47" s="337">
        <f t="shared" si="0"/>
        <v>36</v>
      </c>
      <c r="B47" s="727" t="s">
        <v>220</v>
      </c>
      <c r="C47" s="498"/>
      <c r="D47" s="728">
        <f>SUM(D39:D46)</f>
        <v>39406640.655210257</v>
      </c>
      <c r="E47" s="498"/>
      <c r="F47" s="262"/>
    </row>
    <row r="48" spans="1:6">
      <c r="A48" s="337">
        <f t="shared" si="0"/>
        <v>37</v>
      </c>
      <c r="B48" s="498"/>
      <c r="C48" s="498"/>
      <c r="D48" s="265"/>
      <c r="E48" s="498"/>
      <c r="F48" s="275"/>
    </row>
    <row r="49" spans="1:6">
      <c r="A49" s="337">
        <f t="shared" si="0"/>
        <v>38</v>
      </c>
      <c r="B49" s="503" t="s">
        <v>171</v>
      </c>
      <c r="C49" s="729">
        <f>+'Conv Fact P3.31'!E15</f>
        <v>2.833E-3</v>
      </c>
      <c r="D49" s="265">
        <f>+E35*C49</f>
        <v>211981.41534114614</v>
      </c>
      <c r="E49" s="477"/>
      <c r="F49" s="262"/>
    </row>
    <row r="50" spans="1:6">
      <c r="A50" s="337">
        <f t="shared" si="0"/>
        <v>39</v>
      </c>
      <c r="B50" s="503" t="s">
        <v>173</v>
      </c>
      <c r="C50" s="729">
        <f>+'Conv Fact P3.31'!E16</f>
        <v>2E-3</v>
      </c>
      <c r="D50" s="271">
        <f>+E35*C50</f>
        <v>149651.54630508024</v>
      </c>
      <c r="E50" s="477"/>
      <c r="F50" s="262"/>
    </row>
    <row r="51" spans="1:6">
      <c r="A51" s="337">
        <f t="shared" si="0"/>
        <v>40</v>
      </c>
      <c r="B51" s="507" t="s">
        <v>151</v>
      </c>
      <c r="C51" s="729"/>
      <c r="D51" s="730"/>
      <c r="E51" s="262">
        <f>SUM(D47:D51)</f>
        <v>39768273.616856486</v>
      </c>
      <c r="F51" s="275"/>
    </row>
    <row r="52" spans="1:6">
      <c r="A52" s="337">
        <f t="shared" si="0"/>
        <v>41</v>
      </c>
      <c r="B52" s="503"/>
      <c r="C52" s="729"/>
      <c r="D52" s="274"/>
      <c r="E52" s="477"/>
      <c r="F52" s="262"/>
    </row>
    <row r="53" spans="1:6">
      <c r="A53" s="337">
        <f t="shared" si="0"/>
        <v>42</v>
      </c>
      <c r="B53" s="503" t="s">
        <v>175</v>
      </c>
      <c r="C53" s="729">
        <f>+'Conv Fact P3.31'!E17</f>
        <v>3.8411000000000001E-2</v>
      </c>
      <c r="D53" s="267">
        <f>+E35*C53</f>
        <v>2874132.7725622184</v>
      </c>
      <c r="E53" s="477"/>
      <c r="F53" s="275"/>
    </row>
    <row r="54" spans="1:6">
      <c r="A54" s="337">
        <f t="shared" si="0"/>
        <v>43</v>
      </c>
      <c r="B54" s="507"/>
      <c r="C54" s="498"/>
      <c r="D54" s="509"/>
      <c r="E54" s="477"/>
      <c r="F54" s="274"/>
    </row>
    <row r="55" spans="1:6">
      <c r="A55" s="337">
        <f t="shared" si="0"/>
        <v>44</v>
      </c>
      <c r="B55" s="507" t="s">
        <v>176</v>
      </c>
      <c r="C55" s="498"/>
      <c r="D55" s="274"/>
      <c r="E55" s="275">
        <f>SUM(D53:D54)</f>
        <v>2874132.7725622184</v>
      </c>
      <c r="F55" s="262"/>
    </row>
    <row r="56" spans="1:6">
      <c r="A56" s="337">
        <f t="shared" si="0"/>
        <v>45</v>
      </c>
      <c r="B56" s="503"/>
      <c r="C56" s="498"/>
      <c r="D56" s="498"/>
      <c r="E56" s="509"/>
      <c r="F56" s="267"/>
    </row>
    <row r="57" spans="1:6">
      <c r="A57" s="337">
        <f t="shared" si="0"/>
        <v>46</v>
      </c>
      <c r="B57" s="503" t="s">
        <v>158</v>
      </c>
      <c r="C57" s="498"/>
      <c r="D57" s="504"/>
      <c r="E57" s="275">
        <f>E35-E51-E55</f>
        <v>32183366.763121415</v>
      </c>
      <c r="F57" s="259"/>
    </row>
    <row r="58" spans="1:6">
      <c r="A58" s="337">
        <f t="shared" si="0"/>
        <v>47</v>
      </c>
      <c r="B58" s="503" t="s">
        <v>138</v>
      </c>
      <c r="C58" s="731">
        <v>0.35</v>
      </c>
      <c r="D58" s="504"/>
      <c r="E58" s="262">
        <f>ROUND(E57*C58,0)</f>
        <v>11264178</v>
      </c>
    </row>
    <row r="59" spans="1:6" ht="16.5" thickBot="1">
      <c r="A59" s="337">
        <f t="shared" si="0"/>
        <v>48</v>
      </c>
      <c r="B59" s="503" t="s">
        <v>131</v>
      </c>
      <c r="C59" s="498"/>
      <c r="D59" s="504"/>
      <c r="E59" s="732">
        <f>E57-E58</f>
        <v>20919188.763121415</v>
      </c>
    </row>
    <row r="60" spans="1:6" ht="16.5" thickTop="1">
      <c r="A60" s="259"/>
      <c r="B60" s="278"/>
      <c r="C60" s="278"/>
      <c r="D60" s="267"/>
      <c r="E60" s="278"/>
    </row>
    <row r="61" spans="1:6">
      <c r="A61" s="259"/>
      <c r="B61" s="269"/>
      <c r="C61" s="278"/>
      <c r="D61" s="278"/>
      <c r="E61" s="326"/>
    </row>
  </sheetData>
  <mergeCells count="1">
    <mergeCell ref="A4:F4"/>
  </mergeCells>
  <pageMargins left="0.7" right="0.7" top="0.75" bottom="0.75" header="0.75" footer="0.3"/>
  <pageSetup scale="75" orientation="portrait" r:id="rId1"/>
  <headerFooter>
    <oddHeader>&amp;R&amp;"Times New Roman,Regular"&amp;12EXHIBIT KHB-3
Page 3.7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13"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3.7109375" style="2" customWidth="1"/>
    <col min="6" max="6" width="0.57031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669" t="s">
        <v>222</v>
      </c>
      <c r="B4" s="402"/>
      <c r="C4" s="402"/>
      <c r="D4" s="402"/>
      <c r="E4" s="402"/>
      <c r="F4" s="402"/>
    </row>
    <row r="5" spans="1:6">
      <c r="A5" s="670" t="s">
        <v>284</v>
      </c>
      <c r="B5" s="204"/>
      <c r="C5" s="204"/>
      <c r="D5" s="204"/>
      <c r="E5" s="204"/>
      <c r="F5" s="297"/>
    </row>
    <row r="6" spans="1:6">
      <c r="A6" s="512" t="s">
        <v>272</v>
      </c>
      <c r="B6" s="671"/>
      <c r="C6" s="671"/>
      <c r="D6" s="671"/>
      <c r="E6" s="671"/>
      <c r="F6" s="298"/>
    </row>
    <row r="7" spans="1:6">
      <c r="A7" s="670" t="s">
        <v>111</v>
      </c>
      <c r="B7" s="670"/>
      <c r="C7" s="670"/>
      <c r="D7" s="672"/>
      <c r="E7" s="672"/>
      <c r="F7" s="300"/>
    </row>
    <row r="8" spans="1:6">
      <c r="A8" s="673"/>
      <c r="B8" s="672"/>
      <c r="C8" s="672"/>
      <c r="D8" s="672"/>
      <c r="E8" s="672"/>
      <c r="F8" s="297"/>
    </row>
    <row r="9" spans="1:6">
      <c r="A9" s="674" t="s">
        <v>112</v>
      </c>
      <c r="B9" s="675"/>
      <c r="C9" s="674"/>
      <c r="D9" s="674" t="s">
        <v>273</v>
      </c>
      <c r="E9" s="674"/>
      <c r="F9" s="331"/>
    </row>
    <row r="10" spans="1:6">
      <c r="A10" s="676" t="s">
        <v>115</v>
      </c>
      <c r="B10" s="677" t="s">
        <v>116</v>
      </c>
      <c r="C10" s="676" t="s">
        <v>274</v>
      </c>
      <c r="D10" s="676" t="s">
        <v>275</v>
      </c>
      <c r="E10" s="676" t="s">
        <v>117</v>
      </c>
      <c r="F10" s="400"/>
    </row>
    <row r="11" spans="1:6">
      <c r="A11" s="230"/>
      <c r="B11" s="672"/>
      <c r="C11" s="672"/>
      <c r="D11" s="672"/>
      <c r="E11" s="672"/>
      <c r="F11" s="400"/>
    </row>
    <row r="12" spans="1:6">
      <c r="A12" s="230">
        <v>1</v>
      </c>
      <c r="B12" s="678" t="s">
        <v>276</v>
      </c>
      <c r="C12" s="243"/>
      <c r="D12" s="243"/>
      <c r="E12" s="243"/>
      <c r="F12" s="278"/>
    </row>
    <row r="13" spans="1:6">
      <c r="A13" s="230">
        <v>2</v>
      </c>
      <c r="B13" s="679" t="s">
        <v>277</v>
      </c>
      <c r="C13" s="680">
        <v>1822432.9166666667</v>
      </c>
      <c r="D13" s="681">
        <v>0</v>
      </c>
      <c r="E13" s="681">
        <v>-1822432.9166666667</v>
      </c>
      <c r="F13" s="278"/>
    </row>
    <row r="14" spans="1:6">
      <c r="A14" s="230">
        <v>3</v>
      </c>
      <c r="B14" s="679" t="s">
        <v>278</v>
      </c>
      <c r="C14" s="682"/>
      <c r="D14" s="683">
        <v>0</v>
      </c>
      <c r="E14" s="683">
        <v>0</v>
      </c>
      <c r="F14" s="278"/>
    </row>
    <row r="15" spans="1:6">
      <c r="A15" s="230">
        <v>4</v>
      </c>
      <c r="B15" s="679" t="s">
        <v>279</v>
      </c>
      <c r="C15" s="682">
        <v>621138.04166666663</v>
      </c>
      <c r="D15" s="683">
        <v>0</v>
      </c>
      <c r="E15" s="683">
        <v>-621138.04166666663</v>
      </c>
      <c r="F15" s="278"/>
    </row>
    <row r="16" spans="1:6">
      <c r="A16" s="230">
        <v>5</v>
      </c>
      <c r="B16" s="684" t="s">
        <v>280</v>
      </c>
      <c r="C16" s="685">
        <v>2443570.9583333335</v>
      </c>
      <c r="D16" s="685">
        <v>0</v>
      </c>
      <c r="E16" s="685">
        <v>-2443570.9583333335</v>
      </c>
      <c r="F16" s="278"/>
    </row>
    <row r="17" spans="1:6">
      <c r="A17" s="230">
        <v>6</v>
      </c>
      <c r="B17" s="684"/>
      <c r="C17" s="686"/>
      <c r="D17" s="687"/>
      <c r="E17" s="688"/>
      <c r="F17" s="274"/>
    </row>
    <row r="18" spans="1:6">
      <c r="A18" s="230">
        <v>7</v>
      </c>
      <c r="B18" s="678" t="s">
        <v>281</v>
      </c>
      <c r="C18" s="689"/>
      <c r="D18" s="690"/>
      <c r="E18" s="691"/>
      <c r="F18" s="278"/>
    </row>
    <row r="19" spans="1:6">
      <c r="A19" s="230">
        <v>8</v>
      </c>
      <c r="B19" s="679" t="s">
        <v>282</v>
      </c>
      <c r="C19" s="689"/>
      <c r="D19" s="692">
        <v>0</v>
      </c>
      <c r="E19" s="683">
        <v>0</v>
      </c>
      <c r="F19" s="278"/>
    </row>
    <row r="20" spans="1:6">
      <c r="A20" s="230">
        <v>9</v>
      </c>
      <c r="B20" s="684" t="s">
        <v>283</v>
      </c>
      <c r="C20" s="693">
        <v>0</v>
      </c>
      <c r="D20" s="693">
        <v>0</v>
      </c>
      <c r="E20" s="694">
        <v>0</v>
      </c>
      <c r="F20" s="278"/>
    </row>
    <row r="21" spans="1:6">
      <c r="A21" s="230">
        <v>10</v>
      </c>
      <c r="B21" s="462"/>
      <c r="C21" s="695"/>
      <c r="D21" s="695"/>
      <c r="E21" s="696"/>
      <c r="F21" s="278"/>
    </row>
    <row r="22" spans="1:6">
      <c r="A22" s="230">
        <v>11</v>
      </c>
      <c r="B22" s="697" t="s">
        <v>134</v>
      </c>
      <c r="C22" s="698"/>
      <c r="D22" s="698"/>
      <c r="E22" s="699">
        <v>0</v>
      </c>
      <c r="F22" s="278"/>
    </row>
    <row r="23" spans="1:6">
      <c r="A23" s="230">
        <v>12</v>
      </c>
      <c r="B23" s="467"/>
      <c r="C23" s="700"/>
      <c r="D23" s="700"/>
      <c r="E23" s="701"/>
      <c r="F23" s="278"/>
    </row>
    <row r="24" spans="1:6">
      <c r="A24" s="230">
        <v>13</v>
      </c>
      <c r="B24" s="241" t="s">
        <v>138</v>
      </c>
      <c r="C24" s="702"/>
      <c r="D24" s="702">
        <v>0.35</v>
      </c>
      <c r="E24" s="457">
        <v>0</v>
      </c>
      <c r="F24" s="278"/>
    </row>
    <row r="25" spans="1:6" ht="16.5" thickBot="1">
      <c r="A25" s="230">
        <v>14</v>
      </c>
      <c r="B25" s="241" t="s">
        <v>131</v>
      </c>
      <c r="C25" s="703"/>
      <c r="D25" s="703"/>
      <c r="E25" s="458">
        <v>0</v>
      </c>
      <c r="F25" s="278"/>
    </row>
    <row r="26" spans="1:6" ht="16.5" thickTop="1">
      <c r="A26" s="704"/>
      <c r="B26" s="684"/>
      <c r="C26" s="689"/>
      <c r="D26" s="705"/>
      <c r="E26" s="683"/>
      <c r="F26" s="278"/>
    </row>
    <row r="27" spans="1:6">
      <c r="A27" s="259"/>
      <c r="B27" s="706"/>
      <c r="C27" s="564"/>
      <c r="D27" s="564"/>
      <c r="E27" s="263"/>
      <c r="F27" s="278"/>
    </row>
    <row r="28" spans="1:6">
      <c r="A28" s="259"/>
      <c r="B28" s="260"/>
      <c r="C28" s="707"/>
      <c r="D28" s="707"/>
      <c r="E28" s="707"/>
      <c r="F28" s="278"/>
    </row>
    <row r="29" spans="1:6">
      <c r="A29" s="259"/>
      <c r="B29" s="260"/>
      <c r="C29" s="562"/>
      <c r="D29" s="562"/>
      <c r="E29" s="260"/>
      <c r="F29" s="278"/>
    </row>
    <row r="30" spans="1:6">
      <c r="A30" s="259"/>
      <c r="B30" s="260"/>
      <c r="C30" s="261"/>
      <c r="D30" s="708"/>
      <c r="E30" s="267"/>
      <c r="F30" s="260"/>
    </row>
    <row r="31" spans="1:6">
      <c r="A31" s="259"/>
      <c r="B31" s="499"/>
      <c r="C31" s="261"/>
      <c r="D31" s="262"/>
      <c r="E31" s="263"/>
      <c r="F31" s="260"/>
    </row>
    <row r="32" spans="1:6">
      <c r="A32" s="259"/>
      <c r="B32" s="260"/>
      <c r="C32" s="269"/>
      <c r="D32" s="262"/>
      <c r="E32" s="263"/>
      <c r="F32" s="260"/>
    </row>
    <row r="33" spans="1:6">
      <c r="A33" s="259"/>
      <c r="B33" s="260"/>
      <c r="C33" s="261"/>
      <c r="D33" s="262"/>
      <c r="E33" s="263"/>
      <c r="F33" s="260"/>
    </row>
    <row r="34" spans="1:6">
      <c r="A34" s="259"/>
      <c r="B34" s="260"/>
      <c r="C34" s="261"/>
      <c r="D34" s="262"/>
      <c r="E34" s="263"/>
      <c r="F34" s="260"/>
    </row>
    <row r="35" spans="1:6">
      <c r="A35" s="259"/>
      <c r="B35" s="260"/>
      <c r="C35" s="261"/>
      <c r="D35" s="262"/>
      <c r="E35" s="263"/>
      <c r="F35" s="260"/>
    </row>
    <row r="36" spans="1:6">
      <c r="A36" s="259"/>
      <c r="B36" s="260"/>
      <c r="C36" s="261"/>
      <c r="D36" s="262"/>
      <c r="E36" s="263"/>
      <c r="F36" s="260"/>
    </row>
    <row r="37" spans="1:6">
      <c r="A37" s="259"/>
      <c r="B37" s="260"/>
      <c r="C37" s="261"/>
      <c r="D37" s="262"/>
      <c r="E37" s="263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78" orientation="portrait" r:id="rId1"/>
  <headerFooter>
    <oddHeader>&amp;R&amp;"Times New Roman,Regular"&amp;12EXHIBIT KHB-3
Page 3.8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zoomScaleNormal="100" workbookViewId="0">
      <selection activeCell="B42" sqref="B42"/>
    </sheetView>
  </sheetViews>
  <sheetFormatPr defaultColWidth="9.140625" defaultRowHeight="15.75"/>
  <cols>
    <col min="1" max="1" width="9.140625" style="2"/>
    <col min="2" max="2" width="42.140625" style="2" customWidth="1"/>
    <col min="3" max="3" width="22" style="2" customWidth="1"/>
    <col min="4" max="4" width="19.140625" style="2" customWidth="1"/>
    <col min="5" max="5" width="16.85546875" style="2" customWidth="1"/>
    <col min="6" max="6" width="2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555" t="str">
        <f>Title</f>
        <v xml:space="preserve">PUGET SOUND ENERGY-GAS </v>
      </c>
      <c r="B4" s="402"/>
      <c r="C4" s="402"/>
      <c r="D4" s="402"/>
      <c r="E4" s="402"/>
      <c r="F4" s="402"/>
    </row>
    <row r="5" spans="1:6">
      <c r="A5" s="439" t="s">
        <v>299</v>
      </c>
      <c r="B5" s="439"/>
      <c r="C5" s="439"/>
      <c r="D5" s="439"/>
      <c r="E5" s="653"/>
      <c r="F5" s="297"/>
    </row>
    <row r="6" spans="1:6">
      <c r="A6" s="439" t="str">
        <f>TY</f>
        <v>FOR THE TWELVE MONTHS ENDED DECEMBER  31, 2008</v>
      </c>
      <c r="B6" s="439"/>
      <c r="C6" s="439"/>
      <c r="D6" s="439"/>
      <c r="E6" s="653"/>
      <c r="F6" s="298"/>
    </row>
    <row r="7" spans="1:6">
      <c r="A7" s="439" t="s">
        <v>535</v>
      </c>
      <c r="B7" s="437"/>
      <c r="C7" s="439"/>
      <c r="D7" s="437"/>
      <c r="E7" s="653"/>
      <c r="F7" s="300"/>
    </row>
    <row r="8" spans="1:6">
      <c r="A8" s="329"/>
      <c r="B8" s="330"/>
      <c r="C8" s="330"/>
      <c r="D8" s="330"/>
      <c r="E8" s="654"/>
      <c r="F8" s="297"/>
    </row>
    <row r="9" spans="1:6">
      <c r="A9" s="440" t="s">
        <v>112</v>
      </c>
      <c r="B9" s="329"/>
      <c r="C9" s="329"/>
      <c r="D9" s="329"/>
      <c r="E9" s="654"/>
      <c r="F9" s="331"/>
    </row>
    <row r="10" spans="1:6">
      <c r="A10" s="444" t="s">
        <v>115</v>
      </c>
      <c r="B10" s="335" t="s">
        <v>116</v>
      </c>
      <c r="C10" s="336"/>
      <c r="D10" s="336"/>
      <c r="E10" s="655" t="s">
        <v>118</v>
      </c>
      <c r="F10" s="400"/>
    </row>
    <row r="11" spans="1:6">
      <c r="A11" s="326"/>
      <c r="B11" s="326"/>
      <c r="C11" s="326"/>
      <c r="D11" s="329"/>
      <c r="E11" s="656"/>
      <c r="F11" s="400"/>
    </row>
    <row r="12" spans="1:6">
      <c r="A12" s="337">
        <v>1</v>
      </c>
      <c r="B12" s="657" t="s">
        <v>285</v>
      </c>
      <c r="C12" s="657"/>
      <c r="D12" s="658"/>
      <c r="E12" s="546">
        <v>-59848019</v>
      </c>
      <c r="F12" s="278"/>
    </row>
    <row r="13" spans="1:6">
      <c r="A13" s="337">
        <f>A12+1</f>
        <v>2</v>
      </c>
      <c r="B13" s="483"/>
      <c r="C13" s="483"/>
      <c r="D13" s="483"/>
      <c r="E13" s="659"/>
      <c r="F13" s="278"/>
    </row>
    <row r="14" spans="1:6">
      <c r="A14" s="337">
        <f t="shared" ref="A14:A30" si="0">A13+1</f>
        <v>3</v>
      </c>
      <c r="B14" s="483" t="s">
        <v>286</v>
      </c>
      <c r="C14" s="535"/>
      <c r="D14" s="535"/>
      <c r="E14" s="660"/>
      <c r="F14" s="278"/>
    </row>
    <row r="15" spans="1:6">
      <c r="A15" s="337">
        <f t="shared" si="0"/>
        <v>4</v>
      </c>
      <c r="B15" s="483" t="s">
        <v>287</v>
      </c>
      <c r="C15" s="661">
        <f>FIT</f>
        <v>0.35</v>
      </c>
      <c r="D15" s="483"/>
      <c r="E15" s="662">
        <f>+E12*C15</f>
        <v>-20946806.649999999</v>
      </c>
      <c r="F15" s="278"/>
    </row>
    <row r="16" spans="1:6">
      <c r="A16" s="337">
        <f t="shared" si="0"/>
        <v>5</v>
      </c>
      <c r="B16" s="483" t="s">
        <v>288</v>
      </c>
      <c r="C16" s="483"/>
      <c r="D16" s="658"/>
      <c r="E16" s="455">
        <v>47432293</v>
      </c>
      <c r="F16" s="278"/>
    </row>
    <row r="17" spans="1:6">
      <c r="A17" s="337">
        <f t="shared" si="0"/>
        <v>6</v>
      </c>
      <c r="B17" s="326" t="s">
        <v>289</v>
      </c>
      <c r="C17" s="326"/>
      <c r="D17" s="658"/>
      <c r="E17" s="455">
        <v>-4870567</v>
      </c>
      <c r="F17" s="274"/>
    </row>
    <row r="18" spans="1:6">
      <c r="A18" s="337">
        <f t="shared" si="0"/>
        <v>7</v>
      </c>
      <c r="B18" s="326" t="s">
        <v>290</v>
      </c>
      <c r="C18" s="326"/>
      <c r="D18" s="658"/>
      <c r="E18" s="663">
        <v>-637077</v>
      </c>
      <c r="F18" s="278"/>
    </row>
    <row r="19" spans="1:6">
      <c r="A19" s="337">
        <f t="shared" si="0"/>
        <v>8</v>
      </c>
      <c r="B19" s="326" t="s">
        <v>291</v>
      </c>
      <c r="C19" s="326"/>
      <c r="D19" s="326"/>
      <c r="E19" s="546">
        <f>SUM(E15:E18)</f>
        <v>20977842.350000001</v>
      </c>
      <c r="F19" s="278"/>
    </row>
    <row r="20" spans="1:6">
      <c r="A20" s="337">
        <f t="shared" si="0"/>
        <v>9</v>
      </c>
      <c r="B20" s="326"/>
      <c r="C20" s="326"/>
      <c r="D20" s="326"/>
      <c r="E20" s="326"/>
      <c r="F20" s="278"/>
    </row>
    <row r="21" spans="1:6">
      <c r="A21" s="337">
        <f t="shared" si="0"/>
        <v>10</v>
      </c>
      <c r="B21" s="326" t="s">
        <v>292</v>
      </c>
      <c r="C21" s="326"/>
      <c r="D21" s="326"/>
      <c r="E21" s="659"/>
      <c r="F21" s="278"/>
    </row>
    <row r="22" spans="1:6">
      <c r="A22" s="337">
        <f t="shared" si="0"/>
        <v>11</v>
      </c>
      <c r="B22" s="483" t="s">
        <v>293</v>
      </c>
      <c r="C22" s="347"/>
      <c r="D22" s="520"/>
      <c r="E22" s="125">
        <v>-21984883.84</v>
      </c>
      <c r="F22" s="278"/>
    </row>
    <row r="23" spans="1:6">
      <c r="A23" s="337">
        <f t="shared" si="0"/>
        <v>12</v>
      </c>
      <c r="B23" s="483" t="s">
        <v>288</v>
      </c>
      <c r="C23" s="347"/>
      <c r="D23" s="520"/>
      <c r="E23" s="455">
        <v>54835443.5792</v>
      </c>
      <c r="F23" s="278"/>
    </row>
    <row r="24" spans="1:6">
      <c r="A24" s="337">
        <f t="shared" si="0"/>
        <v>13</v>
      </c>
      <c r="B24" s="326" t="s">
        <v>289</v>
      </c>
      <c r="C24" s="347"/>
      <c r="D24" s="520"/>
      <c r="E24" s="455">
        <v>-10319882.6598</v>
      </c>
      <c r="F24" s="278"/>
    </row>
    <row r="25" spans="1:6">
      <c r="A25" s="337">
        <f>A24+1</f>
        <v>14</v>
      </c>
      <c r="B25" s="326" t="s">
        <v>290</v>
      </c>
      <c r="C25" s="347"/>
      <c r="D25" s="347"/>
      <c r="E25" s="449">
        <v>-637077</v>
      </c>
      <c r="F25" s="278"/>
    </row>
    <row r="26" spans="1:6">
      <c r="A26" s="337">
        <f t="shared" si="0"/>
        <v>15</v>
      </c>
      <c r="B26" s="326"/>
      <c r="C26" s="347"/>
      <c r="D26" s="347"/>
      <c r="E26" s="573"/>
      <c r="F26" s="278"/>
    </row>
    <row r="27" spans="1:6">
      <c r="A27" s="337">
        <f t="shared" si="0"/>
        <v>16</v>
      </c>
      <c r="B27" s="664" t="s">
        <v>294</v>
      </c>
      <c r="C27" s="665"/>
      <c r="D27" s="664"/>
      <c r="E27" s="666">
        <f>SUM(E22:E25)</f>
        <v>21893600.079399999</v>
      </c>
      <c r="F27" s="278"/>
    </row>
    <row r="28" spans="1:6">
      <c r="A28" s="337">
        <f t="shared" si="0"/>
        <v>17</v>
      </c>
      <c r="B28" s="326"/>
      <c r="C28" s="326"/>
      <c r="D28" s="667"/>
      <c r="E28" s="668"/>
      <c r="F28" s="278"/>
    </row>
    <row r="29" spans="1:6">
      <c r="A29" s="337">
        <f t="shared" si="0"/>
        <v>18</v>
      </c>
      <c r="B29" s="483" t="s">
        <v>295</v>
      </c>
      <c r="C29" s="483"/>
      <c r="D29" s="483"/>
      <c r="E29" s="125">
        <f>E15-E22</f>
        <v>1038077.1900000013</v>
      </c>
      <c r="F29" s="278"/>
    </row>
    <row r="30" spans="1:6">
      <c r="A30" s="337">
        <f t="shared" si="0"/>
        <v>19</v>
      </c>
      <c r="B30" s="483" t="s">
        <v>296</v>
      </c>
      <c r="C30" s="326"/>
      <c r="D30" s="326"/>
      <c r="E30" s="662">
        <f>(E16+E17+E18)-(E23+E24+E25)</f>
        <v>-1953834.9193999991</v>
      </c>
      <c r="F30" s="260"/>
    </row>
    <row r="31" spans="1:6">
      <c r="A31" s="337">
        <f>A30+1</f>
        <v>20</v>
      </c>
      <c r="B31" s="326" t="s">
        <v>297</v>
      </c>
      <c r="C31" s="326"/>
      <c r="D31" s="326"/>
      <c r="E31" s="477">
        <f>E18-E25</f>
        <v>0</v>
      </c>
      <c r="F31" s="260"/>
    </row>
    <row r="32" spans="1:6" ht="16.5" thickBot="1">
      <c r="A32" s="337">
        <f>A31+1</f>
        <v>21</v>
      </c>
      <c r="B32" s="483" t="s">
        <v>298</v>
      </c>
      <c r="C32" s="483"/>
      <c r="D32" s="483"/>
      <c r="E32" s="550">
        <f>-SUM(E29:E31)</f>
        <v>915757.72939999774</v>
      </c>
      <c r="F32" s="260"/>
    </row>
    <row r="33" spans="1:6" ht="16.5" thickTop="1">
      <c r="A33" s="337"/>
      <c r="B33" s="483"/>
      <c r="C33" s="535"/>
      <c r="D33" s="656"/>
      <c r="E33" s="573"/>
      <c r="F33" s="260"/>
    </row>
    <row r="34" spans="1:6">
      <c r="A34" s="552"/>
      <c r="B34" s="326"/>
      <c r="C34" s="656"/>
      <c r="D34" s="656"/>
      <c r="E34" s="573"/>
      <c r="F34" s="260"/>
    </row>
    <row r="35" spans="1:6">
      <c r="A35" s="337"/>
      <c r="B35" s="326"/>
      <c r="C35" s="326"/>
      <c r="D35" s="326"/>
      <c r="E35" s="480"/>
      <c r="F35" s="260"/>
    </row>
    <row r="36" spans="1:6">
      <c r="A36" s="259"/>
      <c r="B36" s="260"/>
      <c r="C36" s="261"/>
      <c r="D36" s="262"/>
      <c r="E36" s="263"/>
      <c r="F36" s="260"/>
    </row>
    <row r="37" spans="1:6">
      <c r="A37" s="259"/>
      <c r="B37" s="260"/>
      <c r="C37" s="261"/>
      <c r="D37" s="262"/>
      <c r="E37" s="263"/>
      <c r="F37" s="260"/>
    </row>
    <row r="38" spans="1:6">
      <c r="A38" s="259"/>
      <c r="B38" s="260"/>
      <c r="C38" s="261"/>
      <c r="D38" s="262"/>
      <c r="E38" s="263"/>
      <c r="F38" s="260"/>
    </row>
    <row r="39" spans="1:6">
      <c r="A39" s="259"/>
      <c r="B39" s="260"/>
      <c r="C39" s="261"/>
      <c r="D39" s="262"/>
      <c r="E39" s="263"/>
      <c r="F39" s="260"/>
    </row>
    <row r="40" spans="1:6">
      <c r="A40" s="259"/>
      <c r="B40" s="260"/>
      <c r="C40" s="260"/>
      <c r="D40" s="260"/>
      <c r="E40" s="264"/>
      <c r="F40" s="265"/>
    </row>
    <row r="41" spans="1:6">
      <c r="A41" s="259"/>
      <c r="B41" s="260"/>
      <c r="C41" s="260"/>
      <c r="D41" s="266"/>
      <c r="E41" s="267"/>
      <c r="F41" s="260"/>
    </row>
    <row r="42" spans="1:6">
      <c r="A42" s="259"/>
      <c r="B42" s="268"/>
      <c r="C42" s="260"/>
      <c r="D42" s="266"/>
      <c r="E42" s="267"/>
      <c r="F42" s="260"/>
    </row>
    <row r="43" spans="1:6">
      <c r="A43" s="259"/>
      <c r="B43" s="268"/>
      <c r="C43" s="260"/>
      <c r="D43" s="266"/>
      <c r="E43" s="267"/>
      <c r="F43" s="260"/>
    </row>
    <row r="44" spans="1:6">
      <c r="A44" s="259"/>
      <c r="B44" s="260"/>
      <c r="C44" s="260"/>
      <c r="D44" s="266"/>
      <c r="E44" s="267"/>
      <c r="F44" s="264"/>
    </row>
    <row r="45" spans="1:6">
      <c r="A45" s="259"/>
      <c r="B45" s="260"/>
      <c r="C45" s="260"/>
      <c r="D45" s="266"/>
      <c r="E45" s="267"/>
      <c r="F45" s="260"/>
    </row>
    <row r="46" spans="1:6">
      <c r="A46" s="259"/>
      <c r="B46" s="269"/>
      <c r="C46" s="269"/>
      <c r="D46" s="270"/>
      <c r="E46" s="265"/>
      <c r="F46" s="262"/>
    </row>
    <row r="47" spans="1:6">
      <c r="A47" s="259"/>
      <c r="B47" s="269"/>
      <c r="C47" s="269"/>
      <c r="D47" s="270"/>
      <c r="E47" s="271"/>
      <c r="F47" s="262"/>
    </row>
    <row r="48" spans="1:6">
      <c r="A48" s="259"/>
      <c r="B48" s="272"/>
      <c r="C48" s="269"/>
      <c r="D48" s="273"/>
      <c r="E48" s="274"/>
      <c r="F48" s="275"/>
    </row>
    <row r="49" spans="1:6">
      <c r="A49" s="259"/>
      <c r="B49" s="269"/>
      <c r="C49" s="269"/>
      <c r="D49" s="276"/>
      <c r="E49" s="274"/>
      <c r="F49" s="262"/>
    </row>
    <row r="50" spans="1:6">
      <c r="A50" s="259"/>
      <c r="B50" s="269"/>
      <c r="C50" s="269"/>
      <c r="D50" s="270"/>
      <c r="E50" s="267"/>
      <c r="F50" s="262"/>
    </row>
    <row r="51" spans="1:6">
      <c r="A51" s="259"/>
      <c r="B51" s="272"/>
      <c r="C51" s="269"/>
      <c r="D51" s="260"/>
      <c r="E51" s="274"/>
      <c r="F51" s="275"/>
    </row>
    <row r="52" spans="1:6">
      <c r="A52" s="259"/>
      <c r="B52" s="269"/>
      <c r="C52" s="269"/>
      <c r="D52" s="260"/>
      <c r="E52" s="260"/>
      <c r="F52" s="262"/>
    </row>
    <row r="53" spans="1:6">
      <c r="A53" s="259"/>
      <c r="B53" s="269"/>
      <c r="C53" s="269"/>
      <c r="D53" s="260"/>
      <c r="E53" s="274"/>
      <c r="F53" s="275"/>
    </row>
    <row r="54" spans="1:6">
      <c r="A54" s="259"/>
      <c r="B54" s="269"/>
      <c r="C54" s="269"/>
      <c r="D54" s="260"/>
      <c r="E54" s="274"/>
      <c r="F54" s="274"/>
    </row>
    <row r="55" spans="1:6">
      <c r="A55" s="259"/>
      <c r="B55" s="269"/>
      <c r="C55" s="269"/>
      <c r="D55" s="277"/>
      <c r="E55" s="274"/>
      <c r="F55" s="262"/>
    </row>
    <row r="56" spans="1:6">
      <c r="A56" s="259"/>
      <c r="B56" s="269"/>
      <c r="C56" s="269"/>
      <c r="D56" s="260"/>
      <c r="E56" s="274"/>
      <c r="F56" s="267"/>
    </row>
    <row r="57" spans="1:6">
      <c r="A57" s="259"/>
      <c r="B57" s="278"/>
      <c r="C57" s="278"/>
      <c r="D57" s="278"/>
      <c r="E57" s="278"/>
      <c r="F57" s="259"/>
    </row>
  </sheetData>
  <mergeCells count="1">
    <mergeCell ref="A4:F4"/>
  </mergeCells>
  <pageMargins left="0.7" right="0.7" top="0.75" bottom="0.75" header="0.75" footer="0.3"/>
  <pageSetup scale="81" orientation="portrait" r:id="rId1"/>
  <headerFooter>
    <oddHeader>&amp;R&amp;"Times New Roman,Regular"&amp;12EXHIBIT KHB-3
Page 3.9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105F71A-BC31-4F87-9F6E-9563A7FDD366}"/>
</file>

<file path=customXml/itemProps2.xml><?xml version="1.0" encoding="utf-8"?>
<ds:datastoreItem xmlns:ds="http://schemas.openxmlformats.org/officeDocument/2006/customXml" ds:itemID="{841C57A8-BDEE-43FF-B1B8-060580C17746}"/>
</file>

<file path=customXml/itemProps3.xml><?xml version="1.0" encoding="utf-8"?>
<ds:datastoreItem xmlns:ds="http://schemas.openxmlformats.org/officeDocument/2006/customXml" ds:itemID="{436826F2-FFA0-4977-B5DF-6A0B3E80FD33}"/>
</file>

<file path=customXml/itemProps4.xml><?xml version="1.0" encoding="utf-8"?>
<ds:datastoreItem xmlns:ds="http://schemas.openxmlformats.org/officeDocument/2006/customXml" ds:itemID="{9B37E145-3F9E-44FF-8ED2-06CDDC3BE6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8</vt:i4>
      </vt:variant>
    </vt:vector>
  </HeadingPairs>
  <TitlesOfParts>
    <vt:vector size="43" baseType="lpstr">
      <vt:lpstr>EXH KBH-3 P3.1</vt:lpstr>
      <vt:lpstr>EXH KBH-3 P3.2</vt:lpstr>
      <vt:lpstr>EXH KBH-3 P3.3</vt:lpstr>
      <vt:lpstr>EXH KBH-3 P3.4</vt:lpstr>
      <vt:lpstr>EXH KBH-3 P3.5</vt:lpstr>
      <vt:lpstr> Adj 9.01 P3.6</vt:lpstr>
      <vt:lpstr> Adj 9.02 P3.7</vt:lpstr>
      <vt:lpstr> Adj 9.03 P3.8</vt:lpstr>
      <vt:lpstr> Adj 9.04 P3.9</vt:lpstr>
      <vt:lpstr>Adj 9.05 P3.10</vt:lpstr>
      <vt:lpstr> Adj 9.06 P3.11</vt:lpstr>
      <vt:lpstr> Adj 9.07 P3.12</vt:lpstr>
      <vt:lpstr> Adj 9.08 P3.13</vt:lpstr>
      <vt:lpstr> Adj 9.09 P3.14</vt:lpstr>
      <vt:lpstr> Adj 9.10 P3.15</vt:lpstr>
      <vt:lpstr> Adj 9.11 P3.16</vt:lpstr>
      <vt:lpstr> Adj 9.12 P3.17</vt:lpstr>
      <vt:lpstr> Adj 9.13 P3.18</vt:lpstr>
      <vt:lpstr> Adj 9.14 P3.19</vt:lpstr>
      <vt:lpstr> Adj 9.15 P3.20</vt:lpstr>
      <vt:lpstr> Adj 9.16 P3.21</vt:lpstr>
      <vt:lpstr> Adj 9.17 P3.22</vt:lpstr>
      <vt:lpstr> Adj 9.18 P3.23</vt:lpstr>
      <vt:lpstr> Adj 9.19 P3.24</vt:lpstr>
      <vt:lpstr> Adj 9.20 P3.25</vt:lpstr>
      <vt:lpstr> Adj 9.21 P3.26</vt:lpstr>
      <vt:lpstr> Adj 9.22 P3.27</vt:lpstr>
      <vt:lpstr> Adj 9.23 P3.28</vt:lpstr>
      <vt:lpstr>Gen Inc P3.29</vt:lpstr>
      <vt:lpstr>Capital P3.30</vt:lpstr>
      <vt:lpstr>Conv Fact P3.31</vt:lpstr>
      <vt:lpstr>Rev Req Comp P3.32</vt:lpstr>
      <vt:lpstr>Company Gas</vt:lpstr>
      <vt:lpstr>Staff Gas</vt:lpstr>
      <vt:lpstr>Capital</vt:lpstr>
      <vt:lpstr>CO</vt:lpstr>
      <vt:lpstr>DOCKET</vt:lpstr>
      <vt:lpstr>FIT</vt:lpstr>
      <vt:lpstr>GRC</vt:lpstr>
      <vt:lpstr>'EXH KBH-3 P3.1'!Print_Area</vt:lpstr>
      <vt:lpstr>PSE</vt:lpstr>
      <vt:lpstr>Title</vt:lpstr>
      <vt:lpstr>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2009-11-17T22:01:00Z</cp:lastPrinted>
  <dcterms:created xsi:type="dcterms:W3CDTF">2009-11-10T21:48:22Z</dcterms:created>
  <dcterms:modified xsi:type="dcterms:W3CDTF">2009-11-17T22:01:12Z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