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goggi\Desktop\"/>
    </mc:Choice>
  </mc:AlternateContent>
  <xr:revisionPtr revIDLastSave="0" documentId="13_ncr:1_{B4D0EA81-B060-4281-BD0D-B9B7C2AB142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  <sheet name="Non-CTS chart" sheetId="3" r:id="rId2"/>
    <sheet name="CETA chart" sheetId="4" r:id="rId3"/>
    <sheet name="chart data" sheetId="2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1" l="1"/>
  <c r="T14" i="1" s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X9" i="1"/>
  <c r="W9" i="1" s="1"/>
  <c r="D23" i="2"/>
  <c r="D17" i="2"/>
  <c r="D22" i="2" s="1"/>
  <c r="D18" i="2"/>
  <c r="D24" i="2" s="1"/>
  <c r="D16" i="2"/>
  <c r="E16" i="2" s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J22" i="1"/>
  <c r="J23" i="1"/>
  <c r="K20" i="1"/>
  <c r="L20" i="1" s="1"/>
  <c r="M20" i="1" s="1"/>
  <c r="K21" i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J19" i="1"/>
  <c r="E23" i="2" l="1"/>
  <c r="F16" i="2"/>
  <c r="G16" i="2" s="1"/>
  <c r="S13" i="1"/>
  <c r="V13" i="1"/>
  <c r="R13" i="1"/>
  <c r="H16" i="2"/>
  <c r="P14" i="1"/>
  <c r="S14" i="1"/>
  <c r="M14" i="1"/>
  <c r="V14" i="1"/>
  <c r="R14" i="1"/>
  <c r="O14" i="1"/>
  <c r="U14" i="1"/>
  <c r="Q14" i="1"/>
  <c r="N14" i="1"/>
  <c r="T13" i="1"/>
  <c r="N13" i="1"/>
  <c r="U13" i="1"/>
  <c r="Q13" i="1"/>
  <c r="M13" i="1"/>
  <c r="P13" i="1"/>
  <c r="O13" i="1"/>
  <c r="E18" i="2"/>
  <c r="F23" i="2"/>
  <c r="G23" i="2"/>
  <c r="E17" i="2"/>
  <c r="I16" i="2" l="1"/>
  <c r="H23" i="2"/>
  <c r="J14" i="1"/>
  <c r="J13" i="1"/>
  <c r="J8" i="1" s="1"/>
  <c r="E22" i="2"/>
  <c r="F17" i="2"/>
  <c r="E24" i="2"/>
  <c r="F18" i="2"/>
  <c r="I23" i="2" l="1"/>
  <c r="J16" i="2"/>
  <c r="J9" i="1"/>
  <c r="G18" i="2"/>
  <c r="F24" i="2"/>
  <c r="G17" i="2"/>
  <c r="F22" i="2"/>
  <c r="J23" i="2" l="1"/>
  <c r="K16" i="2"/>
  <c r="H17" i="2"/>
  <c r="G22" i="2"/>
  <c r="G24" i="2"/>
  <c r="H18" i="2"/>
  <c r="H24" i="2" s="1"/>
  <c r="L16" i="2" l="1"/>
  <c r="K23" i="2"/>
  <c r="I18" i="2"/>
  <c r="H22" i="2"/>
  <c r="I17" i="2"/>
  <c r="M16" i="2" l="1"/>
  <c r="L23" i="2"/>
  <c r="I22" i="2"/>
  <c r="J17" i="2"/>
  <c r="I24" i="2"/>
  <c r="J18" i="2"/>
  <c r="N16" i="2" l="1"/>
  <c r="M23" i="2"/>
  <c r="J24" i="2"/>
  <c r="K18" i="2"/>
  <c r="J22" i="2"/>
  <c r="K17" i="2"/>
  <c r="N23" i="2" l="1"/>
  <c r="O16" i="2"/>
  <c r="K24" i="2"/>
  <c r="L18" i="2"/>
  <c r="L17" i="2"/>
  <c r="K22" i="2"/>
  <c r="P16" i="2" l="1"/>
  <c r="O23" i="2"/>
  <c r="M18" i="2"/>
  <c r="L24" i="2"/>
  <c r="M17" i="2"/>
  <c r="L22" i="2"/>
  <c r="Q16" i="2" l="1"/>
  <c r="P23" i="2"/>
  <c r="N17" i="2"/>
  <c r="M22" i="2"/>
  <c r="N18" i="2"/>
  <c r="M24" i="2"/>
  <c r="R16" i="2" l="1"/>
  <c r="Q23" i="2"/>
  <c r="O18" i="2"/>
  <c r="N24" i="2"/>
  <c r="O17" i="2"/>
  <c r="N22" i="2"/>
  <c r="S16" i="2" l="1"/>
  <c r="R23" i="2"/>
  <c r="P17" i="2"/>
  <c r="O22" i="2"/>
  <c r="P18" i="2"/>
  <c r="O24" i="2"/>
  <c r="T16" i="2" l="1"/>
  <c r="S23" i="2"/>
  <c r="Q18" i="2"/>
  <c r="P24" i="2"/>
  <c r="Q17" i="2"/>
  <c r="P22" i="2"/>
  <c r="U16" i="2" l="1"/>
  <c r="T23" i="2"/>
  <c r="R17" i="2"/>
  <c r="Q22" i="2"/>
  <c r="R18" i="2"/>
  <c r="Q24" i="2"/>
  <c r="V16" i="2" l="1"/>
  <c r="U23" i="2"/>
  <c r="S18" i="2"/>
  <c r="R24" i="2"/>
  <c r="S17" i="2"/>
  <c r="R22" i="2"/>
  <c r="W16" i="2" l="1"/>
  <c r="V23" i="2"/>
  <c r="T17" i="2"/>
  <c r="S22" i="2"/>
  <c r="T18" i="2"/>
  <c r="S24" i="2"/>
  <c r="X16" i="2" l="1"/>
  <c r="W23" i="2"/>
  <c r="U18" i="2"/>
  <c r="T24" i="2"/>
  <c r="U17" i="2"/>
  <c r="T22" i="2"/>
  <c r="Y16" i="2" l="1"/>
  <c r="X23" i="2"/>
  <c r="V17" i="2"/>
  <c r="U22" i="2"/>
  <c r="V18" i="2"/>
  <c r="U24" i="2"/>
  <c r="Z16" i="2" l="1"/>
  <c r="Y23" i="2"/>
  <c r="W18" i="2"/>
  <c r="V24" i="2"/>
  <c r="W17" i="2"/>
  <c r="V22" i="2"/>
  <c r="AA16" i="2" l="1"/>
  <c r="Z23" i="2"/>
  <c r="X17" i="2"/>
  <c r="W22" i="2"/>
  <c r="X18" i="2"/>
  <c r="W24" i="2"/>
  <c r="AB16" i="2" l="1"/>
  <c r="AB23" i="2" s="1"/>
  <c r="AA23" i="2"/>
  <c r="Y17" i="2"/>
  <c r="X22" i="2"/>
  <c r="Y18" i="2"/>
  <c r="X24" i="2"/>
  <c r="Z18" i="2" l="1"/>
  <c r="Y24" i="2"/>
  <c r="Z17" i="2"/>
  <c r="Y22" i="2"/>
  <c r="AA18" i="2" l="1"/>
  <c r="Z24" i="2"/>
  <c r="AA17" i="2"/>
  <c r="Z22" i="2"/>
  <c r="AB17" i="2" l="1"/>
  <c r="AB22" i="2" s="1"/>
  <c r="AA22" i="2"/>
  <c r="AB18" i="2"/>
  <c r="AB24" i="2" s="1"/>
  <c r="AA24" i="2"/>
  <c r="N18" i="1" l="1"/>
  <c r="N20" i="1" l="1"/>
  <c r="O20" i="1" s="1"/>
  <c r="B23" i="1" l="1"/>
  <c r="B25" i="1"/>
  <c r="C25" i="1" l="1"/>
  <c r="E25" i="1" s="1"/>
  <c r="C24" i="1"/>
  <c r="E24" i="1" s="1"/>
  <c r="B24" i="1"/>
  <c r="D24" i="1" s="1"/>
  <c r="C22" i="1"/>
  <c r="E22" i="1" s="1"/>
  <c r="B22" i="1"/>
  <c r="D22" i="1" s="1"/>
  <c r="C23" i="1"/>
  <c r="E23" i="1" s="1"/>
  <c r="D23" i="1"/>
  <c r="C21" i="1"/>
  <c r="E21" i="1" s="1"/>
  <c r="B21" i="1"/>
  <c r="C19" i="1"/>
  <c r="E19" i="1" s="1"/>
  <c r="B19" i="1"/>
  <c r="D19" i="1" s="1"/>
  <c r="C18" i="1"/>
  <c r="E18" i="1" s="1"/>
  <c r="C20" i="1"/>
  <c r="E20" i="1" s="1"/>
  <c r="B20" i="1"/>
  <c r="D20" i="1" s="1"/>
  <c r="F21" i="1" l="1"/>
  <c r="G21" i="1" s="1"/>
  <c r="F25" i="1"/>
  <c r="G25" i="1" s="1"/>
  <c r="F19" i="1"/>
  <c r="G19" i="1" s="1"/>
  <c r="D21" i="1"/>
  <c r="F24" i="1"/>
  <c r="G24" i="1" s="1"/>
  <c r="D25" i="1"/>
  <c r="F23" i="1"/>
  <c r="G23" i="1" s="1"/>
  <c r="F22" i="1"/>
  <c r="G22" i="1" s="1"/>
  <c r="F20" i="1"/>
  <c r="G20" i="1" s="1"/>
  <c r="B18" i="1" l="1"/>
  <c r="D18" i="1" s="1"/>
  <c r="C17" i="1"/>
  <c r="B17" i="1"/>
  <c r="F18" i="1" l="1"/>
  <c r="G18" i="1" s="1"/>
  <c r="P18" i="1" s="1"/>
  <c r="J18" i="1" l="1"/>
  <c r="P20" i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E17" i="1"/>
  <c r="D17" i="1" l="1"/>
  <c r="F17" i="1"/>
</calcChain>
</file>

<file path=xl/sharedStrings.xml><?xml version="1.0" encoding="utf-8"?>
<sst xmlns="http://schemas.openxmlformats.org/spreadsheetml/2006/main" count="75" uniqueCount="64">
  <si>
    <t>Losses</t>
  </si>
  <si>
    <t>https://www.oasis.oati.com/woa/docs/AVAT/AVATdocs/OATT_Effective_8-1-2018.pdf</t>
  </si>
  <si>
    <t>https://www.oasis.oati.com/woa/docs/PSEI/PSEIdocs/PSEI_Current_OATT_Prices_2019_12_15.pdf</t>
  </si>
  <si>
    <t>MT Int</t>
  </si>
  <si>
    <t>Transmission Rate ($/kw-mo)</t>
  </si>
  <si>
    <t>PacifiCorp</t>
  </si>
  <si>
    <t>https://www.oasis.oati.com/woa/docs/PGE/PGEdocs/PGE-8_Tariff.pdf</t>
  </si>
  <si>
    <t>NWE PTP and Network Transmission</t>
  </si>
  <si>
    <t xml:space="preserve"> </t>
  </si>
  <si>
    <t>Current Transmission Tariff Rates</t>
  </si>
  <si>
    <t>Capacity Factor</t>
  </si>
  <si>
    <t>Cost of Energy</t>
  </si>
  <si>
    <t>Notes / Reference</t>
  </si>
  <si>
    <t>Avista (main system rate)</t>
  </si>
  <si>
    <t>From current FERC filing ($4.831 + scheduling charge of .099)</t>
  </si>
  <si>
    <t>PSE CTS + MT Int + BPA PTP</t>
  </si>
  <si>
    <t>Avista CTS + MT Int + BPA PTP</t>
  </si>
  <si>
    <t>BPA PTP</t>
  </si>
  <si>
    <t xml:space="preserve">BPA Point-to-Point Transmission (PTP) </t>
  </si>
  <si>
    <t xml:space="preserve">PSE CTS </t>
  </si>
  <si>
    <t xml:space="preserve">Avista CTS </t>
  </si>
  <si>
    <t xml:space="preserve">PGE CTS </t>
  </si>
  <si>
    <t>PGE CTS + MT Int + BPA PTP</t>
  </si>
  <si>
    <t>PAC CTS + MT Int + BPA PTP</t>
  </si>
  <si>
    <t>NWE + AVA (main)</t>
  </si>
  <si>
    <t>NWE + BPA PTP</t>
  </si>
  <si>
    <t>NWE + MT Int + BPA PTP</t>
  </si>
  <si>
    <t>NWE + AVA (main) + BPA PTP</t>
  </si>
  <si>
    <t>http://www.oasis.oati.com/woa/docs/AVAT/AVATdocs/OATT_Effective_8-1-2018.pdf</t>
  </si>
  <si>
    <t>https://www.oasis.oati.com/woa/docs/PPW?PPWdoscs/Rate_Table_20190601.pdf (PacifiCorp’s OASIS homepage&gt;PacifiCorp OASIS Tariff/Company Information&gt;OATT Pricing&gt;Current Rates&gt;Rate Table)</t>
  </si>
  <si>
    <t>Annual cost for 185 MW of wind</t>
  </si>
  <si>
    <t>Retain</t>
  </si>
  <si>
    <t>Sell</t>
  </si>
  <si>
    <t>Retain (low)</t>
  </si>
  <si>
    <t>Retain (high)</t>
  </si>
  <si>
    <t>BPA PTP of $1.533 + .317 scheduling dispatch charge (https://www.bpa.gov/Finance/RateInformation/RatesInfoTransmission/FY20-21/2020%20Transmission%20Rates%20Summary.pdf)</t>
  </si>
  <si>
    <t xml:space="preserve">https://www.bpa.gov/Finance/RateInformation/RatesInfoTransmission/FY20-21/2020%20Transmission%20Rates%20Summary.pdf </t>
  </si>
  <si>
    <t>CETA low cost</t>
  </si>
  <si>
    <t>CETA high cost</t>
  </si>
  <si>
    <t>CETA low cost+hedging</t>
  </si>
  <si>
    <t>CETA high cost+hedging</t>
  </si>
  <si>
    <t>Total Transmission Costs for Potential Transmission Options to Reach Pacific Northwest</t>
  </si>
  <si>
    <t>NPV</t>
  </si>
  <si>
    <t>Cumulative</t>
  </si>
  <si>
    <t>Annual</t>
  </si>
  <si>
    <t>Non-CTS chart</t>
  </si>
  <si>
    <t>Converted to cumulative</t>
  </si>
  <si>
    <t>Converted to $millions</t>
  </si>
  <si>
    <t>CETA chart</t>
  </si>
  <si>
    <t>Transmission Rates and Potential Pathways for Montana Wind to Pacific Northwest</t>
  </si>
  <si>
    <t>Tx Cost ($/MWh)</t>
  </si>
  <si>
    <t>Losses Cost ($/MWh)</t>
  </si>
  <si>
    <t>Total Cost ($/MWh)</t>
  </si>
  <si>
    <t>Scenario</t>
  </si>
  <si>
    <t>Non-CTS path</t>
  </si>
  <si>
    <t>25-year cash flow</t>
  </si>
  <si>
    <t>Sell PTP to NWE</t>
  </si>
  <si>
    <t>NPV calculations</t>
  </si>
  <si>
    <t>Annual capacity cost over decade</t>
  </si>
  <si>
    <t>Total capacity cost for CETA</t>
  </si>
  <si>
    <t>Cumulative cash flow, non-CTS</t>
  </si>
  <si>
    <t>Cumulative cash flow, sell</t>
  </si>
  <si>
    <t>Hedging</t>
  </si>
  <si>
    <t>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</si>
</sst>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.0000_);_(&quot;$&quot;* \(#,##0.0000\);_(&quot;$&quot;* &quot;-&quot;??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(Body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Body)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8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0" fillId="0" borderId="0" xfId="0" applyFill="1"/>
    <xf numFmtId="10" fontId="0" fillId="0" borderId="0" xfId="3" applyNumberFormat="1" applyFont="1" applyAlignment="1">
      <alignment vertical="top"/>
    </xf>
    <xf numFmtId="10" fontId="0" fillId="0" borderId="0" xfId="3" applyNumberFormat="1" applyFont="1" applyFill="1" applyAlignment="1">
      <alignment vertical="top"/>
    </xf>
    <xf numFmtId="164" fontId="0" fillId="0" borderId="0" xfId="2" applyNumberFormat="1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vertical="top"/>
    </xf>
    <xf numFmtId="9" fontId="7" fillId="0" borderId="0" xfId="3" applyFont="1" applyFill="1" applyAlignment="1">
      <alignment vertical="top"/>
    </xf>
    <xf numFmtId="44" fontId="7" fillId="0" borderId="0" xfId="2" applyFont="1" applyFill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44" fontId="0" fillId="0" borderId="0" xfId="0" applyNumberFormat="1" applyFill="1" applyAlignment="1">
      <alignment vertical="top"/>
    </xf>
    <xf numFmtId="44" fontId="0" fillId="0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/>
    <xf numFmtId="8" fontId="0" fillId="0" borderId="0" xfId="0" applyNumberFormat="1" applyFill="1" applyAlignment="1">
      <alignment vertical="top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/>
    <xf numFmtId="0" fontId="0" fillId="0" borderId="0" xfId="0"/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/>
    <xf numFmtId="0" fontId="0" fillId="0" borderId="0" xfId="0"/>
    <xf numFmtId="0" fontId="8" fillId="0" borderId="0" xfId="1" applyFont="1" applyAlignment="1">
      <alignment vertical="top" wrapText="1"/>
    </xf>
    <xf numFmtId="0" fontId="10" fillId="0" borderId="0" xfId="0" applyFont="1"/>
    <xf numFmtId="0" fontId="1" fillId="0" borderId="0" xfId="0" applyFont="1"/>
    <xf numFmtId="0" fontId="10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2" xfId="0" applyFont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2" fillId="0" borderId="0" xfId="0" applyFont="1" applyAlignment="1">
      <alignment vertical="top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5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4364765509584"/>
          <c:y val="2.2208201010131358E-2"/>
          <c:w val="0.87575635234490412"/>
          <c:h val="0.8562617509123725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data'!$C$5</c:f>
              <c:strCache>
                <c:ptCount val="1"/>
                <c:pt idx="0">
                  <c:v>Retain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 data'!$D$4:$AB$4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'chart data'!$D$5:$AB$5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4.2756681444999991</c:v>
                </c:pt>
                <c:pt idx="3">
                  <c:v>8.5513362889999982</c:v>
                </c:pt>
                <c:pt idx="4">
                  <c:v>16.652602246999997</c:v>
                </c:pt>
                <c:pt idx="5">
                  <c:v>24.753868205</c:v>
                </c:pt>
                <c:pt idx="6">
                  <c:v>32.855134162999995</c:v>
                </c:pt>
                <c:pt idx="7">
                  <c:v>40.956400121000001</c:v>
                </c:pt>
                <c:pt idx="8">
                  <c:v>49.057666078999993</c:v>
                </c:pt>
                <c:pt idx="9">
                  <c:v>57.158932036999992</c:v>
                </c:pt>
                <c:pt idx="10">
                  <c:v>65.260197994999984</c:v>
                </c:pt>
                <c:pt idx="11">
                  <c:v>73.361463952999998</c:v>
                </c:pt>
                <c:pt idx="12">
                  <c:v>81.462729910999997</c:v>
                </c:pt>
                <c:pt idx="13">
                  <c:v>89.563995868999996</c:v>
                </c:pt>
                <c:pt idx="14">
                  <c:v>97.665261827000009</c:v>
                </c:pt>
                <c:pt idx="15">
                  <c:v>105.76652778500001</c:v>
                </c:pt>
                <c:pt idx="16">
                  <c:v>113.86779374300002</c:v>
                </c:pt>
                <c:pt idx="17">
                  <c:v>121.96905970100002</c:v>
                </c:pt>
                <c:pt idx="18">
                  <c:v>130.07032565900002</c:v>
                </c:pt>
                <c:pt idx="19">
                  <c:v>138.17159161700002</c:v>
                </c:pt>
                <c:pt idx="20">
                  <c:v>146.27285757500002</c:v>
                </c:pt>
                <c:pt idx="21">
                  <c:v>154.37412353300002</c:v>
                </c:pt>
                <c:pt idx="22">
                  <c:v>162.47538949100002</c:v>
                </c:pt>
                <c:pt idx="23">
                  <c:v>170.57665544900004</c:v>
                </c:pt>
                <c:pt idx="24">
                  <c:v>178.67792140700004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D-444C-91E1-35355E3E226F}"/>
            </c:ext>
          </c:extLst>
        </c:ser>
        <c:ser>
          <c:idx val="1"/>
          <c:order val="1"/>
          <c:tx>
            <c:strRef>
              <c:f>'chart data'!$C$6</c:f>
              <c:strCache>
                <c:ptCount val="1"/>
                <c:pt idx="0">
                  <c:v>Sell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 data'!$D$4:$AB$4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'chart data'!$D$6:$AB$6</c:f>
              <c:numCache>
                <c:formatCode>General</c:formatCode>
                <c:ptCount val="25"/>
                <c:pt idx="0">
                  <c:v>1.075</c:v>
                </c:pt>
                <c:pt idx="1">
                  <c:v>1.075</c:v>
                </c:pt>
                <c:pt idx="2">
                  <c:v>1.075</c:v>
                </c:pt>
                <c:pt idx="3">
                  <c:v>1.075</c:v>
                </c:pt>
                <c:pt idx="4">
                  <c:v>1.7250000000000001</c:v>
                </c:pt>
                <c:pt idx="5">
                  <c:v>1.7250000000000001</c:v>
                </c:pt>
                <c:pt idx="6">
                  <c:v>1.7250000000000001</c:v>
                </c:pt>
                <c:pt idx="7">
                  <c:v>1.7250000000000001</c:v>
                </c:pt>
                <c:pt idx="8">
                  <c:v>1.7250000000000001</c:v>
                </c:pt>
                <c:pt idx="9">
                  <c:v>1.7250000000000001</c:v>
                </c:pt>
                <c:pt idx="10">
                  <c:v>1.7250000000000001</c:v>
                </c:pt>
                <c:pt idx="11">
                  <c:v>1.7250000000000001</c:v>
                </c:pt>
                <c:pt idx="12">
                  <c:v>1.7250000000000001</c:v>
                </c:pt>
                <c:pt idx="13">
                  <c:v>1.7250000000000001</c:v>
                </c:pt>
                <c:pt idx="14">
                  <c:v>1.7250000000000001</c:v>
                </c:pt>
                <c:pt idx="15">
                  <c:v>1.7250000000000001</c:v>
                </c:pt>
                <c:pt idx="16">
                  <c:v>1.7250000000000001</c:v>
                </c:pt>
                <c:pt idx="17">
                  <c:v>1.7250000000000001</c:v>
                </c:pt>
                <c:pt idx="18">
                  <c:v>1.7250000000000001</c:v>
                </c:pt>
                <c:pt idx="19">
                  <c:v>1.7250000000000001</c:v>
                </c:pt>
                <c:pt idx="20">
                  <c:v>1.7250000000000001</c:v>
                </c:pt>
                <c:pt idx="21">
                  <c:v>1.7250000000000001</c:v>
                </c:pt>
                <c:pt idx="22">
                  <c:v>1.7250000000000001</c:v>
                </c:pt>
                <c:pt idx="23">
                  <c:v>1.7250000000000001</c:v>
                </c:pt>
                <c:pt idx="24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D-444C-91E1-35355E3E2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440648"/>
        <c:axId val="860439664"/>
      </c:lineChart>
      <c:catAx>
        <c:axId val="86044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439664"/>
        <c:crosses val="autoZero"/>
        <c:auto val="1"/>
        <c:lblAlgn val="ctr"/>
        <c:lblOffset val="100"/>
        <c:noMultiLvlLbl val="0"/>
      </c:catAx>
      <c:valAx>
        <c:axId val="8604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Millions in cumulative cash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4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19127188046564"/>
          <c:y val="0.10384837760109779"/>
          <c:w val="0.13045487290351543"/>
          <c:h val="0.30056804985447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4364765509584"/>
          <c:y val="2.2208201010131358E-2"/>
          <c:w val="0.87575635234490412"/>
          <c:h val="0.8562617509123725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data'!$C$22</c:f>
              <c:strCache>
                <c:ptCount val="1"/>
                <c:pt idx="0">
                  <c:v>Retain (high)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 data'!$D$21:$AB$21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'chart data'!$D$22:$AB$22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70.342860000000002</c:v>
                </c:pt>
                <c:pt idx="3">
                  <c:v>140.68572</c:v>
                </c:pt>
                <c:pt idx="4">
                  <c:v>211.02858000000001</c:v>
                </c:pt>
                <c:pt idx="5">
                  <c:v>286.33836000000002</c:v>
                </c:pt>
                <c:pt idx="6">
                  <c:v>361.64814000000001</c:v>
                </c:pt>
                <c:pt idx="7">
                  <c:v>436.95792</c:v>
                </c:pt>
                <c:pt idx="8">
                  <c:v>512.26769999999999</c:v>
                </c:pt>
                <c:pt idx="9">
                  <c:v>587.57748000000004</c:v>
                </c:pt>
                <c:pt idx="10">
                  <c:v>662.88725999999997</c:v>
                </c:pt>
                <c:pt idx="11">
                  <c:v>738.19704000000002</c:v>
                </c:pt>
                <c:pt idx="12">
                  <c:v>748.40682000000004</c:v>
                </c:pt>
                <c:pt idx="13">
                  <c:v>758.61659999999995</c:v>
                </c:pt>
                <c:pt idx="14">
                  <c:v>768.82637999999997</c:v>
                </c:pt>
                <c:pt idx="15">
                  <c:v>779.03616</c:v>
                </c:pt>
                <c:pt idx="16">
                  <c:v>789.24594000000002</c:v>
                </c:pt>
                <c:pt idx="17">
                  <c:v>799.45572000000004</c:v>
                </c:pt>
                <c:pt idx="18">
                  <c:v>809.66549999999995</c:v>
                </c:pt>
                <c:pt idx="19">
                  <c:v>819.87527999999998</c:v>
                </c:pt>
                <c:pt idx="20">
                  <c:v>830.08506</c:v>
                </c:pt>
                <c:pt idx="21">
                  <c:v>840.29484000000002</c:v>
                </c:pt>
                <c:pt idx="22">
                  <c:v>850.50462000000005</c:v>
                </c:pt>
                <c:pt idx="23">
                  <c:v>860.71439999999996</c:v>
                </c:pt>
                <c:pt idx="24">
                  <c:v>870.92417999999998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38-457B-8E91-3EC8E47F2DF9}"/>
            </c:ext>
          </c:extLst>
        </c:ser>
        <c:ser>
          <c:idx val="1"/>
          <c:order val="1"/>
          <c:tx>
            <c:strRef>
              <c:f>'chart data'!$C$23</c:f>
              <c:strCache>
                <c:ptCount val="1"/>
                <c:pt idx="0">
                  <c:v>Retain (low)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 data'!$D$21:$AB$21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'chart data'!$D$23:$AB$23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27.634695000000004</c:v>
                </c:pt>
                <c:pt idx="3">
                  <c:v>55.269390000000008</c:v>
                </c:pt>
                <c:pt idx="4">
                  <c:v>82.904085000000009</c:v>
                </c:pt>
                <c:pt idx="5">
                  <c:v>112.49007000000002</c:v>
                </c:pt>
                <c:pt idx="6">
                  <c:v>142.07605500000003</c:v>
                </c:pt>
                <c:pt idx="7">
                  <c:v>171.66204000000002</c:v>
                </c:pt>
                <c:pt idx="8">
                  <c:v>201.24802500000004</c:v>
                </c:pt>
                <c:pt idx="9">
                  <c:v>230.83401000000003</c:v>
                </c:pt>
                <c:pt idx="10">
                  <c:v>260.41999500000003</c:v>
                </c:pt>
                <c:pt idx="11">
                  <c:v>290.00598000000008</c:v>
                </c:pt>
                <c:pt idx="12">
                  <c:v>294.01696500000008</c:v>
                </c:pt>
                <c:pt idx="13">
                  <c:v>298.02795000000003</c:v>
                </c:pt>
                <c:pt idx="14">
                  <c:v>302.03893500000004</c:v>
                </c:pt>
                <c:pt idx="15">
                  <c:v>306.04992000000004</c:v>
                </c:pt>
                <c:pt idx="16">
                  <c:v>310.06090500000005</c:v>
                </c:pt>
                <c:pt idx="17">
                  <c:v>314.07189000000005</c:v>
                </c:pt>
                <c:pt idx="18">
                  <c:v>318.08287500000006</c:v>
                </c:pt>
                <c:pt idx="19">
                  <c:v>322.09386000000006</c:v>
                </c:pt>
                <c:pt idx="20">
                  <c:v>326.10484500000007</c:v>
                </c:pt>
                <c:pt idx="21">
                  <c:v>330.11583000000007</c:v>
                </c:pt>
                <c:pt idx="22">
                  <c:v>334.12681500000008</c:v>
                </c:pt>
                <c:pt idx="23">
                  <c:v>338.13780000000008</c:v>
                </c:pt>
                <c:pt idx="24">
                  <c:v>342.14878500000003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8-457B-8E91-3EC8E47F2DF9}"/>
            </c:ext>
          </c:extLst>
        </c:ser>
        <c:ser>
          <c:idx val="2"/>
          <c:order val="2"/>
          <c:tx>
            <c:strRef>
              <c:f>'chart data'!$C$24</c:f>
              <c:strCache>
                <c:ptCount val="1"/>
                <c:pt idx="0">
                  <c:v>Sell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 data'!$D$21:$AB$21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'chart data'!$D$24:$AB$24</c:f>
              <c:numCache>
                <c:formatCode>General</c:formatCode>
                <c:ptCount val="25"/>
                <c:pt idx="0">
                  <c:v>1.075</c:v>
                </c:pt>
                <c:pt idx="1">
                  <c:v>1.075</c:v>
                </c:pt>
                <c:pt idx="2">
                  <c:v>1.075</c:v>
                </c:pt>
                <c:pt idx="3">
                  <c:v>1.075</c:v>
                </c:pt>
                <c:pt idx="4">
                  <c:v>1.7250000000000001</c:v>
                </c:pt>
                <c:pt idx="5">
                  <c:v>1.7250000000000001</c:v>
                </c:pt>
                <c:pt idx="6">
                  <c:v>1.7250000000000001</c:v>
                </c:pt>
                <c:pt idx="7">
                  <c:v>1.7250000000000001</c:v>
                </c:pt>
                <c:pt idx="8">
                  <c:v>1.7250000000000001</c:v>
                </c:pt>
                <c:pt idx="9">
                  <c:v>1.7250000000000001</c:v>
                </c:pt>
                <c:pt idx="10">
                  <c:v>1.7250000000000001</c:v>
                </c:pt>
                <c:pt idx="11">
                  <c:v>1.7250000000000001</c:v>
                </c:pt>
                <c:pt idx="12">
                  <c:v>1.7250000000000001</c:v>
                </c:pt>
                <c:pt idx="13">
                  <c:v>1.7250000000000001</c:v>
                </c:pt>
                <c:pt idx="14">
                  <c:v>1.7250000000000001</c:v>
                </c:pt>
                <c:pt idx="15">
                  <c:v>1.7250000000000001</c:v>
                </c:pt>
                <c:pt idx="16">
                  <c:v>1.7250000000000001</c:v>
                </c:pt>
                <c:pt idx="17">
                  <c:v>1.7250000000000001</c:v>
                </c:pt>
                <c:pt idx="18">
                  <c:v>1.7250000000000001</c:v>
                </c:pt>
                <c:pt idx="19">
                  <c:v>1.7250000000000001</c:v>
                </c:pt>
                <c:pt idx="20">
                  <c:v>1.7250000000000001</c:v>
                </c:pt>
                <c:pt idx="21">
                  <c:v>1.7250000000000001</c:v>
                </c:pt>
                <c:pt idx="22">
                  <c:v>1.7250000000000001</c:v>
                </c:pt>
                <c:pt idx="23">
                  <c:v>1.7250000000000001</c:v>
                </c:pt>
                <c:pt idx="24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38-457B-8E91-3EC8E47F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440648"/>
        <c:axId val="860439664"/>
      </c:lineChart>
      <c:catAx>
        <c:axId val="86044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439664"/>
        <c:crosses val="autoZero"/>
        <c:auto val="1"/>
        <c:lblAlgn val="ctr"/>
        <c:lblOffset val="100"/>
        <c:noMultiLvlLbl val="0"/>
      </c:catAx>
      <c:valAx>
        <c:axId val="8604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Millions in cumulative cash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4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40866880026901"/>
          <c:y val="0.17854869008972146"/>
          <c:w val="0.15670480097429357"/>
          <c:h val="0.34902230660384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719452-4708-4351-BCDE-C4CE7F697ED8}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AEEED8-BA83-40DD-A820-DD49ED05776E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05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BFB50E-E1F9-40F9-A679-5BC5E9AA81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05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5282E-1D54-4063-AFA5-00D71AB7F2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sis.oati.com/woa/docs/AVAT/AVATdocs/OATT_Effective_8-1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asis.oati.com/woa/docs/PSEI/PSEIdocs/PSEI_Current_OATT_Prices_2019_12_15.pdf" TargetMode="External"/><Relationship Id="rId1" Type="http://schemas.openxmlformats.org/officeDocument/2006/relationships/hyperlink" Target="https://www.oasis.oati.com/woa/docs/PGE/PGEdocs/PGE-8_Tariff.pdf" TargetMode="External"/><Relationship Id="rId6" Type="http://schemas.openxmlformats.org/officeDocument/2006/relationships/hyperlink" Target="https://www.bpa.gov/Finance/RateInformation/RatesInfoTransmission/FY20-21/2020%20Transmission%20Rates%20Summary.pdf" TargetMode="External"/><Relationship Id="rId5" Type="http://schemas.openxmlformats.org/officeDocument/2006/relationships/hyperlink" Target="https://www.oasis.oati.com/woa/docs/PPW?PPWdoscs/Rate_Table_20190601.pdf%20(PacifiCorp&#8217;s%20OASIS%20homepage%3ePacifiCorp%20OASIS%20Tariff/Company%20Information%3eOATT%20Pricing%3eCurrent%20Rates%3eRate%20Table)" TargetMode="External"/><Relationship Id="rId4" Type="http://schemas.openxmlformats.org/officeDocument/2006/relationships/hyperlink" Target="http://www.oasis.oati.com/woa/docs/AVAT/AVATdocs/OATT_Effective_8-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topLeftCell="A5" zoomScaleNormal="100" workbookViewId="0">
      <selection activeCell="H7" sqref="H7"/>
    </sheetView>
  </sheetViews>
  <sheetFormatPr defaultColWidth="9.1796875" defaultRowHeight="20" customHeight="1"/>
  <cols>
    <col min="1" max="1" width="32.1796875" style="1" customWidth="1"/>
    <col min="2" max="2" width="13.6328125" style="1" customWidth="1"/>
    <col min="3" max="3" width="10.6328125" style="1" customWidth="1"/>
    <col min="4" max="6" width="11.81640625" style="7" customWidth="1"/>
    <col min="7" max="7" width="23.08984375" style="4" customWidth="1"/>
    <col min="8" max="8" width="20.36328125" style="4" customWidth="1"/>
    <col min="9" max="9" width="26.1796875" style="48" customWidth="1"/>
    <col min="10" max="10" width="17.1796875" style="1" customWidth="1"/>
    <col min="11" max="11" width="9.1796875" style="46"/>
    <col min="12" max="15" width="9.1796875" style="22"/>
    <col min="16" max="16" width="13.26953125" style="1" bestFit="1" customWidth="1"/>
    <col min="17" max="19" width="9.1796875" style="1"/>
    <col min="20" max="20" width="9.81640625" style="1" bestFit="1" customWidth="1"/>
    <col min="21" max="21" width="15.1796875" style="1" bestFit="1" customWidth="1"/>
    <col min="22" max="22" width="12" style="1" bestFit="1" customWidth="1"/>
    <col min="23" max="23" width="8.81640625" style="1" bestFit="1" customWidth="1"/>
    <col min="24" max="25" width="12" style="1" bestFit="1" customWidth="1"/>
    <col min="26" max="34" width="9.1796875" style="1"/>
    <col min="35" max="35" width="11.81640625" style="1" bestFit="1" customWidth="1"/>
    <col min="36" max="16384" width="9.1796875" style="1"/>
  </cols>
  <sheetData>
    <row r="1" spans="1:35" ht="20" customHeight="1">
      <c r="A1" s="34" t="s">
        <v>49</v>
      </c>
      <c r="B1" s="34"/>
      <c r="C1" s="34"/>
      <c r="D1" s="34"/>
      <c r="E1" s="34"/>
      <c r="F1" s="34"/>
      <c r="G1" s="34"/>
      <c r="H1" s="26"/>
    </row>
    <row r="2" spans="1:35" s="7" customFormat="1" ht="20" customHeight="1">
      <c r="A2" s="34"/>
      <c r="B2" s="34"/>
      <c r="C2" s="34"/>
      <c r="D2" s="34"/>
      <c r="E2" s="34"/>
      <c r="F2" s="34"/>
      <c r="G2" s="34"/>
      <c r="H2" s="26"/>
      <c r="I2" s="48"/>
      <c r="K2" s="46"/>
      <c r="L2" s="22"/>
      <c r="M2" s="22"/>
      <c r="N2" s="22"/>
      <c r="O2" s="22"/>
    </row>
    <row r="3" spans="1:35" ht="20" customHeight="1">
      <c r="A3" s="35"/>
      <c r="B3" s="35"/>
      <c r="C3" s="35"/>
      <c r="D3" s="35"/>
      <c r="E3" s="35"/>
      <c r="F3" s="35"/>
      <c r="G3" s="35"/>
      <c r="H3" s="27"/>
    </row>
    <row r="4" spans="1:35" ht="20" customHeight="1">
      <c r="A4" s="37" t="s">
        <v>9</v>
      </c>
      <c r="B4" s="37"/>
      <c r="C4" s="37"/>
      <c r="D4" s="37"/>
      <c r="E4" s="37"/>
      <c r="F4" s="37"/>
      <c r="G4" s="37"/>
      <c r="H4" s="29"/>
      <c r="I4" s="52" t="s">
        <v>57</v>
      </c>
      <c r="J4" s="29"/>
      <c r="K4" s="54"/>
      <c r="L4" s="29"/>
      <c r="M4" s="29"/>
      <c r="N4" s="29"/>
      <c r="O4" s="29"/>
    </row>
    <row r="5" spans="1:35" ht="43.5">
      <c r="B5" s="5" t="s">
        <v>4</v>
      </c>
      <c r="C5" s="3" t="s">
        <v>0</v>
      </c>
      <c r="E5" s="8" t="s">
        <v>12</v>
      </c>
      <c r="F5" s="35"/>
      <c r="G5" s="35"/>
      <c r="H5" s="27"/>
    </row>
    <row r="6" spans="1:35" s="14" customFormat="1" ht="20" customHeight="1">
      <c r="A6" s="14" t="s">
        <v>18</v>
      </c>
      <c r="B6" s="13">
        <v>1.85</v>
      </c>
      <c r="C6" s="11">
        <v>1.9E-2</v>
      </c>
      <c r="E6" s="42" t="s">
        <v>35</v>
      </c>
      <c r="F6" s="38"/>
      <c r="G6" s="38"/>
      <c r="H6" s="30"/>
      <c r="I6" s="48"/>
      <c r="K6" s="46"/>
      <c r="L6" s="22"/>
      <c r="M6" s="22"/>
      <c r="N6" s="22"/>
      <c r="O6" s="22"/>
    </row>
    <row r="7" spans="1:35" ht="20" customHeight="1">
      <c r="A7" s="1" t="s">
        <v>19</v>
      </c>
      <c r="B7" s="13">
        <v>0.78500000000000003</v>
      </c>
      <c r="C7" s="11">
        <v>2.7E-2</v>
      </c>
      <c r="E7" s="38" t="s">
        <v>2</v>
      </c>
      <c r="F7" s="38"/>
      <c r="G7" s="38"/>
      <c r="H7" s="30"/>
      <c r="I7" s="51" t="s">
        <v>53</v>
      </c>
      <c r="J7" s="45" t="s">
        <v>42</v>
      </c>
      <c r="K7" s="55" t="s">
        <v>55</v>
      </c>
    </row>
    <row r="8" spans="1:35" ht="20" customHeight="1">
      <c r="A8" s="1" t="s">
        <v>20</v>
      </c>
      <c r="B8" s="13">
        <v>1.37</v>
      </c>
      <c r="C8" s="11">
        <v>0.03</v>
      </c>
      <c r="E8" s="38" t="s">
        <v>1</v>
      </c>
      <c r="F8" s="38"/>
      <c r="G8" s="38"/>
      <c r="H8" s="30"/>
      <c r="I8" s="48" t="s">
        <v>39</v>
      </c>
      <c r="J8" s="2">
        <f>J13+$J$22</f>
        <v>311682140.74172354</v>
      </c>
      <c r="W8" s="53" t="s">
        <v>58</v>
      </c>
      <c r="X8" s="53" t="s">
        <v>59</v>
      </c>
    </row>
    <row r="9" spans="1:35" s="14" customFormat="1" ht="20" customHeight="1">
      <c r="A9" s="14" t="s">
        <v>13</v>
      </c>
      <c r="B9" s="13">
        <v>2</v>
      </c>
      <c r="C9" s="12">
        <v>0.03</v>
      </c>
      <c r="E9" s="38" t="s">
        <v>28</v>
      </c>
      <c r="F9" s="38"/>
      <c r="G9" s="38"/>
      <c r="H9" s="30"/>
      <c r="I9" s="48" t="s">
        <v>40</v>
      </c>
      <c r="J9" s="2">
        <f>J14+$J$22</f>
        <v>651809615.53713703</v>
      </c>
      <c r="K9" s="46"/>
      <c r="L9" s="22"/>
      <c r="M9" s="22"/>
      <c r="N9" s="22"/>
      <c r="O9" s="22"/>
      <c r="W9" s="14">
        <f>X9/10*1.1</f>
        <v>25575000.000000004</v>
      </c>
      <c r="X9" s="14">
        <f>1550*150*1000</f>
        <v>232500000</v>
      </c>
    </row>
    <row r="10" spans="1:35" ht="20" customHeight="1">
      <c r="A10" s="1" t="s">
        <v>7</v>
      </c>
      <c r="B10" s="13">
        <v>4.93</v>
      </c>
      <c r="C10" s="11">
        <v>2.8000000000000001E-2</v>
      </c>
      <c r="E10" s="39" t="s">
        <v>14</v>
      </c>
      <c r="F10" s="39"/>
      <c r="G10" s="39"/>
      <c r="H10" s="31"/>
      <c r="W10" s="23">
        <f>X10/10*1.4</f>
        <v>65099999.999999993</v>
      </c>
      <c r="X10" s="1">
        <v>465000000</v>
      </c>
    </row>
    <row r="11" spans="1:35" ht="20" customHeight="1">
      <c r="A11" s="1" t="s">
        <v>3</v>
      </c>
      <c r="B11" s="13">
        <v>0.50600000000000001</v>
      </c>
      <c r="C11" s="11">
        <v>0.05</v>
      </c>
      <c r="E11" s="38" t="s">
        <v>36</v>
      </c>
      <c r="F11" s="39"/>
      <c r="G11" s="39"/>
      <c r="H11" s="31"/>
      <c r="K11" s="46">
        <v>2021</v>
      </c>
      <c r="L11" s="27">
        <v>2022</v>
      </c>
      <c r="M11" s="27">
        <v>2023</v>
      </c>
      <c r="N11" s="27">
        <v>2024</v>
      </c>
      <c r="O11" s="27">
        <v>2025</v>
      </c>
      <c r="P11" s="27">
        <v>2026</v>
      </c>
      <c r="Q11" s="27">
        <v>2027</v>
      </c>
      <c r="R11" s="27">
        <v>2028</v>
      </c>
      <c r="S11" s="27">
        <v>2029</v>
      </c>
      <c r="T11" s="27">
        <v>2030</v>
      </c>
      <c r="U11" s="27">
        <v>2031</v>
      </c>
      <c r="V11" s="27">
        <v>2032</v>
      </c>
      <c r="W11" s="27">
        <v>2033</v>
      </c>
      <c r="X11" s="27">
        <v>2034</v>
      </c>
      <c r="Y11" s="27">
        <v>2035</v>
      </c>
      <c r="Z11" s="27">
        <v>2036</v>
      </c>
      <c r="AA11" s="27">
        <v>2037</v>
      </c>
      <c r="AB11" s="27">
        <v>2038</v>
      </c>
      <c r="AC11" s="27">
        <v>2039</v>
      </c>
      <c r="AD11" s="27">
        <v>2040</v>
      </c>
      <c r="AE11" s="27">
        <v>2041</v>
      </c>
      <c r="AF11" s="27">
        <v>2042</v>
      </c>
      <c r="AG11" s="27">
        <v>2043</v>
      </c>
      <c r="AH11" s="27">
        <v>2044</v>
      </c>
      <c r="AI11" s="27">
        <v>2045</v>
      </c>
    </row>
    <row r="12" spans="1:35" ht="20" customHeight="1">
      <c r="A12" s="1" t="s">
        <v>21</v>
      </c>
      <c r="B12" s="13">
        <v>1.0129999999999999</v>
      </c>
      <c r="C12" s="11">
        <v>0.03</v>
      </c>
      <c r="E12" s="40" t="s">
        <v>6</v>
      </c>
      <c r="F12" s="40"/>
      <c r="G12" s="40"/>
      <c r="H12" s="32"/>
      <c r="I12" s="48" t="s">
        <v>32</v>
      </c>
      <c r="K12" s="46">
        <v>1075000</v>
      </c>
      <c r="L12" s="23"/>
      <c r="M12" s="23"/>
      <c r="N12" s="23"/>
      <c r="O12" s="23">
        <v>650000</v>
      </c>
    </row>
    <row r="13" spans="1:35" ht="20" customHeight="1">
      <c r="A13" s="1" t="s">
        <v>5</v>
      </c>
      <c r="B13" s="13">
        <v>2.8370000000000002</v>
      </c>
      <c r="C13" s="12">
        <v>4.2599999999999999E-2</v>
      </c>
      <c r="E13" s="40" t="s">
        <v>29</v>
      </c>
      <c r="F13" s="41"/>
      <c r="G13" s="41"/>
      <c r="H13" s="33"/>
      <c r="I13" s="48" t="s">
        <v>37</v>
      </c>
      <c r="J13" s="25">
        <f>NPV(0.0697,K13:AI13)</f>
        <v>220082483.69114983</v>
      </c>
      <c r="M13" s="22">
        <f>5.5*8760*$B$27*95+$W$9</f>
        <v>27634695.000000004</v>
      </c>
      <c r="N13" s="23">
        <f>5.5*8760*$B$27*95+$W$9</f>
        <v>27634695.000000004</v>
      </c>
      <c r="O13" s="23">
        <f>5.5*8760*$B$27*95+$W$9</f>
        <v>27634695.000000004</v>
      </c>
      <c r="P13" s="23">
        <f>5.5*8760*$B$27*185+$W$9</f>
        <v>29585985.000000004</v>
      </c>
      <c r="Q13" s="23">
        <f>5.5*8760*$B$27*185+$W$9</f>
        <v>29585985.000000004</v>
      </c>
      <c r="R13" s="23">
        <f>5.5*8760*$B$27*185+$W$9</f>
        <v>29585985.000000004</v>
      </c>
      <c r="S13" s="23">
        <f>5.5*8760*$B$27*185+$W$9</f>
        <v>29585985.000000004</v>
      </c>
      <c r="T13" s="23">
        <f>5.5*8760*$B$27*185+$W$9</f>
        <v>29585985.000000004</v>
      </c>
      <c r="U13" s="23">
        <f>5.5*8760*$B$27*185+$W$9</f>
        <v>29585985.000000004</v>
      </c>
      <c r="V13" s="23">
        <f>5.5*8760*$B$27*185+$W$9</f>
        <v>29585985.000000004</v>
      </c>
      <c r="W13" s="23">
        <f t="shared" ref="W13:AI13" si="0">5.5*8760*$B$27*185</f>
        <v>4010985</v>
      </c>
      <c r="X13" s="23">
        <f t="shared" si="0"/>
        <v>4010985</v>
      </c>
      <c r="Y13" s="23">
        <f t="shared" si="0"/>
        <v>4010985</v>
      </c>
      <c r="Z13" s="23">
        <f t="shared" si="0"/>
        <v>4010985</v>
      </c>
      <c r="AA13" s="23">
        <f t="shared" si="0"/>
        <v>4010985</v>
      </c>
      <c r="AB13" s="23">
        <f t="shared" si="0"/>
        <v>4010985</v>
      </c>
      <c r="AC13" s="23">
        <f t="shared" si="0"/>
        <v>4010985</v>
      </c>
      <c r="AD13" s="23">
        <f t="shared" si="0"/>
        <v>4010985</v>
      </c>
      <c r="AE13" s="23">
        <f t="shared" si="0"/>
        <v>4010985</v>
      </c>
      <c r="AF13" s="23">
        <f t="shared" si="0"/>
        <v>4010985</v>
      </c>
      <c r="AG13" s="23">
        <f t="shared" si="0"/>
        <v>4010985</v>
      </c>
      <c r="AH13" s="23">
        <f t="shared" si="0"/>
        <v>4010985</v>
      </c>
      <c r="AI13" s="23">
        <f t="shared" si="0"/>
        <v>4010985</v>
      </c>
    </row>
    <row r="14" spans="1:35" ht="20" customHeight="1">
      <c r="G14" s="27"/>
      <c r="H14" s="27"/>
      <c r="I14" s="48" t="s">
        <v>38</v>
      </c>
      <c r="J14" s="25">
        <f>NPV(0.0697,K14:AI14)</f>
        <v>560209958.48656332</v>
      </c>
      <c r="M14" s="23">
        <f>14*8760*$B$27*95+$W$10</f>
        <v>70342860</v>
      </c>
      <c r="N14" s="23">
        <f>14*8760*$B$27*95+$W$10</f>
        <v>70342860</v>
      </c>
      <c r="O14" s="23">
        <f>14*8760*$B$27*95+$W$10</f>
        <v>70342860</v>
      </c>
      <c r="P14" s="23">
        <f>14*8760*$B$27*185+$W$10</f>
        <v>75309780</v>
      </c>
      <c r="Q14" s="23">
        <f>14*8760*$B$27*185+$W$10</f>
        <v>75309780</v>
      </c>
      <c r="R14" s="23">
        <f>14*8760*$B$27*185+$W$10</f>
        <v>75309780</v>
      </c>
      <c r="S14" s="23">
        <f>14*8760*$B$27*185+$W$10</f>
        <v>75309780</v>
      </c>
      <c r="T14" s="23">
        <f>14*8760*$B$27*185+$W$10</f>
        <v>75309780</v>
      </c>
      <c r="U14" s="23">
        <f>14*8760*$B$27*185+$W$10</f>
        <v>75309780</v>
      </c>
      <c r="V14" s="23">
        <f>14*8760*$B$27*185+$W$10</f>
        <v>75309780</v>
      </c>
      <c r="W14" s="23">
        <f t="shared" ref="W14:AI14" si="1">14*8760*$B$27*185</f>
        <v>10209780</v>
      </c>
      <c r="X14" s="23">
        <f t="shared" si="1"/>
        <v>10209780</v>
      </c>
      <c r="Y14" s="23">
        <f t="shared" si="1"/>
        <v>10209780</v>
      </c>
      <c r="Z14" s="23">
        <f t="shared" si="1"/>
        <v>10209780</v>
      </c>
      <c r="AA14" s="23">
        <f t="shared" si="1"/>
        <v>10209780</v>
      </c>
      <c r="AB14" s="23">
        <f t="shared" si="1"/>
        <v>10209780</v>
      </c>
      <c r="AC14" s="23">
        <f t="shared" si="1"/>
        <v>10209780</v>
      </c>
      <c r="AD14" s="23">
        <f t="shared" si="1"/>
        <v>10209780</v>
      </c>
      <c r="AE14" s="23">
        <f t="shared" si="1"/>
        <v>10209780</v>
      </c>
      <c r="AF14" s="23">
        <f t="shared" si="1"/>
        <v>10209780</v>
      </c>
      <c r="AG14" s="23">
        <f t="shared" si="1"/>
        <v>10209780</v>
      </c>
      <c r="AH14" s="23">
        <f t="shared" si="1"/>
        <v>10209780</v>
      </c>
      <c r="AI14" s="23">
        <f t="shared" si="1"/>
        <v>10209780</v>
      </c>
    </row>
    <row r="15" spans="1:35" ht="20" customHeight="1">
      <c r="A15" s="36" t="s">
        <v>41</v>
      </c>
      <c r="B15" s="36"/>
      <c r="C15" s="36"/>
      <c r="D15" s="36"/>
      <c r="E15" s="36"/>
      <c r="F15" s="36"/>
      <c r="G15" s="36"/>
      <c r="H15" s="28"/>
      <c r="L15" s="23"/>
      <c r="M15" s="23"/>
      <c r="N15" s="23"/>
      <c r="O15" s="23"/>
      <c r="U15"/>
      <c r="V15"/>
      <c r="W15"/>
      <c r="X15"/>
      <c r="Y15"/>
    </row>
    <row r="16" spans="1:35" ht="43.5">
      <c r="B16" s="5" t="s">
        <v>4</v>
      </c>
      <c r="C16" s="3" t="s">
        <v>0</v>
      </c>
      <c r="D16" s="8" t="s">
        <v>50</v>
      </c>
      <c r="E16" s="8" t="s">
        <v>51</v>
      </c>
      <c r="F16" s="8" t="s">
        <v>52</v>
      </c>
      <c r="G16" s="50" t="s">
        <v>30</v>
      </c>
      <c r="U16"/>
      <c r="V16"/>
      <c r="W16"/>
      <c r="X16"/>
      <c r="Y16"/>
    </row>
    <row r="17" spans="1:35" ht="20" customHeight="1">
      <c r="A17" s="1" t="s">
        <v>17</v>
      </c>
      <c r="B17" s="18">
        <f>B6</f>
        <v>1.85</v>
      </c>
      <c r="C17" s="11">
        <f>C6</f>
        <v>1.9E-2</v>
      </c>
      <c r="D17" s="2">
        <f t="shared" ref="D17:D25" si="2">B17*1.37/$B$27</f>
        <v>5.6322222222222234</v>
      </c>
      <c r="E17" s="2">
        <f t="shared" ref="E17:E25" si="3">$B$28*C17</f>
        <v>0.56999999999999995</v>
      </c>
      <c r="F17" s="2">
        <f t="shared" ref="F17:F25" si="4">(B17*1.37/$B$27)+($B$28*C17)</f>
        <v>6.2022222222222236</v>
      </c>
      <c r="J17" s="2"/>
      <c r="K17" s="46">
        <v>2021</v>
      </c>
      <c r="L17" s="22">
        <v>2022</v>
      </c>
      <c r="M17" s="22">
        <v>2023</v>
      </c>
      <c r="N17" s="22">
        <v>2024</v>
      </c>
      <c r="O17" s="22">
        <v>2025</v>
      </c>
      <c r="P17" s="1">
        <v>2026</v>
      </c>
      <c r="Q17" s="1">
        <v>2027</v>
      </c>
      <c r="R17" s="22">
        <v>2028</v>
      </c>
      <c r="S17" s="22">
        <v>2029</v>
      </c>
      <c r="T17" s="22">
        <v>2030</v>
      </c>
      <c r="U17" s="22">
        <v>2031</v>
      </c>
      <c r="V17" s="22">
        <v>2032</v>
      </c>
      <c r="W17" s="22">
        <v>2033</v>
      </c>
      <c r="X17" s="22">
        <v>2034</v>
      </c>
      <c r="Y17" s="22">
        <v>2035</v>
      </c>
      <c r="Z17" s="22">
        <v>2036</v>
      </c>
      <c r="AA17" s="22">
        <v>2037</v>
      </c>
      <c r="AB17" s="22">
        <v>2038</v>
      </c>
      <c r="AC17" s="22">
        <v>2039</v>
      </c>
      <c r="AD17" s="22">
        <v>2040</v>
      </c>
      <c r="AE17" s="22">
        <v>2041</v>
      </c>
      <c r="AF17" s="22">
        <v>2042</v>
      </c>
      <c r="AG17" s="22">
        <v>2043</v>
      </c>
      <c r="AH17" s="22">
        <v>2044</v>
      </c>
      <c r="AI17" s="22">
        <v>2045</v>
      </c>
    </row>
    <row r="18" spans="1:35" s="4" customFormat="1" ht="75" customHeight="1">
      <c r="A18" s="4" t="s">
        <v>15</v>
      </c>
      <c r="B18" s="20">
        <f>B7+B11+B6</f>
        <v>3.141</v>
      </c>
      <c r="C18" s="12">
        <f>C7+C6</f>
        <v>4.5999999999999999E-2</v>
      </c>
      <c r="D18" s="25">
        <f>B18*1.37/$B$27</f>
        <v>9.5626000000000015</v>
      </c>
      <c r="E18" s="25">
        <f t="shared" si="3"/>
        <v>1.38</v>
      </c>
      <c r="F18" s="25">
        <f t="shared" si="4"/>
        <v>10.942600000000002</v>
      </c>
      <c r="G18" s="25">
        <f>185*8760*$B$27*F18</f>
        <v>7980109.9020000016</v>
      </c>
      <c r="H18" s="25"/>
      <c r="I18" s="49" t="s">
        <v>54</v>
      </c>
      <c r="J18" s="25">
        <f>NPV(0.0697,K18:AI18)</f>
        <v>73963880.862288147</v>
      </c>
      <c r="K18" s="47">
        <v>0</v>
      </c>
      <c r="L18" s="4">
        <v>0</v>
      </c>
      <c r="M18" s="4">
        <v>4275668.1444999995</v>
      </c>
      <c r="N18" s="4">
        <f>95/180*O18</f>
        <v>4275668.1444999995</v>
      </c>
      <c r="O18" s="4">
        <v>8101265.9579999996</v>
      </c>
      <c r="P18" s="25">
        <f>G22-G18</f>
        <v>8101265.9579999996</v>
      </c>
      <c r="Q18" s="4">
        <v>8101265.9579999996</v>
      </c>
      <c r="R18" s="4">
        <v>8101265.9579999996</v>
      </c>
      <c r="S18" s="4">
        <v>8101265.9579999996</v>
      </c>
      <c r="T18" s="4">
        <v>8101265.9579999996</v>
      </c>
      <c r="U18" s="4">
        <v>8101265.9579999996</v>
      </c>
      <c r="V18" s="4">
        <v>8101265.9579999996</v>
      </c>
      <c r="W18" s="4">
        <v>8101265.9579999996</v>
      </c>
      <c r="X18" s="4">
        <v>8101265.9579999996</v>
      </c>
      <c r="Y18" s="4">
        <v>8101265.9579999996</v>
      </c>
      <c r="Z18" s="4">
        <v>8101265.9579999996</v>
      </c>
      <c r="AA18" s="4">
        <v>8101265.9579999996</v>
      </c>
      <c r="AB18" s="4">
        <v>8101265.9579999996</v>
      </c>
      <c r="AC18" s="4">
        <v>8101265.9579999996</v>
      </c>
      <c r="AD18" s="4">
        <v>8101265.9579999996</v>
      </c>
      <c r="AE18" s="4">
        <v>8101265.9579999996</v>
      </c>
      <c r="AF18" s="4">
        <v>8101265.9579999996</v>
      </c>
      <c r="AG18" s="4">
        <v>8101265.9579999996</v>
      </c>
      <c r="AH18" s="4">
        <v>8101265.9579999996</v>
      </c>
      <c r="AI18" s="4">
        <v>8101265.9579999996</v>
      </c>
    </row>
    <row r="19" spans="1:35" s="4" customFormat="1" ht="75" customHeight="1">
      <c r="A19" s="4" t="s">
        <v>22</v>
      </c>
      <c r="B19" s="20">
        <f>B12+B11+B6</f>
        <v>3.3689999999999998</v>
      </c>
      <c r="C19" s="12">
        <f>C12+C6</f>
        <v>4.9000000000000002E-2</v>
      </c>
      <c r="D19" s="25">
        <f t="shared" si="2"/>
        <v>10.256733333333333</v>
      </c>
      <c r="E19" s="25">
        <f t="shared" si="3"/>
        <v>1.47</v>
      </c>
      <c r="F19" s="25">
        <f t="shared" si="4"/>
        <v>11.726733333333334</v>
      </c>
      <c r="G19" s="25">
        <f t="shared" ref="G19:G25" si="5">185*8760*$B$27*F19</f>
        <v>8551954.818</v>
      </c>
      <c r="H19" s="25"/>
      <c r="I19" s="49" t="s">
        <v>32</v>
      </c>
      <c r="J19" s="25">
        <f>NPV(0.0697,K19:AI19)</f>
        <v>1573008.3236728522</v>
      </c>
      <c r="K19" s="47">
        <v>1075000</v>
      </c>
      <c r="O19" s="4">
        <v>650000</v>
      </c>
      <c r="U19" s="10"/>
      <c r="V19" s="10"/>
      <c r="W19" s="10"/>
      <c r="X19" s="10"/>
      <c r="Y19" s="10"/>
    </row>
    <row r="20" spans="1:35" s="4" customFormat="1" ht="75" customHeight="1">
      <c r="A20" s="4" t="s">
        <v>16</v>
      </c>
      <c r="B20" s="20">
        <f>B8+B11+B6</f>
        <v>3.726</v>
      </c>
      <c r="C20" s="12">
        <f>C8+C6</f>
        <v>4.9000000000000002E-2</v>
      </c>
      <c r="D20" s="25">
        <f t="shared" si="2"/>
        <v>11.3436</v>
      </c>
      <c r="E20" s="25">
        <f t="shared" si="3"/>
        <v>1.47</v>
      </c>
      <c r="F20" s="25">
        <f t="shared" si="4"/>
        <v>12.813600000000001</v>
      </c>
      <c r="G20" s="25">
        <f t="shared" si="5"/>
        <v>9344574.0720000006</v>
      </c>
      <c r="H20" s="25"/>
      <c r="I20" s="49" t="s">
        <v>60</v>
      </c>
      <c r="K20" s="47">
        <f>K18</f>
        <v>0</v>
      </c>
      <c r="L20" s="4">
        <f>K20+L18</f>
        <v>0</v>
      </c>
      <c r="M20" s="4">
        <f>L20+M18</f>
        <v>4275668.1444999995</v>
      </c>
      <c r="N20" s="4">
        <f t="shared" ref="N20:AH20" si="6">M20+N18</f>
        <v>8551336.2889999989</v>
      </c>
      <c r="O20" s="4">
        <f t="shared" si="6"/>
        <v>16652602.246999998</v>
      </c>
      <c r="P20" s="4">
        <f t="shared" si="6"/>
        <v>24753868.204999998</v>
      </c>
      <c r="Q20" s="4">
        <f t="shared" si="6"/>
        <v>32855134.162999999</v>
      </c>
      <c r="R20" s="4">
        <f t="shared" si="6"/>
        <v>40956400.120999999</v>
      </c>
      <c r="S20" s="4">
        <f t="shared" si="6"/>
        <v>49057666.078999996</v>
      </c>
      <c r="T20" s="4">
        <f t="shared" si="6"/>
        <v>57158932.036999993</v>
      </c>
      <c r="U20" s="4">
        <f t="shared" si="6"/>
        <v>65260197.99499999</v>
      </c>
      <c r="V20" s="4">
        <f t="shared" si="6"/>
        <v>73361463.952999994</v>
      </c>
      <c r="W20" s="4">
        <f t="shared" si="6"/>
        <v>81462729.910999998</v>
      </c>
      <c r="X20" s="4">
        <f t="shared" si="6"/>
        <v>89563995.869000003</v>
      </c>
      <c r="Y20" s="4">
        <f t="shared" si="6"/>
        <v>97665261.827000007</v>
      </c>
      <c r="Z20" s="4">
        <f t="shared" si="6"/>
        <v>105766527.78500001</v>
      </c>
      <c r="AA20" s="4">
        <f t="shared" si="6"/>
        <v>113867793.74300002</v>
      </c>
      <c r="AB20" s="4">
        <f t="shared" si="6"/>
        <v>121969059.70100002</v>
      </c>
      <c r="AC20" s="4">
        <f t="shared" si="6"/>
        <v>130070325.65900002</v>
      </c>
      <c r="AD20" s="4">
        <f t="shared" si="6"/>
        <v>138171591.61700001</v>
      </c>
      <c r="AE20" s="4">
        <f t="shared" si="6"/>
        <v>146272857.57500002</v>
      </c>
      <c r="AF20" s="4">
        <f t="shared" si="6"/>
        <v>154374123.53300002</v>
      </c>
      <c r="AG20" s="4">
        <f t="shared" si="6"/>
        <v>162475389.49100003</v>
      </c>
      <c r="AH20" s="4">
        <f t="shared" si="6"/>
        <v>170576655.44900003</v>
      </c>
      <c r="AI20" s="4">
        <f>AH20+AI18</f>
        <v>178677921.40700004</v>
      </c>
    </row>
    <row r="21" spans="1:35" s="4" customFormat="1" ht="74" customHeight="1">
      <c r="A21" s="4" t="s">
        <v>23</v>
      </c>
      <c r="B21" s="20">
        <f>B13+B11+B6</f>
        <v>5.1929999999999996</v>
      </c>
      <c r="C21" s="12">
        <f>C13+C6</f>
        <v>6.1600000000000002E-2</v>
      </c>
      <c r="D21" s="25">
        <f t="shared" si="2"/>
        <v>15.809800000000001</v>
      </c>
      <c r="E21" s="25">
        <f t="shared" si="3"/>
        <v>1.8480000000000001</v>
      </c>
      <c r="F21" s="25">
        <f t="shared" si="4"/>
        <v>17.657800000000002</v>
      </c>
      <c r="G21" s="25">
        <f t="shared" si="5"/>
        <v>12877303.806000002</v>
      </c>
      <c r="H21" s="25"/>
      <c r="I21" s="49" t="s">
        <v>61</v>
      </c>
      <c r="K21" s="47">
        <f>K19</f>
        <v>1075000</v>
      </c>
      <c r="L21" s="4">
        <f>K21+L19</f>
        <v>1075000</v>
      </c>
      <c r="M21" s="4">
        <f t="shared" ref="M21:AI21" si="7">L21+M19</f>
        <v>1075000</v>
      </c>
      <c r="N21" s="4">
        <f t="shared" si="7"/>
        <v>1075000</v>
      </c>
      <c r="O21" s="4">
        <f t="shared" si="7"/>
        <v>1725000</v>
      </c>
      <c r="P21" s="4">
        <f t="shared" si="7"/>
        <v>1725000</v>
      </c>
      <c r="Q21" s="4">
        <f t="shared" si="7"/>
        <v>1725000</v>
      </c>
      <c r="R21" s="4">
        <f t="shared" si="7"/>
        <v>1725000</v>
      </c>
      <c r="S21" s="4">
        <f t="shared" si="7"/>
        <v>1725000</v>
      </c>
      <c r="T21" s="4">
        <f t="shared" si="7"/>
        <v>1725000</v>
      </c>
      <c r="U21" s="4">
        <f t="shared" si="7"/>
        <v>1725000</v>
      </c>
      <c r="V21" s="4">
        <f t="shared" si="7"/>
        <v>1725000</v>
      </c>
      <c r="W21" s="4">
        <f t="shared" si="7"/>
        <v>1725000</v>
      </c>
      <c r="X21" s="4">
        <f t="shared" si="7"/>
        <v>1725000</v>
      </c>
      <c r="Y21" s="4">
        <f t="shared" si="7"/>
        <v>1725000</v>
      </c>
      <c r="Z21" s="4">
        <f t="shared" si="7"/>
        <v>1725000</v>
      </c>
      <c r="AA21" s="4">
        <f t="shared" si="7"/>
        <v>1725000</v>
      </c>
      <c r="AB21" s="4">
        <f t="shared" si="7"/>
        <v>1725000</v>
      </c>
      <c r="AC21" s="4">
        <f t="shared" si="7"/>
        <v>1725000</v>
      </c>
      <c r="AD21" s="4">
        <f t="shared" si="7"/>
        <v>1725000</v>
      </c>
      <c r="AE21" s="4">
        <f t="shared" si="7"/>
        <v>1725000</v>
      </c>
      <c r="AF21" s="4">
        <f t="shared" si="7"/>
        <v>1725000</v>
      </c>
      <c r="AG21" s="4">
        <f t="shared" si="7"/>
        <v>1725000</v>
      </c>
      <c r="AH21" s="4">
        <f t="shared" si="7"/>
        <v>1725000</v>
      </c>
      <c r="AI21" s="4">
        <f t="shared" si="7"/>
        <v>1725000</v>
      </c>
    </row>
    <row r="22" spans="1:35" s="4" customFormat="1" ht="75" customHeight="1">
      <c r="A22" s="4" t="s">
        <v>25</v>
      </c>
      <c r="B22" s="20">
        <f>B10+B6</f>
        <v>6.7799999999999994</v>
      </c>
      <c r="C22" s="12">
        <f>C10+C6</f>
        <v>4.7E-2</v>
      </c>
      <c r="D22" s="25">
        <f t="shared" si="2"/>
        <v>20.641333333333336</v>
      </c>
      <c r="E22" s="25">
        <f t="shared" si="3"/>
        <v>1.41</v>
      </c>
      <c r="F22" s="25">
        <f t="shared" si="4"/>
        <v>22.051333333333336</v>
      </c>
      <c r="G22" s="25">
        <f t="shared" si="5"/>
        <v>16081375.860000001</v>
      </c>
      <c r="H22" s="25"/>
      <c r="I22" s="49" t="s">
        <v>62</v>
      </c>
      <c r="J22" s="25">
        <f>NPV(0.0697,K22:AI22)</f>
        <v>91599657.050573722</v>
      </c>
      <c r="K22" s="47">
        <v>7838983.0508474596</v>
      </c>
      <c r="L22" s="4">
        <v>7838983.0508474596</v>
      </c>
      <c r="M22" s="4">
        <v>7838983.0508474596</v>
      </c>
      <c r="N22" s="4">
        <v>7838983.0508474596</v>
      </c>
      <c r="O22" s="4">
        <v>7838983.0508474596</v>
      </c>
      <c r="P22" s="4">
        <v>7838983.0508474596</v>
      </c>
      <c r="Q22" s="4">
        <v>7838983.0508474596</v>
      </c>
      <c r="R22" s="4">
        <v>7838983.0508474596</v>
      </c>
      <c r="S22" s="4">
        <v>7838983.0508474596</v>
      </c>
      <c r="T22" s="4">
        <v>7838983.0508474596</v>
      </c>
      <c r="U22" s="4">
        <v>7838983.0508474596</v>
      </c>
      <c r="V22" s="4">
        <v>7838983.0508474596</v>
      </c>
      <c r="W22" s="4">
        <v>7838983.0508474596</v>
      </c>
      <c r="X22" s="4">
        <v>7838983.0508474596</v>
      </c>
      <c r="Y22" s="4">
        <v>7838983.0508474596</v>
      </c>
      <c r="Z22" s="4">
        <v>7838983.0508474596</v>
      </c>
      <c r="AA22" s="4">
        <v>7838983.0508474596</v>
      </c>
      <c r="AB22" s="4">
        <v>7838983.0508474596</v>
      </c>
      <c r="AC22" s="4">
        <v>7838983.0508474596</v>
      </c>
      <c r="AD22" s="4">
        <v>7838983.0508474596</v>
      </c>
      <c r="AE22" s="4">
        <v>7838983.0508474596</v>
      </c>
      <c r="AF22" s="4">
        <v>7838983.0508474596</v>
      </c>
      <c r="AG22" s="4">
        <v>7838983.0508474596</v>
      </c>
      <c r="AH22" s="4">
        <v>7838983.0508474596</v>
      </c>
      <c r="AI22" s="4">
        <v>7838983.0508474596</v>
      </c>
    </row>
    <row r="23" spans="1:35" s="4" customFormat="1" ht="75" customHeight="1">
      <c r="A23" s="4" t="s">
        <v>24</v>
      </c>
      <c r="B23" s="20">
        <f>B10+B9</f>
        <v>6.93</v>
      </c>
      <c r="C23" s="12">
        <f>C10+C9</f>
        <v>5.7999999999999996E-2</v>
      </c>
      <c r="D23" s="25">
        <f t="shared" si="2"/>
        <v>21.097999999999999</v>
      </c>
      <c r="E23" s="25">
        <f t="shared" si="3"/>
        <v>1.7399999999999998</v>
      </c>
      <c r="F23" s="25">
        <f t="shared" si="4"/>
        <v>22.837999999999997</v>
      </c>
      <c r="G23" s="25">
        <f t="shared" si="5"/>
        <v>16655068.259999998</v>
      </c>
      <c r="H23" s="25"/>
      <c r="I23" s="49" t="s">
        <v>56</v>
      </c>
      <c r="J23" s="25">
        <f>NPV(0.0697,K23:AI23)</f>
        <v>9640244.9879711866</v>
      </c>
      <c r="K23" s="47">
        <v>825000</v>
      </c>
      <c r="L23" s="4">
        <v>825000</v>
      </c>
      <c r="M23" s="4">
        <v>825000</v>
      </c>
      <c r="N23" s="4">
        <v>825000</v>
      </c>
      <c r="O23" s="4">
        <v>825000</v>
      </c>
      <c r="P23" s="4">
        <v>825000</v>
      </c>
      <c r="Q23" s="4">
        <v>825000</v>
      </c>
      <c r="R23" s="4">
        <v>825000</v>
      </c>
      <c r="S23" s="4">
        <v>825000</v>
      </c>
      <c r="T23" s="4">
        <v>825000</v>
      </c>
      <c r="U23" s="4">
        <v>825000</v>
      </c>
      <c r="V23" s="4">
        <v>825000</v>
      </c>
      <c r="W23" s="4">
        <v>825000</v>
      </c>
      <c r="X23" s="4">
        <v>825000</v>
      </c>
      <c r="Y23" s="4">
        <v>825000</v>
      </c>
      <c r="Z23" s="4">
        <v>825000</v>
      </c>
      <c r="AA23" s="4">
        <v>825000</v>
      </c>
      <c r="AB23" s="4">
        <v>825000</v>
      </c>
      <c r="AC23" s="4">
        <v>825000</v>
      </c>
      <c r="AD23" s="4">
        <v>825000</v>
      </c>
      <c r="AE23" s="4">
        <v>825000</v>
      </c>
      <c r="AF23" s="4">
        <v>825000</v>
      </c>
      <c r="AG23" s="4">
        <v>825000</v>
      </c>
      <c r="AH23" s="4">
        <v>825000</v>
      </c>
      <c r="AI23" s="4">
        <v>825000</v>
      </c>
    </row>
    <row r="24" spans="1:35" ht="74" customHeight="1">
      <c r="A24" s="6" t="s">
        <v>26</v>
      </c>
      <c r="B24" s="21">
        <f>B10+B11+B6</f>
        <v>7.2859999999999996</v>
      </c>
      <c r="C24" s="12">
        <f>C10+C6</f>
        <v>4.7E-2</v>
      </c>
      <c r="D24" s="2">
        <f t="shared" si="2"/>
        <v>22.181822222222223</v>
      </c>
      <c r="E24" s="2">
        <f t="shared" si="3"/>
        <v>1.41</v>
      </c>
      <c r="F24" s="2">
        <f t="shared" si="4"/>
        <v>23.591822222222223</v>
      </c>
      <c r="G24" s="25">
        <f t="shared" si="5"/>
        <v>17204808.192000002</v>
      </c>
      <c r="H24" s="25"/>
      <c r="U24"/>
      <c r="V24"/>
      <c r="W24"/>
      <c r="X24"/>
      <c r="Y24"/>
    </row>
    <row r="25" spans="1:35" ht="74" customHeight="1">
      <c r="A25" s="1" t="s">
        <v>27</v>
      </c>
      <c r="B25" s="19">
        <f>B10+B9+B6</f>
        <v>8.7799999999999994</v>
      </c>
      <c r="C25" s="11">
        <f>C10+C9+C6</f>
        <v>7.6999999999999999E-2</v>
      </c>
      <c r="D25" s="2">
        <f t="shared" si="2"/>
        <v>26.730222222222224</v>
      </c>
      <c r="E25" s="2">
        <f t="shared" si="3"/>
        <v>2.31</v>
      </c>
      <c r="F25" s="2">
        <f t="shared" si="4"/>
        <v>29.040222222222223</v>
      </c>
      <c r="G25" s="25">
        <f t="shared" si="5"/>
        <v>21178162.859999999</v>
      </c>
      <c r="H25" s="25"/>
      <c r="J25" s="2"/>
      <c r="U25"/>
      <c r="V25"/>
      <c r="W25"/>
      <c r="X25"/>
      <c r="Y25"/>
    </row>
    <row r="26" spans="1:35" ht="20" customHeight="1">
      <c r="A26" s="56" t="s">
        <v>63</v>
      </c>
      <c r="J26" s="2"/>
    </row>
    <row r="27" spans="1:35" s="4" customFormat="1" ht="20" customHeight="1">
      <c r="A27" s="15" t="s">
        <v>10</v>
      </c>
      <c r="B27" s="16">
        <v>0.45</v>
      </c>
      <c r="C27" s="9"/>
      <c r="D27" s="9"/>
      <c r="E27" s="9"/>
      <c r="F27" s="9"/>
      <c r="G27" s="9"/>
      <c r="H27" s="9"/>
      <c r="I27" s="49"/>
      <c r="K27" s="47"/>
      <c r="U27" s="10"/>
      <c r="V27" s="10"/>
      <c r="W27" s="10"/>
      <c r="X27" s="10"/>
      <c r="Y27" s="10"/>
    </row>
    <row r="28" spans="1:35" s="4" customFormat="1" ht="20" customHeight="1">
      <c r="A28" s="15" t="s">
        <v>11</v>
      </c>
      <c r="B28" s="17">
        <v>30</v>
      </c>
      <c r="C28" s="9"/>
      <c r="D28" s="9"/>
      <c r="E28" s="9"/>
      <c r="F28" s="9"/>
      <c r="G28" s="9"/>
      <c r="H28" s="9"/>
      <c r="I28" s="49"/>
      <c r="K28" s="47"/>
      <c r="U28" s="10"/>
      <c r="V28" s="10"/>
      <c r="W28" s="10"/>
      <c r="X28" s="10"/>
      <c r="Y28" s="10"/>
    </row>
    <row r="29" spans="1:35" ht="20" customHeight="1">
      <c r="U29"/>
      <c r="V29"/>
      <c r="W29"/>
      <c r="X29"/>
      <c r="Y29"/>
    </row>
    <row r="30" spans="1:35" ht="20" customHeight="1">
      <c r="U30"/>
      <c r="V30"/>
      <c r="W30"/>
      <c r="X30"/>
      <c r="Y30"/>
    </row>
    <row r="31" spans="1:35" ht="20" customHeight="1">
      <c r="U31"/>
      <c r="V31"/>
      <c r="W31"/>
      <c r="X31"/>
      <c r="Y31"/>
    </row>
    <row r="32" spans="1:35" ht="20" customHeight="1">
      <c r="C32" s="1" t="s">
        <v>8</v>
      </c>
    </row>
  </sheetData>
  <mergeCells count="13">
    <mergeCell ref="A1:G2"/>
    <mergeCell ref="A3:G3"/>
    <mergeCell ref="F5:G5"/>
    <mergeCell ref="A15:G15"/>
    <mergeCell ref="A4:G4"/>
    <mergeCell ref="E7:G7"/>
    <mergeCell ref="E8:G8"/>
    <mergeCell ref="E10:G10"/>
    <mergeCell ref="E11:G11"/>
    <mergeCell ref="E12:G12"/>
    <mergeCell ref="E13:G13"/>
    <mergeCell ref="E6:G6"/>
    <mergeCell ref="E9:G9"/>
  </mergeCells>
  <hyperlinks>
    <hyperlink ref="E12" r:id="rId1" xr:uid="{00000000-0004-0000-0000-000002000000}"/>
    <hyperlink ref="E7" r:id="rId2" xr:uid="{00000000-0004-0000-0000-000001000000}"/>
    <hyperlink ref="E8" r:id="rId3" xr:uid="{00000000-0004-0000-0000-000000000000}"/>
    <hyperlink ref="E9" r:id="rId4" xr:uid="{42D114FE-37B4-6F46-AE28-E19193862FE3}"/>
    <hyperlink ref="E13" r:id="rId5" xr:uid="{D27E3373-5B48-7741-BD7A-477592395817}"/>
    <hyperlink ref="E11" r:id="rId6" xr:uid="{C97473E6-818C-4E9A-8226-2CDC903370E3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FC30-FD7A-4E05-9852-B19E421B8543}">
  <dimension ref="B3:AB24"/>
  <sheetViews>
    <sheetView workbookViewId="0">
      <selection activeCell="A17" sqref="A17"/>
    </sheetView>
  </sheetViews>
  <sheetFormatPr defaultRowHeight="14.5"/>
  <sheetData>
    <row r="3" spans="2:28">
      <c r="B3" s="43" t="s">
        <v>45</v>
      </c>
    </row>
    <row r="4" spans="2:28">
      <c r="C4" s="44" t="s">
        <v>43</v>
      </c>
      <c r="D4" s="23">
        <v>2021</v>
      </c>
      <c r="E4" s="23">
        <v>2022</v>
      </c>
      <c r="F4" s="23">
        <v>2023</v>
      </c>
      <c r="G4" s="23">
        <v>2024</v>
      </c>
      <c r="H4" s="23">
        <v>2025</v>
      </c>
      <c r="I4" s="23">
        <v>2026</v>
      </c>
      <c r="J4" s="23">
        <v>2027</v>
      </c>
      <c r="K4" s="23">
        <v>2028</v>
      </c>
      <c r="L4" s="23">
        <v>2029</v>
      </c>
      <c r="M4" s="23">
        <v>2030</v>
      </c>
      <c r="N4" s="23">
        <v>2031</v>
      </c>
      <c r="O4" s="23">
        <v>2032</v>
      </c>
      <c r="P4" s="23">
        <v>2033</v>
      </c>
      <c r="Q4" s="23">
        <v>2034</v>
      </c>
      <c r="R4" s="23">
        <v>2035</v>
      </c>
      <c r="S4" s="23">
        <v>2036</v>
      </c>
      <c r="T4" s="23">
        <v>2037</v>
      </c>
      <c r="U4" s="23">
        <v>2038</v>
      </c>
      <c r="V4" s="23">
        <v>2039</v>
      </c>
      <c r="W4" s="23">
        <v>2040</v>
      </c>
      <c r="X4" s="23">
        <v>2041</v>
      </c>
      <c r="Y4" s="23">
        <v>2042</v>
      </c>
      <c r="Z4" s="23">
        <v>2043</v>
      </c>
      <c r="AA4" s="23">
        <v>2044</v>
      </c>
      <c r="AB4" s="23">
        <v>2045</v>
      </c>
    </row>
    <row r="5" spans="2:28">
      <c r="C5" t="s">
        <v>31</v>
      </c>
      <c r="D5">
        <v>0</v>
      </c>
      <c r="E5">
        <v>0</v>
      </c>
      <c r="F5">
        <v>4.2756681444999991</v>
      </c>
      <c r="G5">
        <v>8.5513362889999982</v>
      </c>
      <c r="H5">
        <v>16.652602246999997</v>
      </c>
      <c r="I5">
        <v>24.753868205</v>
      </c>
      <c r="J5">
        <v>32.855134162999995</v>
      </c>
      <c r="K5">
        <v>40.956400121000001</v>
      </c>
      <c r="L5">
        <v>49.057666078999993</v>
      </c>
      <c r="M5">
        <v>57.158932036999992</v>
      </c>
      <c r="N5">
        <v>65.260197994999984</v>
      </c>
      <c r="O5">
        <v>73.361463952999998</v>
      </c>
      <c r="P5">
        <v>81.462729910999997</v>
      </c>
      <c r="Q5">
        <v>89.563995868999996</v>
      </c>
      <c r="R5">
        <v>97.665261827000009</v>
      </c>
      <c r="S5">
        <v>105.76652778500001</v>
      </c>
      <c r="T5">
        <v>113.86779374300002</v>
      </c>
      <c r="U5">
        <v>121.96905970100002</v>
      </c>
      <c r="V5">
        <v>130.07032565900002</v>
      </c>
      <c r="W5">
        <v>138.17159161700002</v>
      </c>
      <c r="X5">
        <v>146.27285757500002</v>
      </c>
      <c r="Y5">
        <v>154.37412353300002</v>
      </c>
      <c r="Z5">
        <v>162.47538949100002</v>
      </c>
      <c r="AA5">
        <v>170.57665544900004</v>
      </c>
      <c r="AB5">
        <v>178.67792140700004</v>
      </c>
    </row>
    <row r="6" spans="2:28">
      <c r="C6" t="s">
        <v>32</v>
      </c>
      <c r="D6">
        <v>1.075</v>
      </c>
      <c r="E6">
        <v>1.075</v>
      </c>
      <c r="F6">
        <v>1.075</v>
      </c>
      <c r="G6">
        <v>1.075</v>
      </c>
      <c r="H6">
        <v>1.7250000000000001</v>
      </c>
      <c r="I6">
        <v>1.7250000000000001</v>
      </c>
      <c r="J6">
        <v>1.7250000000000001</v>
      </c>
      <c r="K6">
        <v>1.7250000000000001</v>
      </c>
      <c r="L6">
        <v>1.7250000000000001</v>
      </c>
      <c r="M6">
        <v>1.7250000000000001</v>
      </c>
      <c r="N6">
        <v>1.7250000000000001</v>
      </c>
      <c r="O6">
        <v>1.7250000000000001</v>
      </c>
      <c r="P6">
        <v>1.7250000000000001</v>
      </c>
      <c r="Q6">
        <v>1.7250000000000001</v>
      </c>
      <c r="R6">
        <v>1.7250000000000001</v>
      </c>
      <c r="S6">
        <v>1.7250000000000001</v>
      </c>
      <c r="T6">
        <v>1.7250000000000001</v>
      </c>
      <c r="U6">
        <v>1.7250000000000001</v>
      </c>
      <c r="V6">
        <v>1.7250000000000001</v>
      </c>
      <c r="W6">
        <v>1.7250000000000001</v>
      </c>
      <c r="X6">
        <v>1.7250000000000001</v>
      </c>
      <c r="Y6">
        <v>1.7250000000000001</v>
      </c>
      <c r="Z6">
        <v>1.7250000000000001</v>
      </c>
      <c r="AA6">
        <v>1.7250000000000001</v>
      </c>
      <c r="AB6">
        <v>1.7250000000000001</v>
      </c>
    </row>
    <row r="9" spans="2:28">
      <c r="B9" s="43" t="s">
        <v>48</v>
      </c>
    </row>
    <row r="10" spans="2:28">
      <c r="C10" s="44" t="s">
        <v>44</v>
      </c>
      <c r="D10">
        <v>2021</v>
      </c>
      <c r="E10">
        <v>2022</v>
      </c>
      <c r="F10">
        <v>2023</v>
      </c>
      <c r="G10">
        <v>2024</v>
      </c>
      <c r="H10">
        <v>2025</v>
      </c>
      <c r="I10">
        <v>2026</v>
      </c>
      <c r="J10">
        <v>2027</v>
      </c>
      <c r="K10">
        <v>2028</v>
      </c>
      <c r="L10">
        <v>2029</v>
      </c>
      <c r="M10">
        <v>2030</v>
      </c>
      <c r="N10">
        <v>2031</v>
      </c>
      <c r="O10">
        <v>2032</v>
      </c>
      <c r="P10">
        <v>2033</v>
      </c>
      <c r="Q10">
        <v>2034</v>
      </c>
      <c r="R10">
        <v>2035</v>
      </c>
      <c r="S10">
        <v>2036</v>
      </c>
      <c r="T10">
        <v>2037</v>
      </c>
      <c r="U10">
        <v>2038</v>
      </c>
      <c r="V10">
        <v>2039</v>
      </c>
      <c r="W10">
        <v>2040</v>
      </c>
      <c r="X10">
        <v>2041</v>
      </c>
      <c r="Y10">
        <v>2042</v>
      </c>
      <c r="Z10">
        <v>2043</v>
      </c>
      <c r="AA10">
        <v>2044</v>
      </c>
      <c r="AB10">
        <v>2045</v>
      </c>
    </row>
    <row r="11" spans="2:28">
      <c r="C11" t="s">
        <v>33</v>
      </c>
      <c r="F11">
        <v>27634695.000000004</v>
      </c>
      <c r="G11">
        <v>27634695.000000004</v>
      </c>
      <c r="H11">
        <v>27634695.000000004</v>
      </c>
      <c r="I11">
        <v>29585985.000000004</v>
      </c>
      <c r="J11">
        <v>29585985.000000004</v>
      </c>
      <c r="K11">
        <v>29585985.000000004</v>
      </c>
      <c r="L11">
        <v>29585985.000000004</v>
      </c>
      <c r="M11">
        <v>29585985.000000004</v>
      </c>
      <c r="N11">
        <v>29585985.000000004</v>
      </c>
      <c r="O11">
        <v>29585985.000000004</v>
      </c>
      <c r="P11">
        <v>4010985</v>
      </c>
      <c r="Q11">
        <v>4010985</v>
      </c>
      <c r="R11">
        <v>4010985</v>
      </c>
      <c r="S11">
        <v>4010985</v>
      </c>
      <c r="T11">
        <v>4010985</v>
      </c>
      <c r="U11">
        <v>4010985</v>
      </c>
      <c r="V11">
        <v>4010985</v>
      </c>
      <c r="W11">
        <v>4010985</v>
      </c>
      <c r="X11">
        <v>4010985</v>
      </c>
      <c r="Y11">
        <v>4010985</v>
      </c>
      <c r="Z11">
        <v>4010985</v>
      </c>
      <c r="AA11">
        <v>4010985</v>
      </c>
      <c r="AB11">
        <v>4010985</v>
      </c>
    </row>
    <row r="12" spans="2:28">
      <c r="C12" t="s">
        <v>34</v>
      </c>
      <c r="F12">
        <v>70342860</v>
      </c>
      <c r="G12">
        <v>70342860</v>
      </c>
      <c r="H12">
        <v>70342860</v>
      </c>
      <c r="I12">
        <v>75309780</v>
      </c>
      <c r="J12">
        <v>75309780</v>
      </c>
      <c r="K12">
        <v>75309780</v>
      </c>
      <c r="L12">
        <v>75309780</v>
      </c>
      <c r="M12">
        <v>75309780</v>
      </c>
      <c r="N12">
        <v>75309780</v>
      </c>
      <c r="O12">
        <v>75309780</v>
      </c>
      <c r="P12">
        <v>10209780</v>
      </c>
      <c r="Q12">
        <v>10209780</v>
      </c>
      <c r="R12">
        <v>10209780</v>
      </c>
      <c r="S12">
        <v>10209780</v>
      </c>
      <c r="T12">
        <v>10209780</v>
      </c>
      <c r="U12">
        <v>10209780</v>
      </c>
      <c r="V12">
        <v>10209780</v>
      </c>
      <c r="W12">
        <v>10209780</v>
      </c>
      <c r="X12">
        <v>10209780</v>
      </c>
      <c r="Y12">
        <v>10209780</v>
      </c>
      <c r="Z12">
        <v>10209780</v>
      </c>
      <c r="AA12">
        <v>10209780</v>
      </c>
      <c r="AB12">
        <v>10209780</v>
      </c>
    </row>
    <row r="13" spans="2:28">
      <c r="C13" s="24" t="s">
        <v>32</v>
      </c>
      <c r="D13">
        <v>1075000</v>
      </c>
      <c r="H13">
        <v>650000</v>
      </c>
    </row>
    <row r="14" spans="2:28" s="33" customFormat="1"/>
    <row r="15" spans="2:28">
      <c r="C15" s="44" t="s">
        <v>46</v>
      </c>
    </row>
    <row r="16" spans="2:28">
      <c r="C16" s="33" t="s">
        <v>33</v>
      </c>
      <c r="D16">
        <f>D11</f>
        <v>0</v>
      </c>
      <c r="E16">
        <f>D16+E11</f>
        <v>0</v>
      </c>
      <c r="F16" s="24">
        <f t="shared" ref="F16:H16" si="0">E16+F11</f>
        <v>27634695.000000004</v>
      </c>
      <c r="G16" s="24">
        <f t="shared" si="0"/>
        <v>55269390.000000007</v>
      </c>
      <c r="H16" s="24">
        <f t="shared" si="0"/>
        <v>82904085.000000015</v>
      </c>
      <c r="I16" s="24">
        <f t="shared" ref="I16:AB16" si="1">H16+I11</f>
        <v>112490070.00000001</v>
      </c>
      <c r="J16" s="24">
        <f t="shared" si="1"/>
        <v>142076055.00000003</v>
      </c>
      <c r="K16" s="24">
        <f t="shared" si="1"/>
        <v>171662040.00000003</v>
      </c>
      <c r="L16" s="24">
        <f t="shared" si="1"/>
        <v>201248025.00000003</v>
      </c>
      <c r="M16" s="24">
        <f t="shared" si="1"/>
        <v>230834010.00000003</v>
      </c>
      <c r="N16" s="24">
        <f t="shared" si="1"/>
        <v>260419995.00000003</v>
      </c>
      <c r="O16" s="24">
        <f t="shared" si="1"/>
        <v>290005980.00000006</v>
      </c>
      <c r="P16" s="24">
        <f t="shared" si="1"/>
        <v>294016965.00000006</v>
      </c>
      <c r="Q16" s="24">
        <f t="shared" si="1"/>
        <v>298027950.00000006</v>
      </c>
      <c r="R16" s="24">
        <f t="shared" si="1"/>
        <v>302038935.00000006</v>
      </c>
      <c r="S16" s="24">
        <f t="shared" si="1"/>
        <v>306049920.00000006</v>
      </c>
      <c r="T16" s="24">
        <f t="shared" si="1"/>
        <v>310060905.00000006</v>
      </c>
      <c r="U16" s="24">
        <f t="shared" si="1"/>
        <v>314071890.00000006</v>
      </c>
      <c r="V16" s="24">
        <f t="shared" si="1"/>
        <v>318082875.00000006</v>
      </c>
      <c r="W16" s="24">
        <f t="shared" si="1"/>
        <v>322093860.00000006</v>
      </c>
      <c r="X16" s="24">
        <f t="shared" si="1"/>
        <v>326104845.00000006</v>
      </c>
      <c r="Y16" s="24">
        <f t="shared" si="1"/>
        <v>330115830.00000006</v>
      </c>
      <c r="Z16" s="24">
        <f t="shared" si="1"/>
        <v>334126815.00000006</v>
      </c>
      <c r="AA16" s="24">
        <f t="shared" si="1"/>
        <v>338137800.00000006</v>
      </c>
      <c r="AB16" s="24">
        <f t="shared" si="1"/>
        <v>342148785.00000006</v>
      </c>
    </row>
    <row r="17" spans="3:28">
      <c r="C17" s="33" t="s">
        <v>34</v>
      </c>
      <c r="D17" s="24">
        <f>D12</f>
        <v>0</v>
      </c>
      <c r="E17" s="24">
        <f>D17+E12</f>
        <v>0</v>
      </c>
      <c r="F17" s="24">
        <f>E17+F12</f>
        <v>70342860</v>
      </c>
      <c r="G17" s="24">
        <f>F17+G12</f>
        <v>140685720</v>
      </c>
      <c r="H17" s="24">
        <f>G17+H12</f>
        <v>211028580</v>
      </c>
      <c r="I17" s="24">
        <f t="shared" ref="I17:AB17" si="2">H17+I12</f>
        <v>286338360</v>
      </c>
      <c r="J17" s="24">
        <f t="shared" si="2"/>
        <v>361648140</v>
      </c>
      <c r="K17" s="24">
        <f t="shared" si="2"/>
        <v>436957920</v>
      </c>
      <c r="L17" s="24">
        <f t="shared" si="2"/>
        <v>512267700</v>
      </c>
      <c r="M17" s="24">
        <f t="shared" si="2"/>
        <v>587577480</v>
      </c>
      <c r="N17" s="24">
        <f t="shared" si="2"/>
        <v>662887260</v>
      </c>
      <c r="O17" s="24">
        <f t="shared" si="2"/>
        <v>738197040</v>
      </c>
      <c r="P17" s="24">
        <f t="shared" si="2"/>
        <v>748406820</v>
      </c>
      <c r="Q17" s="24">
        <f t="shared" si="2"/>
        <v>758616600</v>
      </c>
      <c r="R17" s="24">
        <f t="shared" si="2"/>
        <v>768826380</v>
      </c>
      <c r="S17" s="24">
        <f t="shared" si="2"/>
        <v>779036160</v>
      </c>
      <c r="T17" s="24">
        <f t="shared" si="2"/>
        <v>789245940</v>
      </c>
      <c r="U17" s="24">
        <f t="shared" si="2"/>
        <v>799455720</v>
      </c>
      <c r="V17" s="24">
        <f t="shared" si="2"/>
        <v>809665500</v>
      </c>
      <c r="W17" s="24">
        <f t="shared" si="2"/>
        <v>819875280</v>
      </c>
      <c r="X17" s="24">
        <f t="shared" si="2"/>
        <v>830085060</v>
      </c>
      <c r="Y17" s="24">
        <f t="shared" si="2"/>
        <v>840294840</v>
      </c>
      <c r="Z17" s="24">
        <f t="shared" si="2"/>
        <v>850504620</v>
      </c>
      <c r="AA17" s="24">
        <f t="shared" si="2"/>
        <v>860714400</v>
      </c>
      <c r="AB17" s="24">
        <f t="shared" si="2"/>
        <v>870924180</v>
      </c>
    </row>
    <row r="18" spans="3:28">
      <c r="C18" s="33" t="s">
        <v>32</v>
      </c>
      <c r="D18" s="24">
        <f>D13</f>
        <v>1075000</v>
      </c>
      <c r="E18" s="24">
        <f>D18+E13</f>
        <v>1075000</v>
      </c>
      <c r="F18" s="24">
        <f>E18+F13</f>
        <v>1075000</v>
      </c>
      <c r="G18" s="24">
        <f>F18+G13</f>
        <v>1075000</v>
      </c>
      <c r="H18" s="24">
        <f>G18+H13</f>
        <v>1725000</v>
      </c>
      <c r="I18" s="24">
        <f t="shared" ref="I18:AB18" si="3">H18+I13</f>
        <v>1725000</v>
      </c>
      <c r="J18" s="24">
        <f t="shared" si="3"/>
        <v>1725000</v>
      </c>
      <c r="K18" s="24">
        <f t="shared" si="3"/>
        <v>1725000</v>
      </c>
      <c r="L18" s="24">
        <f t="shared" si="3"/>
        <v>1725000</v>
      </c>
      <c r="M18" s="24">
        <f t="shared" si="3"/>
        <v>1725000</v>
      </c>
      <c r="N18" s="24">
        <f t="shared" si="3"/>
        <v>1725000</v>
      </c>
      <c r="O18" s="24">
        <f t="shared" si="3"/>
        <v>1725000</v>
      </c>
      <c r="P18" s="24">
        <f t="shared" si="3"/>
        <v>1725000</v>
      </c>
      <c r="Q18" s="24">
        <f t="shared" si="3"/>
        <v>1725000</v>
      </c>
      <c r="R18" s="24">
        <f t="shared" si="3"/>
        <v>1725000</v>
      </c>
      <c r="S18" s="24">
        <f t="shared" si="3"/>
        <v>1725000</v>
      </c>
      <c r="T18" s="24">
        <f t="shared" si="3"/>
        <v>1725000</v>
      </c>
      <c r="U18" s="24">
        <f t="shared" si="3"/>
        <v>1725000</v>
      </c>
      <c r="V18" s="24">
        <f t="shared" si="3"/>
        <v>1725000</v>
      </c>
      <c r="W18" s="24">
        <f t="shared" si="3"/>
        <v>1725000</v>
      </c>
      <c r="X18" s="24">
        <f t="shared" si="3"/>
        <v>1725000</v>
      </c>
      <c r="Y18" s="24">
        <f t="shared" si="3"/>
        <v>1725000</v>
      </c>
      <c r="Z18" s="24">
        <f t="shared" si="3"/>
        <v>1725000</v>
      </c>
      <c r="AA18" s="24">
        <f t="shared" si="3"/>
        <v>1725000</v>
      </c>
      <c r="AB18" s="24">
        <f t="shared" si="3"/>
        <v>1725000</v>
      </c>
    </row>
    <row r="20" spans="3:28" s="33" customFormat="1">
      <c r="C20" s="44" t="s">
        <v>47</v>
      </c>
    </row>
    <row r="21" spans="3:28" s="24" customFormat="1">
      <c r="D21" s="24">
        <v>2021</v>
      </c>
      <c r="E21" s="24">
        <v>2022</v>
      </c>
      <c r="F21" s="24">
        <v>2023</v>
      </c>
      <c r="G21" s="24">
        <v>2024</v>
      </c>
      <c r="H21" s="24">
        <v>2025</v>
      </c>
      <c r="I21" s="24">
        <v>2026</v>
      </c>
      <c r="J21" s="24">
        <v>2027</v>
      </c>
      <c r="K21" s="24">
        <v>2028</v>
      </c>
      <c r="L21" s="24">
        <v>2029</v>
      </c>
      <c r="M21" s="24">
        <v>2030</v>
      </c>
      <c r="N21" s="24">
        <v>2031</v>
      </c>
      <c r="O21" s="24">
        <v>2032</v>
      </c>
      <c r="P21" s="24">
        <v>2033</v>
      </c>
      <c r="Q21" s="24">
        <v>2034</v>
      </c>
      <c r="R21" s="24">
        <v>2035</v>
      </c>
      <c r="S21" s="24">
        <v>2036</v>
      </c>
      <c r="T21" s="24">
        <v>2037</v>
      </c>
      <c r="U21" s="24">
        <v>2038</v>
      </c>
      <c r="V21" s="24">
        <v>2039</v>
      </c>
      <c r="W21" s="24">
        <v>2040</v>
      </c>
      <c r="X21" s="24">
        <v>2041</v>
      </c>
      <c r="Y21" s="24">
        <v>2042</v>
      </c>
      <c r="Z21" s="24">
        <v>2043</v>
      </c>
      <c r="AA21" s="24">
        <v>2044</v>
      </c>
      <c r="AB21" s="24">
        <v>2045</v>
      </c>
    </row>
    <row r="22" spans="3:28">
      <c r="C22" s="24" t="s">
        <v>34</v>
      </c>
      <c r="D22" s="24">
        <f t="shared" ref="D22:AB22" si="4">D17/1000000</f>
        <v>0</v>
      </c>
      <c r="E22" s="24">
        <f t="shared" si="4"/>
        <v>0</v>
      </c>
      <c r="F22" s="24">
        <f t="shared" si="4"/>
        <v>70.342860000000002</v>
      </c>
      <c r="G22" s="24">
        <f t="shared" si="4"/>
        <v>140.68572</v>
      </c>
      <c r="H22" s="24">
        <f t="shared" si="4"/>
        <v>211.02858000000001</v>
      </c>
      <c r="I22" s="24">
        <f t="shared" si="4"/>
        <v>286.33836000000002</v>
      </c>
      <c r="J22" s="24">
        <f t="shared" si="4"/>
        <v>361.64814000000001</v>
      </c>
      <c r="K22" s="24">
        <f t="shared" si="4"/>
        <v>436.95792</v>
      </c>
      <c r="L22" s="24">
        <f t="shared" si="4"/>
        <v>512.26769999999999</v>
      </c>
      <c r="M22" s="24">
        <f t="shared" si="4"/>
        <v>587.57748000000004</v>
      </c>
      <c r="N22" s="24">
        <f t="shared" si="4"/>
        <v>662.88725999999997</v>
      </c>
      <c r="O22" s="24">
        <f t="shared" si="4"/>
        <v>738.19704000000002</v>
      </c>
      <c r="P22" s="24">
        <f t="shared" si="4"/>
        <v>748.40682000000004</v>
      </c>
      <c r="Q22" s="24">
        <f t="shared" si="4"/>
        <v>758.61659999999995</v>
      </c>
      <c r="R22" s="24">
        <f t="shared" si="4"/>
        <v>768.82637999999997</v>
      </c>
      <c r="S22" s="24">
        <f t="shared" si="4"/>
        <v>779.03616</v>
      </c>
      <c r="T22" s="24">
        <f t="shared" si="4"/>
        <v>789.24594000000002</v>
      </c>
      <c r="U22" s="24">
        <f t="shared" si="4"/>
        <v>799.45572000000004</v>
      </c>
      <c r="V22" s="24">
        <f t="shared" si="4"/>
        <v>809.66549999999995</v>
      </c>
      <c r="W22" s="24">
        <f t="shared" si="4"/>
        <v>819.87527999999998</v>
      </c>
      <c r="X22" s="24">
        <f t="shared" si="4"/>
        <v>830.08506</v>
      </c>
      <c r="Y22" s="24">
        <f t="shared" si="4"/>
        <v>840.29484000000002</v>
      </c>
      <c r="Z22" s="24">
        <f t="shared" si="4"/>
        <v>850.50462000000005</v>
      </c>
      <c r="AA22" s="24">
        <f t="shared" si="4"/>
        <v>860.71439999999996</v>
      </c>
      <c r="AB22" s="24">
        <f t="shared" si="4"/>
        <v>870.92417999999998</v>
      </c>
    </row>
    <row r="23" spans="3:28">
      <c r="C23" s="24" t="s">
        <v>33</v>
      </c>
      <c r="D23">
        <f>D16/1000000</f>
        <v>0</v>
      </c>
      <c r="E23" s="24">
        <f>E16/1000000</f>
        <v>0</v>
      </c>
      <c r="F23" s="24">
        <f>F16/1000000</f>
        <v>27.634695000000004</v>
      </c>
      <c r="G23" s="24">
        <f>G16/1000000</f>
        <v>55.269390000000008</v>
      </c>
      <c r="H23" s="24">
        <f>H16/1000000</f>
        <v>82.904085000000009</v>
      </c>
      <c r="I23" s="24">
        <f>I16/1000000</f>
        <v>112.49007000000002</v>
      </c>
      <c r="J23" s="24">
        <f>J16/1000000</f>
        <v>142.07605500000003</v>
      </c>
      <c r="K23" s="24">
        <f>K16/1000000</f>
        <v>171.66204000000002</v>
      </c>
      <c r="L23" s="24">
        <f>L16/1000000</f>
        <v>201.24802500000004</v>
      </c>
      <c r="M23" s="24">
        <f>M16/1000000</f>
        <v>230.83401000000003</v>
      </c>
      <c r="N23" s="24">
        <f>N16/1000000</f>
        <v>260.41999500000003</v>
      </c>
      <c r="O23" s="24">
        <f>O16/1000000</f>
        <v>290.00598000000008</v>
      </c>
      <c r="P23" s="24">
        <f>P16/1000000</f>
        <v>294.01696500000008</v>
      </c>
      <c r="Q23" s="24">
        <f>Q16/1000000</f>
        <v>298.02795000000003</v>
      </c>
      <c r="R23" s="24">
        <f>R16/1000000</f>
        <v>302.03893500000004</v>
      </c>
      <c r="S23" s="24">
        <f>S16/1000000</f>
        <v>306.04992000000004</v>
      </c>
      <c r="T23" s="24">
        <f>T16/1000000</f>
        <v>310.06090500000005</v>
      </c>
      <c r="U23" s="24">
        <f>U16/1000000</f>
        <v>314.07189000000005</v>
      </c>
      <c r="V23" s="24">
        <f>V16/1000000</f>
        <v>318.08287500000006</v>
      </c>
      <c r="W23" s="24">
        <f>W16/1000000</f>
        <v>322.09386000000006</v>
      </c>
      <c r="X23" s="24">
        <f>X16/1000000</f>
        <v>326.10484500000007</v>
      </c>
      <c r="Y23" s="24">
        <f>Y16/1000000</f>
        <v>330.11583000000007</v>
      </c>
      <c r="Z23" s="24">
        <f>Z16/1000000</f>
        <v>334.12681500000008</v>
      </c>
      <c r="AA23" s="24">
        <f>AA16/1000000</f>
        <v>338.13780000000008</v>
      </c>
      <c r="AB23" s="24">
        <f>AB16/1000000</f>
        <v>342.14878500000003</v>
      </c>
    </row>
    <row r="24" spans="3:28">
      <c r="C24" s="24" t="s">
        <v>32</v>
      </c>
      <c r="D24" s="24">
        <f t="shared" ref="D24" si="5">D18/1000000</f>
        <v>1.075</v>
      </c>
      <c r="E24" s="24">
        <f>E18/1000000</f>
        <v>1.075</v>
      </c>
      <c r="F24" s="24">
        <f>F18/1000000</f>
        <v>1.075</v>
      </c>
      <c r="G24" s="24">
        <f>G18/1000000</f>
        <v>1.075</v>
      </c>
      <c r="H24" s="24">
        <f>H18/1000000</f>
        <v>1.7250000000000001</v>
      </c>
      <c r="I24" s="24">
        <f>I18/1000000</f>
        <v>1.7250000000000001</v>
      </c>
      <c r="J24" s="24">
        <f>J18/1000000</f>
        <v>1.7250000000000001</v>
      </c>
      <c r="K24" s="24">
        <f>K18/1000000</f>
        <v>1.7250000000000001</v>
      </c>
      <c r="L24" s="24">
        <f>L18/1000000</f>
        <v>1.7250000000000001</v>
      </c>
      <c r="M24" s="24">
        <f>M18/1000000</f>
        <v>1.7250000000000001</v>
      </c>
      <c r="N24" s="24">
        <f>N18/1000000</f>
        <v>1.7250000000000001</v>
      </c>
      <c r="O24" s="24">
        <f>O18/1000000</f>
        <v>1.7250000000000001</v>
      </c>
      <c r="P24" s="24">
        <f>P18/1000000</f>
        <v>1.7250000000000001</v>
      </c>
      <c r="Q24" s="24">
        <f>Q18/1000000</f>
        <v>1.7250000000000001</v>
      </c>
      <c r="R24" s="24">
        <f>R18/1000000</f>
        <v>1.7250000000000001</v>
      </c>
      <c r="S24" s="24">
        <f>S18/1000000</f>
        <v>1.7250000000000001</v>
      </c>
      <c r="T24" s="24">
        <f>T18/1000000</f>
        <v>1.7250000000000001</v>
      </c>
      <c r="U24" s="24">
        <f>U18/1000000</f>
        <v>1.7250000000000001</v>
      </c>
      <c r="V24" s="24">
        <f>V18/1000000</f>
        <v>1.7250000000000001</v>
      </c>
      <c r="W24" s="24">
        <f>W18/1000000</f>
        <v>1.7250000000000001</v>
      </c>
      <c r="X24" s="24">
        <f>X18/1000000</f>
        <v>1.7250000000000001</v>
      </c>
      <c r="Y24" s="24">
        <f>Y18/1000000</f>
        <v>1.7250000000000001</v>
      </c>
      <c r="Z24" s="24">
        <f>Z18/1000000</f>
        <v>1.7250000000000001</v>
      </c>
      <c r="AA24" s="24">
        <f>AA18/1000000</f>
        <v>1.7250000000000001</v>
      </c>
      <c r="AB24" s="24">
        <f>AB18/1000000</f>
        <v>1.7250000000000001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D248DE4ED364469D52DF541E71F131" ma:contentTypeVersion="52" ma:contentTypeDescription="" ma:contentTypeScope="" ma:versionID="b494b81133a889ad9e530c92adefe4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2020-02-20T08:00:00+00:00</OpenedDate>
    <SignificantOrder xmlns="dc463f71-b30c-4ab2-9473-d307f9d35888">false</SignificantOrder>
    <Date1 xmlns="dc463f71-b30c-4ab2-9473-d307f9d35888">2020-10-02T07:00:00+00:00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839A7C-94B9-4774-BD62-ECD320B50928}"/>
</file>

<file path=customXml/itemProps2.xml><?xml version="1.0" encoding="utf-8"?>
<ds:datastoreItem xmlns:ds="http://schemas.openxmlformats.org/officeDocument/2006/customXml" ds:itemID="{3EAF6C79-96BE-4138-A9B3-05994D563363}"/>
</file>

<file path=customXml/itemProps3.xml><?xml version="1.0" encoding="utf-8"?>
<ds:datastoreItem xmlns:ds="http://schemas.openxmlformats.org/officeDocument/2006/customXml" ds:itemID="{48777A8E-752B-4618-B8B9-E0C7ACACA532}"/>
</file>

<file path=customXml/itemProps4.xml><?xml version="1.0" encoding="utf-8"?>
<ds:datastoreItem xmlns:ds="http://schemas.openxmlformats.org/officeDocument/2006/customXml" ds:itemID="{EAC5F0AD-8E51-4229-9E22-1B1520D35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chart data</vt:lpstr>
      <vt:lpstr>Non-CTS chart</vt:lpstr>
      <vt:lpstr>CETA chart</vt:lpstr>
    </vt:vector>
  </TitlesOfParts>
  <Company>Iberdrola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Kester, Erin</dc:creator>
  <cp:lastModifiedBy>goggi</cp:lastModifiedBy>
  <dcterms:created xsi:type="dcterms:W3CDTF">2020-01-21T21:24:21Z</dcterms:created>
  <dcterms:modified xsi:type="dcterms:W3CDTF">2020-10-02T19:06:36Z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0x0101006E56B4D1795A2E4DB2F0B01679ED314A00E8D248DE4ED364469D52DF541E71F131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