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51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4.xml" ContentType="application/vnd.openxmlformats-officedocument.spreadsheetml.worksheet+xml"/>
  <Override PartName="/xl/worksheets/sheet3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1.xml" ContentType="application/vnd.openxmlformats-officedocument.spreadsheetml.worksheet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49.xml" ContentType="application/vnd.openxmlformats-officedocument.spreadsheetml.worksheet+xml"/>
  <Override PartName="/xl/worksheets/sheet48.xml" ContentType="application/vnd.openxmlformats-officedocument.spreadsheetml.worksheet+xml"/>
  <Override PartName="/xl/worksheets/sheet47.xml" ContentType="application/vnd.openxmlformats-officedocument.spreadsheetml.worksheet+xml"/>
  <Override PartName="/xl/worksheets/sheet46.xml" ContentType="application/vnd.openxmlformats-officedocument.spreadsheetml.worksheet+xml"/>
  <Override PartName="/xl/worksheets/sheet45.xml" ContentType="application/vnd.openxmlformats-officedocument.spreadsheetml.worksheet+xml"/>
  <Override PartName="/xl/worksheets/sheet44.xml" ContentType="application/vnd.openxmlformats-officedocument.spreadsheetml.worksheet+xml"/>
  <Override PartName="/xl/worksheets/sheet4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2.xml" ContentType="application/vnd.openxmlformats-officedocument.spreadsheetml.worksheet+xml"/>
  <Override PartName="/xl/worksheets/sheet28.xml" ContentType="application/vnd.openxmlformats-officedocument.spreadsheetml.worksheet+xml"/>
  <Override PartName="/xl/worksheets/sheet26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1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0" yWindow="15" windowWidth="12900" windowHeight="7785" firstSheet="45" activeTab="45"/>
  </bookViews>
  <sheets>
    <sheet name="EXH KBH-2 Summary P2.1" sheetId="1" r:id="rId1"/>
    <sheet name="EXH KBH-2 P2.2" sheetId="4" r:id="rId2"/>
    <sheet name="EXH KBH-2 P2.3" sheetId="5" r:id="rId3"/>
    <sheet name="EXH KBH-2 P2.4" sheetId="6" r:id="rId4"/>
    <sheet name="EXH KBH-2 P2.5" sheetId="7" r:id="rId5"/>
    <sheet name="EXH KBH-2 P2.6" sheetId="8" r:id="rId6"/>
    <sheet name="EXH KBH-2 P2.7" sheetId="9" r:id="rId7"/>
    <sheet name="Adj 10.01 P2.8" sheetId="36" r:id="rId8"/>
    <sheet name="Adj 10.02 P2.9" sheetId="20" r:id="rId9"/>
    <sheet name="Adj 10.03 P2.10" sheetId="37" r:id="rId10"/>
    <sheet name="Adj 10.04 P2.11" sheetId="39" r:id="rId11"/>
    <sheet name="Adj 10.05 P2.12" sheetId="34" r:id="rId12"/>
    <sheet name="Adj 10.06 P2.13" sheetId="41" r:id="rId13"/>
    <sheet name="Adj 10.07 P2.14" sheetId="40" r:id="rId14"/>
    <sheet name="Adj 10.08 P2.15" sheetId="42" r:id="rId15"/>
    <sheet name="Adj 10.09 P2.16" sheetId="43" r:id="rId16"/>
    <sheet name="Adj 10.10 P2.17" sheetId="44" r:id="rId17"/>
    <sheet name="Adj 10.11 P2.18" sheetId="45" r:id="rId18"/>
    <sheet name="Adj 10.12 P2.19" sheetId="46" r:id="rId19"/>
    <sheet name="Adj 10.13 P2.20" sheetId="32" r:id="rId20"/>
    <sheet name="Adj 10.14 P2.21" sheetId="47" r:id="rId21"/>
    <sheet name="Adj 10.15 P2.22" sheetId="48" r:id="rId22"/>
    <sheet name="Adj 10.16 P2.23" sheetId="49" r:id="rId23"/>
    <sheet name="Adj 10.17 P2.24" sheetId="50" r:id="rId24"/>
    <sheet name="Adj 10.18 P2.25" sheetId="51" r:id="rId25"/>
    <sheet name="Adj 10.19 P2.26" sheetId="52" r:id="rId26"/>
    <sheet name="Adj 10.20 P2.27" sheetId="53" r:id="rId27"/>
    <sheet name="Adj 10.21 P2.28" sheetId="55" r:id="rId28"/>
    <sheet name="Adj 10.22 P2.29" sheetId="54" r:id="rId29"/>
    <sheet name="Adj 10.23 P2.30" sheetId="56" r:id="rId30"/>
    <sheet name="Adj 10.24 P2.31" sheetId="57" r:id="rId31"/>
    <sheet name="Adj 10.25 P2.32" sheetId="58" r:id="rId32"/>
    <sheet name="Adj 10.26 P2.33" sheetId="60" r:id="rId33"/>
    <sheet name="Adj 10.27 P2.34" sheetId="62" r:id="rId34"/>
    <sheet name="Adj 10.28 P2.35" sheetId="59" r:id="rId35"/>
    <sheet name="Adj 10.29 P2.36" sheetId="61" r:id="rId36"/>
    <sheet name="Adj 10.30 P2.37" sheetId="63" r:id="rId37"/>
    <sheet name="Adj 10.31 P2.38" sheetId="33" r:id="rId38"/>
    <sheet name="Adj 10.32 P2.39" sheetId="64" r:id="rId39"/>
    <sheet name="Adj 10.33 P2.40" sheetId="65" r:id="rId40"/>
    <sheet name="Adj 10.34 P2.41" sheetId="35" r:id="rId41"/>
    <sheet name="Adj 10.35 P2.42" sheetId="67" r:id="rId42"/>
    <sheet name="Adj 10.36 P2.43" sheetId="66" r:id="rId43"/>
    <sheet name="Adj 10.37 P2.44" sheetId="68" r:id="rId44"/>
    <sheet name="Adj 10.38 P2.45" sheetId="69" r:id="rId45"/>
    <sheet name="Gen Inc P2.46" sheetId="31" r:id="rId46"/>
    <sheet name="Capital P2.47" sheetId="21" r:id="rId47"/>
    <sheet name="Conv Fact P2.48" sheetId="30" r:id="rId48"/>
    <sheet name="Rev Req Comp P2.49" sheetId="74" r:id="rId49"/>
    <sheet name="Staff Electric" sheetId="71" r:id="rId50"/>
    <sheet name="Company Electric" sheetId="72" r:id="rId51"/>
    <sheet name="Capital" sheetId="73" r:id="rId52"/>
  </sheets>
  <externalReferences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</externalReferences>
  <definedNames>
    <definedName name="\A" localSheetId="48">'[1]Jun 99'!#REF!</definedName>
    <definedName name="\A">'[1]Jun 99'!#REF!</definedName>
    <definedName name="\P" localSheetId="48">#REF!</definedName>
    <definedName name="\P">#REF!</definedName>
    <definedName name="\Q" localSheetId="48">#REF!</definedName>
    <definedName name="\Q">#REF!</definedName>
    <definedName name="\R" localSheetId="48">#REF!</definedName>
    <definedName name="\R">#REF!</definedName>
    <definedName name="\S" localSheetId="48">#REF!</definedName>
    <definedName name="\S">#REF!</definedName>
    <definedName name="\T" localSheetId="48">#REF!</definedName>
    <definedName name="\T">#REF!</definedName>
    <definedName name="\U" localSheetId="48">#REF!</definedName>
    <definedName name="\U">#REF!</definedName>
    <definedName name="___________________six6" hidden="1">{#N/A,#N/A,FALSE,"CRPT";#N/A,#N/A,FALSE,"TREND";#N/A,#N/A,FALSE,"%Curve"}</definedName>
    <definedName name="__________________six6" hidden="1">{#N/A,#N/A,FALSE,"CRPT";#N/A,#N/A,FALSE,"TREND";#N/A,#N/A,FALSE,"%Curve"}</definedName>
    <definedName name="_________________six6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six6" hidden="1">{#N/A,#N/A,FALSE,"CRPT";#N/A,#N/A,FALSE,"TREND";#N/A,#N/A,FALSE,"%Curve"}</definedName>
    <definedName name="______________six6" hidden="1">{#N/A,#N/A,FALSE,"CRPT";#N/A,#N/A,FALSE,"TREND";#N/A,#N/A,FALSE,"%Curve"}</definedName>
    <definedName name="_____________six6" hidden="1">{#N/A,#N/A,FALSE,"CRPT";#N/A,#N/A,FALSE,"TREND";#N/A,#N/A,FALSE,"%Curve"}</definedName>
    <definedName name="____________six6" hidden="1">{#N/A,#N/A,FALSE,"CRPT";#N/A,#N/A,FALSE,"TREND";#N/A,#N/A,FALSE,"%Curve"}</definedName>
    <definedName name="___________six6" hidden="1">{#N/A,#N/A,FALSE,"CRPT";#N/A,#N/A,FALSE,"TREND";#N/A,#N/A,FALSE,"%Curve"}</definedName>
    <definedName name="__________six6" hidden="1">{#N/A,#N/A,FALSE,"CRPT";#N/A,#N/A,FALSE,"TREND";#N/A,#N/A,FALSE,"%Curve"}</definedName>
    <definedName name="_________six6" hidden="1">{#N/A,#N/A,FALSE,"CRPT";#N/A,#N/A,FALSE,"TREND";#N/A,#N/A,FALSE,"%Curve"}</definedName>
    <definedName name="________six6" hidden="1">{#N/A,#N/A,FALSE,"CRPT";#N/A,#N/A,FALSE,"TREND";#N/A,#N/A,FALSE,"%Curve"}</definedName>
    <definedName name="_______six6" hidden="1">{#N/A,#N/A,FALSE,"CRPT";#N/A,#N/A,FALSE,"TREND";#N/A,#N/A,FALSE,"%Curve"}</definedName>
    <definedName name="______six6" hidden="1">{#N/A,#N/A,FALSE,"CRPT";#N/A,#N/A,FALSE,"TREND";#N/A,#N/A,FALSE,"%Curve"}</definedName>
    <definedName name="_____six6" hidden="1">{#N/A,#N/A,FALSE,"CRPT";#N/A,#N/A,FALSE,"TREND";#N/A,#N/A,FALSE,"%Curve"}</definedName>
    <definedName name="____six6" hidden="1">{#N/A,#N/A,FALSE,"CRPT";#N/A,#N/A,FALSE,"TREND";#N/A,#N/A,FALSE,"%Curve"}</definedName>
    <definedName name="___six6" hidden="1">{#N/A,#N/A,FALSE,"CRPT";#N/A,#N/A,FALSE,"TREND";#N/A,#N/A,FALSE,"%Curve"}</definedName>
    <definedName name="__123Graph_ECURRENT" hidden="1">#N/A</definedName>
    <definedName name="__six6" hidden="1">{#N/A,#N/A,FALSE,"CRPT";#N/A,#N/A,FALSE,"TREND";#N/A,#N/A,FALSE,"%Curve"}</definedName>
    <definedName name="_Div02">'[2]Alloc factors'!$D$12</definedName>
    <definedName name="_div10" localSheetId="48">'[3]WP 1-2'!#REF!</definedName>
    <definedName name="_div10">'[3]WP 1-2'!#REF!</definedName>
    <definedName name="_DIV12">'[4]Alloc factors'!$D$13</definedName>
    <definedName name="_div21" localSheetId="48">'[3]WP 1-2'!#REF!</definedName>
    <definedName name="_div21">'[3]WP 1-2'!#REF!</definedName>
    <definedName name="_EXH1" localSheetId="48">#REF!</definedName>
    <definedName name="_EXH1">#REF!</definedName>
    <definedName name="_EXH6" localSheetId="48">#REF!</definedName>
    <definedName name="_EXH6">#REF!</definedName>
    <definedName name="_Fill" localSheetId="10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18" hidden="1">#REF!</definedName>
    <definedName name="_Fill" localSheetId="20" hidden="1">#REF!</definedName>
    <definedName name="_Fill" localSheetId="21" hidden="1">#REF!</definedName>
    <definedName name="_Fill" localSheetId="22" hidden="1">#REF!</definedName>
    <definedName name="_Fill" localSheetId="23" hidden="1">#REF!</definedName>
    <definedName name="_Fill" localSheetId="24" hidden="1">#REF!</definedName>
    <definedName name="_Fill" localSheetId="25" hidden="1">#REF!</definedName>
    <definedName name="_Fill" localSheetId="26" hidden="1">#REF!</definedName>
    <definedName name="_Fill" localSheetId="27" hidden="1">#REF!</definedName>
    <definedName name="_Fill" localSheetId="28" hidden="1">#REF!</definedName>
    <definedName name="_Fill" localSheetId="29" hidden="1">#REF!</definedName>
    <definedName name="_Fill" localSheetId="30" hidden="1">#REF!</definedName>
    <definedName name="_Fill" localSheetId="31" hidden="1">#REF!</definedName>
    <definedName name="_Fill" localSheetId="32" hidden="1">#REF!</definedName>
    <definedName name="_Fill" localSheetId="33" hidden="1">#REF!</definedName>
    <definedName name="_Fill" localSheetId="34" hidden="1">#REF!</definedName>
    <definedName name="_Fill" localSheetId="35" hidden="1">#REF!</definedName>
    <definedName name="_Fill" localSheetId="36" hidden="1">#REF!</definedName>
    <definedName name="_Fill" localSheetId="38" hidden="1">#REF!</definedName>
    <definedName name="_Fill" localSheetId="39" hidden="1">#REF!</definedName>
    <definedName name="_Fill" localSheetId="41" hidden="1">#REF!</definedName>
    <definedName name="_Fill" localSheetId="42" hidden="1">#REF!</definedName>
    <definedName name="_Fill" localSheetId="43" hidden="1">#REF!</definedName>
    <definedName name="_Fill" localSheetId="44" hidden="1">#REF!</definedName>
    <definedName name="_Fill" hidden="1">#REF!</definedName>
    <definedName name="_Key1" localSheetId="48" hidden="1">#REF!</definedName>
    <definedName name="_Key1" hidden="1">#REF!</definedName>
    <definedName name="_Order1" hidden="1">255</definedName>
    <definedName name="_Order2" hidden="1">255</definedName>
    <definedName name="_six6" hidden="1">{#N/A,#N/A,FALSE,"CRPT";#N/A,#N/A,FALSE,"TREND";#N/A,#N/A,FALSE,"%Curve"}</definedName>
    <definedName name="_Sort" localSheetId="48" hidden="1">#REF!</definedName>
    <definedName name="_Sort" hidden="1">#REF!</definedName>
    <definedName name="_swe80">[5]Input!$E$29</definedName>
    <definedName name="_ucg80">[5]Input!$E$31</definedName>
    <definedName name="a" hidden="1">{#N/A,#N/A,FALSE,"Coversheet";#N/A,#N/A,FALSE,"QA"}</definedName>
    <definedName name="AAA" localSheetId="48">#REF!</definedName>
    <definedName name="AAA">#REF!</definedName>
    <definedName name="AccessDatabase" hidden="1">"I:\COMTREL\FINICLE\TradeSummary.mdb"</definedName>
    <definedName name="atmos" localSheetId="48">#REF!</definedName>
    <definedName name="atmos">#REF!</definedName>
    <definedName name="AVG_RESIDUAL_PROFORMA">'[6]DATA INPUT'!$D$43</definedName>
    <definedName name="b" hidden="1">{#N/A,#N/A,FALSE,"Coversheet";#N/A,#N/A,FALSE,"QA"}</definedName>
    <definedName name="BBB" localSheetId="48">#REF!</definedName>
    <definedName name="BBB">#REF!</definedName>
    <definedName name="BUSUNIT">'[7]Input '!$C$9</definedName>
    <definedName name="BUTLER" localSheetId="48">#REF!</definedName>
    <definedName name="BUTLER">#REF!</definedName>
    <definedName name="C_" localSheetId="48">'[4]Schedule 4 O&amp;M'!#REF!</definedName>
    <definedName name="C_">'[4]Schedule 4 O&amp;M'!#REF!</definedName>
    <definedName name="CBWorkbookPriority" hidden="1">-2060790043</definedName>
    <definedName name="CC" localSheetId="48">#REF!</definedName>
    <definedName name="CC">#REF!</definedName>
    <definedName name="CCC" localSheetId="48">#REF!</definedName>
    <definedName name="CCC">#REF!</definedName>
    <definedName name="Central_Only" localSheetId="48">'[4]Alloc factors'!#REF!</definedName>
    <definedName name="Central_Only">'[4]Alloc factors'!#REF!</definedName>
    <definedName name="CO">'Adj 10.02 P2.9'!$A$1</definedName>
    <definedName name="company" localSheetId="48">'[8]Company Groups'!#REF!</definedName>
    <definedName name="company">'[8]Company Groups'!#REF!</definedName>
    <definedName name="Cortez" localSheetId="48">'[4]Alloc factors'!#REF!</definedName>
    <definedName name="Cortez">'[4]Alloc factors'!#REF!</definedName>
    <definedName name="csDesignMode">1</definedName>
    <definedName name="customerinput" localSheetId="48">#REF!</definedName>
    <definedName name="customerinput">#REF!</definedName>
    <definedName name="d" localSheetId="16" hidden="1">#REF!</definedName>
    <definedName name="d" localSheetId="17" hidden="1">#REF!</definedName>
    <definedName name="d" localSheetId="18" hidden="1">#REF!</definedName>
    <definedName name="d" localSheetId="20" hidden="1">#REF!</definedName>
    <definedName name="d" localSheetId="21" hidden="1">#REF!</definedName>
    <definedName name="d" localSheetId="22" hidden="1">#REF!</definedName>
    <definedName name="d" localSheetId="23" hidden="1">#REF!</definedName>
    <definedName name="d" localSheetId="24" hidden="1">#REF!</definedName>
    <definedName name="d" localSheetId="25" hidden="1">#REF!</definedName>
    <definedName name="d" localSheetId="26" hidden="1">#REF!</definedName>
    <definedName name="d" localSheetId="27" hidden="1">#REF!</definedName>
    <definedName name="d" localSheetId="28" hidden="1">#REF!</definedName>
    <definedName name="d" localSheetId="29" hidden="1">#REF!</definedName>
    <definedName name="d" localSheetId="30" hidden="1">#REF!</definedName>
    <definedName name="d" localSheetId="31" hidden="1">#REF!</definedName>
    <definedName name="d" localSheetId="32" hidden="1">#REF!</definedName>
    <definedName name="d" localSheetId="33" hidden="1">#REF!</definedName>
    <definedName name="d" localSheetId="34" hidden="1">#REF!</definedName>
    <definedName name="d" localSheetId="35" hidden="1">#REF!</definedName>
    <definedName name="d" localSheetId="36" hidden="1">#REF!</definedName>
    <definedName name="d" localSheetId="38" hidden="1">#REF!</definedName>
    <definedName name="d" localSheetId="39" hidden="1">#REF!</definedName>
    <definedName name="d" localSheetId="41" hidden="1">#REF!</definedName>
    <definedName name="d" localSheetId="42" hidden="1">#REF!</definedName>
    <definedName name="d" localSheetId="43" hidden="1">#REF!</definedName>
    <definedName name="d" localSheetId="44" hidden="1">#REF!</definedName>
    <definedName name="d" hidden="1">#REF!</definedName>
    <definedName name="dataset" localSheetId="48">#REF!</definedName>
    <definedName name="dataset">#REF!</definedName>
    <definedName name="date" localSheetId="48">#REF!</definedName>
    <definedName name="date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EPRECIATION" localSheetId="48">'[1]Jun 99'!#REF!</definedName>
    <definedName name="DEPRECIATION">'[1]Jun 99'!#REF!</definedName>
    <definedName name="DFIT" hidden="1">{#N/A,#N/A,FALSE,"Coversheet";#N/A,#N/A,FALSE,"QA"}</definedName>
    <definedName name="DJInd" localSheetId="48">#REF!</definedName>
    <definedName name="DJInd">#REF!</definedName>
    <definedName name="DJUtil" localSheetId="48">#REF!</definedName>
    <definedName name="DJUtil">#REF!</definedName>
    <definedName name="DOCKET">'Adj 10.02 P2.9'!$A$2</definedName>
    <definedName name="Durango" localSheetId="48">'[4]Alloc factors'!#REF!</definedName>
    <definedName name="Durango">'[4]Alloc factors'!#REF!</definedName>
    <definedName name="EEE" localSheetId="48">#REF!</definedName>
    <definedName name="EEE">#REF!</definedName>
    <definedName name="Estimate" hidden="1">{#N/A,#N/A,FALSE,"Summ";#N/A,#N/A,FALSE,"General"}</definedName>
    <definedName name="ex" hidden="1">{#N/A,#N/A,FALSE,"Summ";#N/A,#N/A,FALSE,"General"}</definedName>
    <definedName name="EXH1A" localSheetId="48">#REF!</definedName>
    <definedName name="EXH1A">#REF!</definedName>
    <definedName name="FFF" localSheetId="48">#REF!</definedName>
    <definedName name="FFF">#REF!</definedName>
    <definedName name="FIT">'Adj 10.02 P2.9'!$C$53</definedName>
    <definedName name="Fremont" localSheetId="48">'[4]Alloc factors'!#REF!</definedName>
    <definedName name="Fremont">'[4]Alloc factors'!#REF!</definedName>
    <definedName name="GGG" localSheetId="48">#REF!</definedName>
    <definedName name="GGG">#REF!</definedName>
    <definedName name="GOEXP" localSheetId="48">'[7]Input '!#REF!</definedName>
    <definedName name="GOEXP">'[7]Input '!#REF!</definedName>
    <definedName name="GOEXP_PROFORMA">'[6]DATA INPUT'!$D$53</definedName>
    <definedName name="GOPLANT" localSheetId="48">'[7]Input '!#REF!</definedName>
    <definedName name="GOPLANT">'[7]Input '!#REF!</definedName>
    <definedName name="GOPLANT_PROFORMA">'[6]DATA INPUT'!$D$57</definedName>
    <definedName name="JURISDICTION">'[7]Input '!$C$8</definedName>
    <definedName name="KIRK" localSheetId="48">#REF!</definedName>
    <definedName name="KIRK">#REF!</definedName>
    <definedName name="Kirk_Plant" localSheetId="48">#REF!</definedName>
    <definedName name="Kirk_Plant">#REF!</definedName>
    <definedName name="LDCs" localSheetId="48">#REF!</definedName>
    <definedName name="LDCs">#REF!</definedName>
    <definedName name="LTD_Rate">'[7]Input '!$C$23</definedName>
    <definedName name="LTDcostrate" localSheetId="48">#REF!</definedName>
    <definedName name="LTDcostrate">#REF!</definedName>
    <definedName name="Market_Return" localSheetId="48">#REF!</definedName>
    <definedName name="Market_Return">#REF!</definedName>
    <definedName name="MS" localSheetId="48">#REF!</definedName>
    <definedName name="MS">#REF!</definedName>
    <definedName name="MS_Plant" localSheetId="48">#REF!</definedName>
    <definedName name="MS_Plant">#REF!</definedName>
    <definedName name="NEadit" localSheetId="48">#REF!</definedName>
    <definedName name="NEadit">#REF!</definedName>
    <definedName name="NEadv" localSheetId="48">#REF!</definedName>
    <definedName name="NEadv">#REF!</definedName>
    <definedName name="NEcash" localSheetId="48">#REF!</definedName>
    <definedName name="NEcash">#REF!</definedName>
    <definedName name="NEcwip" localSheetId="48">#REF!</definedName>
    <definedName name="NEcwip">#REF!</definedName>
    <definedName name="NEdep" localSheetId="48">#REF!</definedName>
    <definedName name="NEdep">#REF!</definedName>
    <definedName name="NEmatsup" localSheetId="48">#REF!</definedName>
    <definedName name="NEmatsup">#REF!</definedName>
    <definedName name="NEplant" localSheetId="48">#REF!</definedName>
    <definedName name="NEplant">#REF!</definedName>
    <definedName name="NEpp" localSheetId="48">#REF!</definedName>
    <definedName name="NEpp">#REF!</definedName>
    <definedName name="NEstorg" localSheetId="48">#REF!</definedName>
    <definedName name="NEstorg">#REF!</definedName>
    <definedName name="new" hidden="1">{#N/A,#N/A,FALSE,"Summ";#N/A,#N/A,FALSE,"General"}</definedName>
    <definedName name="NW_Only" localSheetId="48">'[4]Alloc factors'!#REF!</definedName>
    <definedName name="NW_Only">'[4]Alloc factors'!#REF!</definedName>
    <definedName name="NWadit" localSheetId="48">#REF!</definedName>
    <definedName name="NWadit">#REF!</definedName>
    <definedName name="NWadv" localSheetId="48">#REF!</definedName>
    <definedName name="NWadv">#REF!</definedName>
    <definedName name="NWcash" localSheetId="48">#REF!</definedName>
    <definedName name="NWcash">#REF!</definedName>
    <definedName name="NWcwip" localSheetId="48">#REF!</definedName>
    <definedName name="NWcwip">#REF!</definedName>
    <definedName name="NWdep" localSheetId="48">#REF!</definedName>
    <definedName name="NWdep">#REF!</definedName>
    <definedName name="NWmatsup" localSheetId="48">#REF!</definedName>
    <definedName name="NWmatsup">#REF!</definedName>
    <definedName name="NWplant" localSheetId="48">#REF!</definedName>
    <definedName name="NWplant">#REF!</definedName>
    <definedName name="NWpp" localSheetId="48">#REF!</definedName>
    <definedName name="NWpp">#REF!</definedName>
    <definedName name="NWstorg" localSheetId="48">#REF!</definedName>
    <definedName name="NWstorg">#REF!</definedName>
    <definedName name="PAGE1">#N/A</definedName>
    <definedName name="PAGE5" localSheetId="48">#REF!</definedName>
    <definedName name="PAGE5">#REF!</definedName>
    <definedName name="PAGE6" localSheetId="48">#REF!</definedName>
    <definedName name="PAGE6">#REF!</definedName>
    <definedName name="PAGE7" localSheetId="48">#REF!</definedName>
    <definedName name="PAGE7">#REF!</definedName>
    <definedName name="PAGE8" localSheetId="48">#REF!</definedName>
    <definedName name="PAGE8">#REF!</definedName>
    <definedName name="Parent_Company">'[9]Company Groups'!$B$3</definedName>
    <definedName name="_xlnm.Print_Area" localSheetId="7">'Adj 10.01 P2.8'!$A$1:$G$51</definedName>
    <definedName name="_xlnm.Print_Area" localSheetId="8">'Adj 10.02 P2.9'!$A$1:$E$56</definedName>
    <definedName name="_xlnm.Print_Area" localSheetId="9">'Adj 10.03 P2.10'!$A$1:$E$39</definedName>
    <definedName name="_xlnm.Print_Area" localSheetId="10">'Adj 10.04 P2.11'!$A$1:$D$32</definedName>
    <definedName name="_xlnm.Print_Area" localSheetId="11">'Adj 10.05 P2.12'!$A$1:$D$33</definedName>
    <definedName name="_xlnm.Print_Area" localSheetId="12">'Adj 10.06 P2.13'!$A$1:$E$44</definedName>
    <definedName name="_xlnm.Print_Area" localSheetId="13">'Adj 10.07 P2.14'!$A$1:$E$51</definedName>
    <definedName name="_xlnm.Print_Area" localSheetId="14">'Adj 10.08 P2.15'!$A$1:$E$59</definedName>
    <definedName name="_xlnm.Print_Area" localSheetId="15">'Adj 10.09 P2.16'!$A$1:$E$46</definedName>
    <definedName name="_xlnm.Print_Area" localSheetId="16">'Adj 10.10 P2.17'!$A$1:$F$49</definedName>
    <definedName name="_xlnm.Print_Area" localSheetId="17">'Adj 10.11 P2.18'!$A$1:$E$44</definedName>
    <definedName name="_xlnm.Print_Area" localSheetId="18">'Adj 10.12 P2.19'!$A$1:$E$39</definedName>
    <definedName name="_xlnm.Print_Area" localSheetId="19">'Adj 10.13 P2.20'!$A$1:$H$28</definedName>
    <definedName name="_xlnm.Print_Area" localSheetId="1">'EXH KBH-2 P2.2'!$A$1:$I$51</definedName>
    <definedName name="_xlnm.Print_Area" localSheetId="2">'EXH KBH-2 P2.3'!$A$1:$I$51</definedName>
    <definedName name="_xlnm.Print_Area" localSheetId="3">'EXH KBH-2 P2.4'!$A$1:$I$51</definedName>
    <definedName name="_xlnm.Print_Area" localSheetId="4">'EXH KBH-2 P2.5'!$A$1:$I$51</definedName>
    <definedName name="_xlnm.Print_Area" localSheetId="5">'EXH KBH-2 P2.6'!$A$1:$I$51</definedName>
    <definedName name="_xlnm.Print_Area" localSheetId="6">'EXH KBH-2 P2.7'!$A$1:$H$51</definedName>
    <definedName name="_xlnm.Print_Area" localSheetId="0">'EXH KBH-2 Summary P2.1'!$A$1:$G$54</definedName>
    <definedName name="Print_Area_MI" localSheetId="48">'[1]Jun 99'!#REF!</definedName>
    <definedName name="Print_Area_MI">'[1]Jun 99'!#REF!</definedName>
    <definedName name="_xlnm.Print_Titles">#N/A</definedName>
    <definedName name="PROPERTY" localSheetId="48">'[1]Jun 99'!#REF!</definedName>
    <definedName name="PROPERTY">'[1]Jun 99'!#REF!</definedName>
    <definedName name="Risk_Free_Rate" localSheetId="48">#REF!</definedName>
    <definedName name="Risk_Free_Rate">#REF!</definedName>
    <definedName name="ROEXP" localSheetId="48">'[7]Input '!#REF!</definedName>
    <definedName name="ROEXP">'[7]Input '!#REF!</definedName>
    <definedName name="ROPLANT" localSheetId="48">'[7]Input '!#REF!</definedName>
    <definedName name="ROPLANT">'[7]Input '!#REF!</definedName>
    <definedName name="ROR_Rate">'[7]Input '!$C$25</definedName>
    <definedName name="sch">[10]WP_H9!$A$1:$Q$46</definedName>
    <definedName name="SCH_B1">[11]SCH_B1!$A$1:$G$30</definedName>
    <definedName name="SCH_B3">[11]SCH_B3!$A$1:$G$42</definedName>
    <definedName name="SCH_C2">[11]SCH_C2!$A$1:$G$42</definedName>
    <definedName name="SCH_D2">[11]SCH_D2!$A$1:$G$42</definedName>
    <definedName name="SCH_H2">[11]SCH_H2!$A$1:$G$42</definedName>
    <definedName name="SE_Only" localSheetId="48">'[4]Alloc factors'!#REF!</definedName>
    <definedName name="SE_Only">'[4]Alloc factors'!#REF!</definedName>
    <definedName name="SEadit" localSheetId="48">#REF!</definedName>
    <definedName name="SEadit">#REF!</definedName>
    <definedName name="SEadv" localSheetId="48">#REF!</definedName>
    <definedName name="SEadv">#REF!</definedName>
    <definedName name="SEcash" localSheetId="48">#REF!</definedName>
    <definedName name="SEcash">#REF!</definedName>
    <definedName name="SEcwip" localSheetId="48">#REF!</definedName>
    <definedName name="SEcwip">#REF!</definedName>
    <definedName name="SEdep" localSheetId="48">#REF!</definedName>
    <definedName name="SEdep">#REF!</definedName>
    <definedName name="SEmatsup" localSheetId="48">#REF!</definedName>
    <definedName name="SEmatsup">#REF!</definedName>
    <definedName name="SEMO" localSheetId="48">#REF!</definedName>
    <definedName name="SEMO">#REF!</definedName>
    <definedName name="SEMO_Plant" localSheetId="48">#REF!</definedName>
    <definedName name="SEMO_Plant">#REF!</definedName>
    <definedName name="SEplant" localSheetId="48">#REF!</definedName>
    <definedName name="SEplant">#REF!</definedName>
    <definedName name="SEpp" localSheetId="48">#REF!</definedName>
    <definedName name="SEpp">#REF!</definedName>
    <definedName name="SEstorg" localSheetId="48">#REF!</definedName>
    <definedName name="SEstorg">#REF!</definedName>
    <definedName name="six" hidden="1">{#N/A,#N/A,FALSE,"Drill Sites";"WP 212",#N/A,FALSE,"MWAG EOR";"WP 213",#N/A,FALSE,"MWAG EOR";#N/A,#N/A,FALSE,"Misc. Facility";#N/A,#N/A,FALSE,"WWTP"}</definedName>
    <definedName name="sp" localSheetId="48">#REF!</definedName>
    <definedName name="sp">#REF!</definedName>
    <definedName name="SSExp" localSheetId="48">'[7]Input '!#REF!</definedName>
    <definedName name="SSExp">'[7]Input '!#REF!</definedName>
    <definedName name="SSPlant" localSheetId="48">'[7]Input '!#REF!</definedName>
    <definedName name="SSPlant">'[7]Input '!#REF!</definedName>
    <definedName name="SSS" localSheetId="48">#REF!</definedName>
    <definedName name="SSS">#REF!</definedName>
    <definedName name="STD_Rate">'[7]Input '!$C$24</definedName>
    <definedName name="Sttax" localSheetId="48">#REF!</definedName>
    <definedName name="Sttax">#REF!</definedName>
    <definedName name="Study_Company" localSheetId="48">#REF!</definedName>
    <definedName name="Study_Company">#REF!</definedName>
    <definedName name="SWadit" localSheetId="48">#REF!</definedName>
    <definedName name="SWadit">#REF!</definedName>
    <definedName name="SWadv" localSheetId="48">#REF!</definedName>
    <definedName name="SWadv">#REF!</definedName>
    <definedName name="SWcash" localSheetId="48">#REF!</definedName>
    <definedName name="SWcash">#REF!</definedName>
    <definedName name="SWcwip" localSheetId="48">#REF!</definedName>
    <definedName name="SWcwip">#REF!</definedName>
    <definedName name="SWdep" localSheetId="48">#REF!</definedName>
    <definedName name="SWdep">#REF!</definedName>
    <definedName name="SWmatsup" localSheetId="48">#REF!</definedName>
    <definedName name="SWmatsup">#REF!</definedName>
    <definedName name="SWplant" localSheetId="48">#REF!</definedName>
    <definedName name="SWplant">#REF!</definedName>
    <definedName name="SWpp" localSheetId="48">#REF!</definedName>
    <definedName name="SWpp">#REF!</definedName>
    <definedName name="SWstorg" localSheetId="48">#REF!</definedName>
    <definedName name="SWstorg">#REF!</definedName>
    <definedName name="t" hidden="1">{#N/A,#N/A,FALSE,"CESTSUM";#N/A,#N/A,FALSE,"est sum A";#N/A,#N/A,FALSE,"est detail A"}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STPERIOD">'[7]Input '!$C$10</definedName>
    <definedName name="TestPeriodDate">[12]Inputs!$D$20</definedName>
    <definedName name="TESTYEAR">'[6]DATA INPUT'!$C$9</definedName>
    <definedName name="TOTadit" localSheetId="48">#REF!</definedName>
    <definedName name="TOTadit">#REF!</definedName>
    <definedName name="TOTadv" localSheetId="48">#REF!</definedName>
    <definedName name="TOTadv">#REF!</definedName>
    <definedName name="TOTcash" localSheetId="48">#REF!</definedName>
    <definedName name="TOTcash">#REF!</definedName>
    <definedName name="TOTcwip" localSheetId="48">#REF!</definedName>
    <definedName name="TOTcwip">#REF!</definedName>
    <definedName name="TOTdep" localSheetId="48">#REF!</definedName>
    <definedName name="TOTdep">#REF!</definedName>
    <definedName name="TOTmatsup" localSheetId="48">#REF!</definedName>
    <definedName name="TOTmatsup">#REF!</definedName>
    <definedName name="TOTplant" localSheetId="48">#REF!</definedName>
    <definedName name="TOTplant">#REF!</definedName>
    <definedName name="TOTpp" localSheetId="48">#REF!</definedName>
    <definedName name="TOTpp">#REF!</definedName>
    <definedName name="TOTstorg" localSheetId="48">#REF!</definedName>
    <definedName name="TOTstorg">#REF!</definedName>
    <definedName name="Trans" localSheetId="48">#REF!</definedName>
    <definedName name="Trans">#REF!</definedName>
    <definedName name="TY">'Adj 10.02 P2.9'!$A$7</definedName>
    <definedName name="u" hidden="1">{#N/A,#N/A,FALSE,"Summ";#N/A,#N/A,FALSE,"General"}</definedName>
    <definedName name="valueline" localSheetId="48">#REF!</definedName>
    <definedName name="valueline">#REF!</definedName>
    <definedName name="WP_2_3" localSheetId="48">#REF!</definedName>
    <definedName name="WP_2_3">#REF!</definedName>
    <definedName name="WP_3_1" localSheetId="48">#REF!</definedName>
    <definedName name="WP_3_1">#REF!</definedName>
    <definedName name="WP_6_1" localSheetId="48">#REF!</definedName>
    <definedName name="WP_6_1">#REF!</definedName>
    <definedName name="WP_6_1_1" localSheetId="48">#REF!</definedName>
    <definedName name="WP_6_1_1">#REF!</definedName>
    <definedName name="WP_6_2" localSheetId="48">#REF!</definedName>
    <definedName name="WP_6_2">#REF!</definedName>
    <definedName name="WP_6_2_1" localSheetId="48">#REF!</definedName>
    <definedName name="WP_6_2_1">#REF!</definedName>
    <definedName name="WP_6_3" localSheetId="48">#REF!</definedName>
    <definedName name="WP_6_3">#REF!</definedName>
    <definedName name="WP_6_3_1" localSheetId="48">#REF!</definedName>
    <definedName name="WP_6_3_1">#REF!</definedName>
    <definedName name="WP_7_3" localSheetId="48">#REF!</definedName>
    <definedName name="WP_7_3">#REF!</definedName>
    <definedName name="WP_7_6" localSheetId="48">#REF!</definedName>
    <definedName name="WP_7_6">#REF!</definedName>
    <definedName name="WP_9_1" localSheetId="48">#REF!</definedName>
    <definedName name="WP_9_1">#REF!</definedName>
    <definedName name="WP_B9a">[13]WP_B9!$A$30:$U$49</definedName>
    <definedName name="WP_B9b" localSheetId="48">[13]WP_B9!#REF!</definedName>
    <definedName name="WP_B9b">[13]WP_B9!#REF!</definedName>
    <definedName name="WP_G6">[13]WP_B5!$A$13:$J$349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FR." localSheetId="51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50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48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SUP." localSheetId="51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50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48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</definedNames>
  <calcPr calcId="125725" calcMode="manual"/>
</workbook>
</file>

<file path=xl/calcChain.xml><?xml version="1.0" encoding="utf-8"?>
<calcChain xmlns="http://schemas.openxmlformats.org/spreadsheetml/2006/main">
  <c r="F30" i="65"/>
  <c r="F37" i="47"/>
  <c r="G28" i="58"/>
  <c r="D12" i="31"/>
  <c r="C46" i="4"/>
  <c r="C47"/>
  <c r="C48"/>
  <c r="C49"/>
  <c r="C50"/>
  <c r="A6" i="47"/>
  <c r="A6" i="48"/>
  <c r="A6" i="50"/>
  <c r="A6" i="59"/>
  <c r="G27" i="58" l="1"/>
  <c r="I47" i="8"/>
  <c r="F47" i="9"/>
  <c r="A6" i="64"/>
  <c r="C18" i="37"/>
  <c r="G48" i="5" l="1"/>
  <c r="G46"/>
  <c r="G45"/>
  <c r="G39"/>
  <c r="G38"/>
  <c r="G33"/>
  <c r="G31"/>
  <c r="D21" i="45"/>
  <c r="E21"/>
  <c r="C21"/>
  <c r="C20"/>
  <c r="D43"/>
  <c r="E43"/>
  <c r="C43"/>
  <c r="D41"/>
  <c r="E41"/>
  <c r="C41"/>
  <c r="D34"/>
  <c r="E34"/>
  <c r="C34"/>
  <c r="D29"/>
  <c r="E29"/>
  <c r="C29"/>
  <c r="D16"/>
  <c r="E16"/>
  <c r="D18"/>
  <c r="E18"/>
  <c r="C18"/>
  <c r="C16"/>
  <c r="D20"/>
  <c r="D22" s="1"/>
  <c r="F48" i="5"/>
  <c r="F46"/>
  <c r="F45"/>
  <c r="F39"/>
  <c r="F38"/>
  <c r="F33"/>
  <c r="F32"/>
  <c r="F31"/>
  <c r="E32" i="44"/>
  <c r="F32"/>
  <c r="D32"/>
  <c r="E47"/>
  <c r="F47"/>
  <c r="D47"/>
  <c r="E31"/>
  <c r="F31"/>
  <c r="D31"/>
  <c r="D33" s="1"/>
  <c r="F45"/>
  <c r="E45"/>
  <c r="D45"/>
  <c r="E38"/>
  <c r="F38"/>
  <c r="D38"/>
  <c r="E33"/>
  <c r="F33"/>
  <c r="E29"/>
  <c r="F29"/>
  <c r="D29"/>
  <c r="E27"/>
  <c r="F27"/>
  <c r="D27"/>
  <c r="E19"/>
  <c r="F19"/>
  <c r="D19"/>
  <c r="A14"/>
  <c r="A15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F48" i="9"/>
  <c r="F38"/>
  <c r="F35"/>
  <c r="D48"/>
  <c r="D47"/>
  <c r="C48"/>
  <c r="C46"/>
  <c r="C45"/>
  <c r="E41" i="74"/>
  <c r="E40"/>
  <c r="E39"/>
  <c r="E38"/>
  <c r="D38"/>
  <c r="E37"/>
  <c r="E36"/>
  <c r="E35"/>
  <c r="D35"/>
  <c r="E34"/>
  <c r="D34"/>
  <c r="E33"/>
  <c r="D33"/>
  <c r="E32"/>
  <c r="D32"/>
  <c r="E31"/>
  <c r="D31"/>
  <c r="E30"/>
  <c r="D30"/>
  <c r="E29"/>
  <c r="D29"/>
  <c r="E28"/>
  <c r="D28"/>
  <c r="E27"/>
  <c r="D27"/>
  <c r="E26"/>
  <c r="D26"/>
  <c r="E25"/>
  <c r="E24"/>
  <c r="D24"/>
  <c r="E23"/>
  <c r="D23"/>
  <c r="E20"/>
  <c r="E19"/>
  <c r="E18"/>
  <c r="D18"/>
  <c r="E17"/>
  <c r="D17"/>
  <c r="E16"/>
  <c r="E15"/>
  <c r="D15"/>
  <c r="E14"/>
  <c r="E13"/>
  <c r="E12"/>
  <c r="D12"/>
  <c r="I49"/>
  <c r="H49"/>
  <c r="G49"/>
  <c r="H48"/>
  <c r="G48"/>
  <c r="H47"/>
  <c r="G47"/>
  <c r="H46"/>
  <c r="G46"/>
  <c r="H45"/>
  <c r="G45"/>
  <c r="H44"/>
  <c r="G44"/>
  <c r="H43"/>
  <c r="G43"/>
  <c r="H42"/>
  <c r="G42"/>
  <c r="H41"/>
  <c r="G41"/>
  <c r="H40"/>
  <c r="G40"/>
  <c r="H39"/>
  <c r="G39"/>
  <c r="H38"/>
  <c r="G38"/>
  <c r="H37"/>
  <c r="G37"/>
  <c r="H36"/>
  <c r="G36"/>
  <c r="H35"/>
  <c r="G35"/>
  <c r="H34"/>
  <c r="G34"/>
  <c r="H33"/>
  <c r="G33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H14"/>
  <c r="G14"/>
  <c r="H13"/>
  <c r="G13"/>
  <c r="H12"/>
  <c r="G12"/>
  <c r="H11"/>
  <c r="G11"/>
  <c r="G48" i="72"/>
  <c r="F48"/>
  <c r="I48" i="74" s="1"/>
  <c r="G47" i="72"/>
  <c r="F47"/>
  <c r="I47" i="74" s="1"/>
  <c r="G46" i="72"/>
  <c r="F46"/>
  <c r="I46" i="74" s="1"/>
  <c r="G45" i="72"/>
  <c r="F45"/>
  <c r="I45" i="74" s="1"/>
  <c r="G44" i="72"/>
  <c r="F44"/>
  <c r="I44" i="74" s="1"/>
  <c r="G43" i="72"/>
  <c r="F43"/>
  <c r="I43" i="74" s="1"/>
  <c r="G42" i="72"/>
  <c r="F42"/>
  <c r="I42" i="74" s="1"/>
  <c r="G41" i="72"/>
  <c r="F41"/>
  <c r="I41" i="74" s="1"/>
  <c r="G40" i="72"/>
  <c r="F40"/>
  <c r="I40" i="74" s="1"/>
  <c r="G39" i="72"/>
  <c r="F39"/>
  <c r="I39" i="74" s="1"/>
  <c r="G38" i="72"/>
  <c r="F38"/>
  <c r="I38" i="74" s="1"/>
  <c r="G37" i="72"/>
  <c r="F37"/>
  <c r="I37" i="74" s="1"/>
  <c r="G36" i="72"/>
  <c r="F36"/>
  <c r="I36" i="74" s="1"/>
  <c r="G35" i="72"/>
  <c r="F35"/>
  <c r="I35" i="74" s="1"/>
  <c r="G34" i="72"/>
  <c r="F34"/>
  <c r="I34" i="74" s="1"/>
  <c r="G33" i="72"/>
  <c r="F33"/>
  <c r="I33" i="74" s="1"/>
  <c r="G32" i="72"/>
  <c r="F32"/>
  <c r="I32" i="74" s="1"/>
  <c r="G31" i="72"/>
  <c r="F31"/>
  <c r="I31" i="74" s="1"/>
  <c r="G30" i="72"/>
  <c r="F30"/>
  <c r="I30" i="74" s="1"/>
  <c r="G29" i="72"/>
  <c r="F29"/>
  <c r="I29" i="74" s="1"/>
  <c r="G28" i="72"/>
  <c r="F28"/>
  <c r="I28" i="74" s="1"/>
  <c r="G27" i="72"/>
  <c r="F27"/>
  <c r="I27" i="74" s="1"/>
  <c r="G26" i="72"/>
  <c r="F26"/>
  <c r="I26" i="74" s="1"/>
  <c r="G25" i="72"/>
  <c r="F25"/>
  <c r="I25" i="74" s="1"/>
  <c r="G24" i="72"/>
  <c r="F24"/>
  <c r="I24" i="74" s="1"/>
  <c r="G23" i="72"/>
  <c r="F23"/>
  <c r="I23" i="74" s="1"/>
  <c r="G22" i="72"/>
  <c r="F22"/>
  <c r="I22" i="74" s="1"/>
  <c r="G21" i="72"/>
  <c r="F21"/>
  <c r="I21" i="74" s="1"/>
  <c r="G20" i="72"/>
  <c r="F20"/>
  <c r="I20" i="74" s="1"/>
  <c r="G19" i="72"/>
  <c r="F19"/>
  <c r="I19" i="74" s="1"/>
  <c r="G18" i="72"/>
  <c r="F18"/>
  <c r="I18" i="74" s="1"/>
  <c r="G17" i="72"/>
  <c r="F17"/>
  <c r="I17" i="74" s="1"/>
  <c r="G16" i="72"/>
  <c r="F16"/>
  <c r="I16" i="74" s="1"/>
  <c r="G15" i="72"/>
  <c r="F15"/>
  <c r="I15" i="74" s="1"/>
  <c r="G14" i="72"/>
  <c r="F14"/>
  <c r="I14" i="74" s="1"/>
  <c r="G13" i="72"/>
  <c r="F13"/>
  <c r="I13" i="74" s="1"/>
  <c r="G12" i="72"/>
  <c r="F12"/>
  <c r="I12" i="74" s="1"/>
  <c r="I50" s="1"/>
  <c r="G11" i="72"/>
  <c r="F11"/>
  <c r="I11" i="74" s="1"/>
  <c r="G38" i="71"/>
  <c r="F38" i="74" s="1"/>
  <c r="L38" s="1"/>
  <c r="F38" i="71"/>
  <c r="G35"/>
  <c r="F35" i="74" s="1"/>
  <c r="L35" s="1"/>
  <c r="F35" i="71"/>
  <c r="G34"/>
  <c r="F34" i="74" s="1"/>
  <c r="L34" s="1"/>
  <c r="F34" i="71"/>
  <c r="G33"/>
  <c r="F33" i="74" s="1"/>
  <c r="L33" s="1"/>
  <c r="F33" i="71"/>
  <c r="G32"/>
  <c r="F32" i="74" s="1"/>
  <c r="L32" s="1"/>
  <c r="F32" i="71"/>
  <c r="G31"/>
  <c r="F31" i="74" s="1"/>
  <c r="L31" s="1"/>
  <c r="F31" i="71"/>
  <c r="G30"/>
  <c r="F30" i="74" s="1"/>
  <c r="L30" s="1"/>
  <c r="F30" i="71"/>
  <c r="G29"/>
  <c r="F29" i="74" s="1"/>
  <c r="L29" s="1"/>
  <c r="F29" i="71"/>
  <c r="G28"/>
  <c r="F28" i="74" s="1"/>
  <c r="L28" s="1"/>
  <c r="F28" i="71"/>
  <c r="G27"/>
  <c r="F27" i="74" s="1"/>
  <c r="F27" i="71"/>
  <c r="G26"/>
  <c r="F26" i="74" s="1"/>
  <c r="L26" s="1"/>
  <c r="F26" i="71"/>
  <c r="G24"/>
  <c r="F24" i="74" s="1"/>
  <c r="L24" s="1"/>
  <c r="F24" i="71"/>
  <c r="G23"/>
  <c r="F23" i="74" s="1"/>
  <c r="L23" s="1"/>
  <c r="F23" i="71"/>
  <c r="G18"/>
  <c r="F18" i="74" s="1"/>
  <c r="L18" s="1"/>
  <c r="F18" i="71"/>
  <c r="G17"/>
  <c r="F17" i="74" s="1"/>
  <c r="L17" s="1"/>
  <c r="F17" i="71"/>
  <c r="G15"/>
  <c r="F15" i="74" s="1"/>
  <c r="F15" i="71"/>
  <c r="G12"/>
  <c r="F12" i="74" s="1"/>
  <c r="F12" i="71"/>
  <c r="K41" i="74"/>
  <c r="K40"/>
  <c r="K39"/>
  <c r="K38"/>
  <c r="J38"/>
  <c r="K37"/>
  <c r="K36"/>
  <c r="K35"/>
  <c r="J35"/>
  <c r="K34"/>
  <c r="J34"/>
  <c r="K33"/>
  <c r="J33"/>
  <c r="J32"/>
  <c r="K32"/>
  <c r="K31"/>
  <c r="J31"/>
  <c r="J30"/>
  <c r="K30"/>
  <c r="K29"/>
  <c r="J29"/>
  <c r="J28"/>
  <c r="K28"/>
  <c r="K27"/>
  <c r="J26"/>
  <c r="K26"/>
  <c r="K25"/>
  <c r="J24"/>
  <c r="K24"/>
  <c r="K23"/>
  <c r="J23"/>
  <c r="K20"/>
  <c r="K19"/>
  <c r="J18"/>
  <c r="K18"/>
  <c r="K17"/>
  <c r="J17"/>
  <c r="K16"/>
  <c r="K15"/>
  <c r="K14"/>
  <c r="K13"/>
  <c r="H50"/>
  <c r="H51" s="1"/>
  <c r="G50"/>
  <c r="G51" s="1"/>
  <c r="D9" i="73"/>
  <c r="C9"/>
  <c r="E50" i="72"/>
  <c r="E51" s="1"/>
  <c r="D50"/>
  <c r="D51" s="1"/>
  <c r="G50"/>
  <c r="G51" s="1"/>
  <c r="F50"/>
  <c r="F51" s="1"/>
  <c r="D38" i="71"/>
  <c r="D35"/>
  <c r="D34"/>
  <c r="D33"/>
  <c r="D32"/>
  <c r="D31"/>
  <c r="E30"/>
  <c r="D30"/>
  <c r="D29"/>
  <c r="H29" s="1"/>
  <c r="D28"/>
  <c r="H28" s="1"/>
  <c r="D26"/>
  <c r="H26" s="1"/>
  <c r="D24"/>
  <c r="H24" s="1"/>
  <c r="D23"/>
  <c r="H23" s="1"/>
  <c r="E20"/>
  <c r="E19"/>
  <c r="E18"/>
  <c r="D18"/>
  <c r="E17"/>
  <c r="H17" s="1"/>
  <c r="D17"/>
  <c r="C22" i="45" l="1"/>
  <c r="E20"/>
  <c r="E22" s="1"/>
  <c r="I51" i="74"/>
  <c r="K12"/>
  <c r="H18" i="71"/>
  <c r="H30"/>
  <c r="H31"/>
  <c r="H32"/>
  <c r="H33"/>
  <c r="H34"/>
  <c r="H35"/>
  <c r="H38"/>
  <c r="H31" i="5" l="1"/>
  <c r="H37"/>
  <c r="A13" i="68" l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E10"/>
  <c r="A6"/>
  <c r="E48" i="5" l="1"/>
  <c r="E46"/>
  <c r="E45"/>
  <c r="E32"/>
  <c r="E31"/>
  <c r="E38" i="43"/>
  <c r="E27" s="1"/>
  <c r="E39" i="5" s="1"/>
  <c r="E37" i="43"/>
  <c r="D27"/>
  <c r="C27"/>
  <c r="D22"/>
  <c r="D24" s="1"/>
  <c r="C22"/>
  <c r="C24" s="1"/>
  <c r="E21"/>
  <c r="E20"/>
  <c r="E19"/>
  <c r="E22" s="1"/>
  <c r="E24" s="1"/>
  <c r="D16"/>
  <c r="C16"/>
  <c r="E15"/>
  <c r="E14"/>
  <c r="E13"/>
  <c r="E16" s="1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C48" i="5"/>
  <c r="C46"/>
  <c r="C45"/>
  <c r="C39"/>
  <c r="C38"/>
  <c r="C32"/>
  <c r="C25"/>
  <c r="C21"/>
  <c r="E43" i="40"/>
  <c r="E32" s="1"/>
  <c r="E42"/>
  <c r="D27"/>
  <c r="D29" s="1"/>
  <c r="C27"/>
  <c r="C29" s="1"/>
  <c r="C38" s="1"/>
  <c r="C45" s="1"/>
  <c r="C47" s="1"/>
  <c r="E26"/>
  <c r="E25"/>
  <c r="E24"/>
  <c r="E23"/>
  <c r="E27" s="1"/>
  <c r="E20"/>
  <c r="D17"/>
  <c r="C17"/>
  <c r="E16"/>
  <c r="E15"/>
  <c r="E14"/>
  <c r="E17" s="1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D48" i="5"/>
  <c r="D46"/>
  <c r="D45"/>
  <c r="D39"/>
  <c r="D33"/>
  <c r="D32"/>
  <c r="D31"/>
  <c r="D25"/>
  <c r="D53" i="42"/>
  <c r="E51"/>
  <c r="E50"/>
  <c r="D40"/>
  <c r="E40" s="1"/>
  <c r="C40"/>
  <c r="E35"/>
  <c r="D33"/>
  <c r="C33"/>
  <c r="E32"/>
  <c r="D21" i="5" s="1"/>
  <c r="E31" i="42"/>
  <c r="E33" s="1"/>
  <c r="C28"/>
  <c r="E27"/>
  <c r="E26"/>
  <c r="E25"/>
  <c r="D28"/>
  <c r="D37" s="1"/>
  <c r="D19"/>
  <c r="D21" s="1"/>
  <c r="C19"/>
  <c r="C21" s="1"/>
  <c r="E18"/>
  <c r="E17"/>
  <c r="E16"/>
  <c r="E15"/>
  <c r="E14"/>
  <c r="E19" s="1"/>
  <c r="E21" s="1"/>
  <c r="A14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13"/>
  <c r="C37" l="1"/>
  <c r="E37" s="1"/>
  <c r="D19" i="5"/>
  <c r="C33" i="43"/>
  <c r="C40" s="1"/>
  <c r="C42" s="1"/>
  <c r="C26" s="1"/>
  <c r="C28" s="1"/>
  <c r="E33"/>
  <c r="E40" s="1"/>
  <c r="E42" s="1"/>
  <c r="E26" s="1"/>
  <c r="D33"/>
  <c r="D40" s="1"/>
  <c r="D42" s="1"/>
  <c r="D26" s="1"/>
  <c r="D28" s="1"/>
  <c r="D38" i="40"/>
  <c r="D45" s="1"/>
  <c r="D47" s="1"/>
  <c r="D33" s="1"/>
  <c r="E29"/>
  <c r="D46" i="42"/>
  <c r="D55" s="1"/>
  <c r="D39" s="1"/>
  <c r="D41" s="1"/>
  <c r="C46"/>
  <c r="E24"/>
  <c r="E28" s="1"/>
  <c r="I48" i="4"/>
  <c r="I46"/>
  <c r="I45"/>
  <c r="I39"/>
  <c r="I38"/>
  <c r="I32"/>
  <c r="I31"/>
  <c r="D29" i="41"/>
  <c r="E29"/>
  <c r="C29"/>
  <c r="E39"/>
  <c r="E28" s="1"/>
  <c r="D28"/>
  <c r="C28"/>
  <c r="D23"/>
  <c r="D34" s="1"/>
  <c r="D41" s="1"/>
  <c r="D43" s="1"/>
  <c r="D27" s="1"/>
  <c r="C23"/>
  <c r="C34" s="1"/>
  <c r="C41" s="1"/>
  <c r="C43" s="1"/>
  <c r="C27" s="1"/>
  <c r="E22"/>
  <c r="E21"/>
  <c r="E20"/>
  <c r="E23" s="1"/>
  <c r="D17"/>
  <c r="C17"/>
  <c r="E16"/>
  <c r="E15"/>
  <c r="E14"/>
  <c r="E17" s="1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C32" i="9"/>
  <c r="C31"/>
  <c r="A6" i="67"/>
  <c r="D27"/>
  <c r="C27"/>
  <c r="E26"/>
  <c r="E25"/>
  <c r="E24"/>
  <c r="E27" s="1"/>
  <c r="C19"/>
  <c r="E20" s="1"/>
  <c r="C38" i="9" s="1"/>
  <c r="D17" i="67"/>
  <c r="D15"/>
  <c r="C15"/>
  <c r="C17" s="1"/>
  <c r="E14"/>
  <c r="E13"/>
  <c r="E15" s="1"/>
  <c r="E17" s="1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" i="69"/>
  <c r="A1"/>
  <c r="A2" i="68"/>
  <c r="A1"/>
  <c r="A2" i="67"/>
  <c r="A1"/>
  <c r="H38" i="8"/>
  <c r="H25"/>
  <c r="E25" i="65"/>
  <c r="E27" s="1"/>
  <c r="F24"/>
  <c r="D23"/>
  <c r="D25" s="1"/>
  <c r="D27" s="1"/>
  <c r="F22"/>
  <c r="F21"/>
  <c r="E17"/>
  <c r="D16"/>
  <c r="D17" s="1"/>
  <c r="F15"/>
  <c r="F14"/>
  <c r="A14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G46" i="8"/>
  <c r="G32"/>
  <c r="E40" i="64"/>
  <c r="D34"/>
  <c r="E30"/>
  <c r="D28"/>
  <c r="C28"/>
  <c r="E27"/>
  <c r="E26"/>
  <c r="E28" s="1"/>
  <c r="D21"/>
  <c r="C21"/>
  <c r="E20"/>
  <c r="E19"/>
  <c r="E21" s="1"/>
  <c r="D17"/>
  <c r="D23" s="1"/>
  <c r="C17"/>
  <c r="C23" s="1"/>
  <c r="E16"/>
  <c r="E15"/>
  <c r="E14"/>
  <c r="E17" s="1"/>
  <c r="E23" s="1"/>
  <c r="E32" s="1"/>
  <c r="A14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13"/>
  <c r="A2" i="66"/>
  <c r="A1"/>
  <c r="A2" i="65"/>
  <c r="A1"/>
  <c r="E38" i="8"/>
  <c r="E34"/>
  <c r="E27"/>
  <c r="E26"/>
  <c r="A6" i="63"/>
  <c r="C42"/>
  <c r="D43" s="1"/>
  <c r="D47" s="1"/>
  <c r="C36"/>
  <c r="D37" s="1"/>
  <c r="E25"/>
  <c r="D25"/>
  <c r="E22"/>
  <c r="E27" s="1"/>
  <c r="E20"/>
  <c r="D20"/>
  <c r="D22" s="1"/>
  <c r="D27" s="1"/>
  <c r="F19"/>
  <c r="F25" s="1"/>
  <c r="F18"/>
  <c r="F17"/>
  <c r="F16"/>
  <c r="F15"/>
  <c r="F14"/>
  <c r="F20" s="1"/>
  <c r="F22" s="1"/>
  <c r="F27" s="1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D31" i="8"/>
  <c r="A6" i="61"/>
  <c r="D18"/>
  <c r="D14"/>
  <c r="C14"/>
  <c r="E13"/>
  <c r="E14" s="1"/>
  <c r="E16" s="1"/>
  <c r="A12"/>
  <c r="A13" s="1"/>
  <c r="A14" s="1"/>
  <c r="A15" s="1"/>
  <c r="A16" s="1"/>
  <c r="A17" s="1"/>
  <c r="A18" s="1"/>
  <c r="A19" s="1"/>
  <c r="A20" s="1"/>
  <c r="A21" s="1"/>
  <c r="A22" s="1"/>
  <c r="C29" i="8"/>
  <c r="C37"/>
  <c r="C31"/>
  <c r="C26"/>
  <c r="C27"/>
  <c r="C28"/>
  <c r="C25"/>
  <c r="C20"/>
  <c r="D28" i="59"/>
  <c r="C24"/>
  <c r="E23"/>
  <c r="D21"/>
  <c r="D24" s="1"/>
  <c r="C21"/>
  <c r="E20"/>
  <c r="E19"/>
  <c r="E18"/>
  <c r="E17"/>
  <c r="E16"/>
  <c r="E15"/>
  <c r="E14"/>
  <c r="E13"/>
  <c r="E21" s="1"/>
  <c r="E24" s="1"/>
  <c r="E26" s="1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2" i="64"/>
  <c r="A1"/>
  <c r="I38" i="7"/>
  <c r="I31"/>
  <c r="E16" i="62"/>
  <c r="E18" s="1"/>
  <c r="E20" s="1"/>
  <c r="A2" i="63"/>
  <c r="A1"/>
  <c r="A2" i="62"/>
  <c r="A1"/>
  <c r="D29" i="60"/>
  <c r="E30" s="1"/>
  <c r="D14"/>
  <c r="E15" s="1"/>
  <c r="E35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2" i="61"/>
  <c r="A1"/>
  <c r="G20" i="7"/>
  <c r="G23" i="58"/>
  <c r="G37" i="7" s="1"/>
  <c r="G14" i="58"/>
  <c r="G25" i="7" s="1"/>
  <c r="G15" i="58"/>
  <c r="G26" i="7" s="1"/>
  <c r="G16" i="58"/>
  <c r="G27" i="7" s="1"/>
  <c r="G17" i="58"/>
  <c r="G28" i="7" s="1"/>
  <c r="G18" i="58"/>
  <c r="G29" i="7" s="1"/>
  <c r="G19" i="58"/>
  <c r="G20"/>
  <c r="G31" i="7" s="1"/>
  <c r="G13" i="58"/>
  <c r="F21"/>
  <c r="E21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" i="60"/>
  <c r="A1"/>
  <c r="F38" i="7"/>
  <c r="F31"/>
  <c r="A6" i="57"/>
  <c r="D14"/>
  <c r="C14"/>
  <c r="E13"/>
  <c r="A13"/>
  <c r="A14" s="1"/>
  <c r="A15" s="1"/>
  <c r="A16" s="1"/>
  <c r="A17" s="1"/>
  <c r="A18" s="1"/>
  <c r="A19" s="1"/>
  <c r="E12"/>
  <c r="E14" s="1"/>
  <c r="E16" s="1"/>
  <c r="E38" i="7"/>
  <c r="E31"/>
  <c r="A6" i="56"/>
  <c r="D14"/>
  <c r="C14"/>
  <c r="E13"/>
  <c r="A13"/>
  <c r="A14" s="1"/>
  <c r="A15" s="1"/>
  <c r="A16" s="1"/>
  <c r="A17" s="1"/>
  <c r="A18" s="1"/>
  <c r="A19" s="1"/>
  <c r="E12"/>
  <c r="E14" s="1"/>
  <c r="E16" s="1"/>
  <c r="A2" i="59"/>
  <c r="A1"/>
  <c r="A2" i="58"/>
  <c r="A1"/>
  <c r="A6" i="54"/>
  <c r="A2" i="57"/>
  <c r="A1"/>
  <c r="A2" i="56"/>
  <c r="A1"/>
  <c r="C14" i="54"/>
  <c r="C16" s="1"/>
  <c r="C20" s="1"/>
  <c r="A13"/>
  <c r="A14" s="1"/>
  <c r="A15" s="1"/>
  <c r="A16" s="1"/>
  <c r="A17" s="1"/>
  <c r="A18" s="1"/>
  <c r="A19" s="1"/>
  <c r="A20" s="1"/>
  <c r="A21" s="1"/>
  <c r="A22" s="1"/>
  <c r="A23" s="1"/>
  <c r="A24" s="1"/>
  <c r="C38" i="7"/>
  <c r="C31"/>
  <c r="A6" i="55"/>
  <c r="C22"/>
  <c r="C24" s="1"/>
  <c r="D24" s="1"/>
  <c r="C16"/>
  <c r="C18" s="1"/>
  <c r="D18" s="1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2"/>
  <c r="A1"/>
  <c r="I39" i="6"/>
  <c r="I37"/>
  <c r="A6" i="53"/>
  <c r="D14"/>
  <c r="C14"/>
  <c r="A13"/>
  <c r="A14" s="1"/>
  <c r="A15" s="1"/>
  <c r="A16" s="1"/>
  <c r="A17" s="1"/>
  <c r="A18" s="1"/>
  <c r="A19" s="1"/>
  <c r="A20" s="1"/>
  <c r="E12"/>
  <c r="E14" s="1"/>
  <c r="E16" s="1"/>
  <c r="A2" i="54"/>
  <c r="A1"/>
  <c r="A2" i="53"/>
  <c r="A1"/>
  <c r="H49" i="6"/>
  <c r="H28"/>
  <c r="G38"/>
  <c r="G37"/>
  <c r="A8" i="51"/>
  <c r="E17"/>
  <c r="E19" s="1"/>
  <c r="A14"/>
  <c r="A15" s="1"/>
  <c r="A16" s="1"/>
  <c r="A17" s="1"/>
  <c r="A18" s="1"/>
  <c r="A19" s="1"/>
  <c r="A20" s="1"/>
  <c r="A21" s="1"/>
  <c r="A22" s="1"/>
  <c r="F31" i="6"/>
  <c r="F18" i="50"/>
  <c r="C53" i="42" l="1"/>
  <c r="C55" s="1"/>
  <c r="C39" s="1"/>
  <c r="E28" i="43"/>
  <c r="E38" i="5"/>
  <c r="E38" i="40"/>
  <c r="E45" s="1"/>
  <c r="E47" s="1"/>
  <c r="E31" s="1"/>
  <c r="E33" s="1"/>
  <c r="E46" i="42"/>
  <c r="E53" s="1"/>
  <c r="E55" s="1"/>
  <c r="E34" i="41"/>
  <c r="E41" s="1"/>
  <c r="E43" s="1"/>
  <c r="E27" s="1"/>
  <c r="E25"/>
  <c r="C20" i="67"/>
  <c r="C21" s="1"/>
  <c r="D20"/>
  <c r="D21" s="1"/>
  <c r="E21"/>
  <c r="D29" i="65"/>
  <c r="D30" s="1"/>
  <c r="E29"/>
  <c r="E30" s="1"/>
  <c r="F16"/>
  <c r="F17" s="1"/>
  <c r="F23"/>
  <c r="F25" s="1"/>
  <c r="F27" s="1"/>
  <c r="E35" i="64"/>
  <c r="E39"/>
  <c r="E41" s="1"/>
  <c r="F47" i="63"/>
  <c r="F49" s="1"/>
  <c r="E44"/>
  <c r="E18" i="61"/>
  <c r="D38" i="8" s="1"/>
  <c r="E28" i="59"/>
  <c r="E22" i="62"/>
  <c r="E24" s="1"/>
  <c r="D19" i="60"/>
  <c r="E20" s="1"/>
  <c r="D24"/>
  <c r="E25" s="1"/>
  <c r="E24" i="58"/>
  <c r="G21"/>
  <c r="G24" s="1"/>
  <c r="G26" s="1"/>
  <c r="F24"/>
  <c r="E18" i="57"/>
  <c r="E19" s="1"/>
  <c r="E18" i="56"/>
  <c r="E19" s="1"/>
  <c r="C22" i="54"/>
  <c r="C24" s="1"/>
  <c r="D27" i="55"/>
  <c r="E18" i="53"/>
  <c r="E20" s="1"/>
  <c r="E21" i="51"/>
  <c r="E22" s="1"/>
  <c r="H18" i="50"/>
  <c r="H20" s="1"/>
  <c r="F20"/>
  <c r="F22" s="1"/>
  <c r="F24" s="1"/>
  <c r="C41" i="42" l="1"/>
  <c r="E39"/>
  <c r="F29" i="65"/>
  <c r="E29" i="59"/>
  <c r="C38" i="8"/>
  <c r="E20" i="61"/>
  <c r="F51" i="63"/>
  <c r="F53"/>
  <c r="E33" i="60"/>
  <c r="E34" s="1"/>
  <c r="E36" s="1"/>
  <c r="H31" i="7" s="1"/>
  <c r="D29" i="55"/>
  <c r="D30" s="1"/>
  <c r="H22" i="50"/>
  <c r="F38" i="6"/>
  <c r="E37"/>
  <c r="A6" i="49"/>
  <c r="C22"/>
  <c r="D18"/>
  <c r="D20" s="1"/>
  <c r="D14"/>
  <c r="A14"/>
  <c r="A15" s="1"/>
  <c r="A16" s="1"/>
  <c r="A17" s="1"/>
  <c r="A18" s="1"/>
  <c r="A19" s="1"/>
  <c r="A20" s="1"/>
  <c r="A21" s="1"/>
  <c r="A22" s="1"/>
  <c r="A23" s="1"/>
  <c r="A13"/>
  <c r="A2" i="52"/>
  <c r="A1"/>
  <c r="F30" i="48"/>
  <c r="F32" s="1"/>
  <c r="E30"/>
  <c r="D30"/>
  <c r="C30"/>
  <c r="F13"/>
  <c r="F15" s="1"/>
  <c r="E13"/>
  <c r="D13"/>
  <c r="C13"/>
  <c r="A2" i="51"/>
  <c r="A1"/>
  <c r="C38" i="6"/>
  <c r="C35"/>
  <c r="C31"/>
  <c r="C26"/>
  <c r="C14"/>
  <c r="E32" i="47"/>
  <c r="D32"/>
  <c r="C32"/>
  <c r="F30"/>
  <c r="F29"/>
  <c r="F28"/>
  <c r="F27"/>
  <c r="F26"/>
  <c r="F25"/>
  <c r="F24"/>
  <c r="F23"/>
  <c r="F22"/>
  <c r="F19"/>
  <c r="F32" s="1"/>
  <c r="F13"/>
  <c r="F14" s="1"/>
  <c r="A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2" i="50"/>
  <c r="A1"/>
  <c r="A2" i="49"/>
  <c r="A1"/>
  <c r="A2" i="48"/>
  <c r="A1"/>
  <c r="E41" i="42" l="1"/>
  <c r="D38" i="5"/>
  <c r="G38" i="7"/>
  <c r="E38" i="60"/>
  <c r="H24" i="50"/>
  <c r="D22" i="49"/>
  <c r="F16" i="48"/>
  <c r="F17" s="1"/>
  <c r="F33"/>
  <c r="F34" s="1"/>
  <c r="F34" i="47"/>
  <c r="E39" i="60" l="1"/>
  <c r="H38" i="7"/>
  <c r="D23" i="49"/>
  <c r="E38" i="6"/>
  <c r="F35" i="47"/>
  <c r="A6" i="46" l="1"/>
  <c r="A2" i="47"/>
  <c r="A1"/>
  <c r="H11" i="5"/>
  <c r="H30"/>
  <c r="H29"/>
  <c r="H22"/>
  <c r="H14"/>
  <c r="D23" i="46"/>
  <c r="E23" s="1"/>
  <c r="E35"/>
  <c r="E19"/>
  <c r="A14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13"/>
  <c r="A2"/>
  <c r="A1"/>
  <c r="A2" i="45"/>
  <c r="A1"/>
  <c r="A2" i="44"/>
  <c r="A1"/>
  <c r="A2" i="43"/>
  <c r="A1"/>
  <c r="A2" i="42"/>
  <c r="A1"/>
  <c r="A2" i="41"/>
  <c r="A1"/>
  <c r="G39" i="4"/>
  <c r="F21"/>
  <c r="F20"/>
  <c r="F13"/>
  <c r="A6" i="39"/>
  <c r="D30"/>
  <c r="D27"/>
  <c r="C14"/>
  <c r="D14" s="1"/>
  <c r="D15" s="1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2" i="40"/>
  <c r="A1"/>
  <c r="A2" i="39"/>
  <c r="A1"/>
  <c r="A2" i="37"/>
  <c r="A1"/>
  <c r="C36"/>
  <c r="A6"/>
  <c r="C38"/>
  <c r="E30"/>
  <c r="F26" i="4" s="1"/>
  <c r="G26" i="9" s="1"/>
  <c r="E29" i="37"/>
  <c r="F25" i="4" s="1"/>
  <c r="E27" i="37"/>
  <c r="E26"/>
  <c r="E24"/>
  <c r="E23"/>
  <c r="D25"/>
  <c r="C25"/>
  <c r="D28"/>
  <c r="D32" s="1"/>
  <c r="E20"/>
  <c r="F19" i="4" s="1"/>
  <c r="C16" i="37"/>
  <c r="E14"/>
  <c r="D16"/>
  <c r="D18" s="1"/>
  <c r="A14"/>
  <c r="A15" s="1"/>
  <c r="A13"/>
  <c r="E12"/>
  <c r="D11" i="4"/>
  <c r="D12"/>
  <c r="E42" i="36"/>
  <c r="A2"/>
  <c r="A1"/>
  <c r="E50"/>
  <c r="A45"/>
  <c r="A46" s="1"/>
  <c r="A47" s="1"/>
  <c r="A48" s="1"/>
  <c r="A49" s="1"/>
  <c r="A50" s="1"/>
  <c r="A51" s="1"/>
  <c r="A44"/>
  <c r="G39"/>
  <c r="D26"/>
  <c r="C26"/>
  <c r="E25"/>
  <c r="F25" s="1"/>
  <c r="F24"/>
  <c r="E24"/>
  <c r="E23"/>
  <c r="F23" s="1"/>
  <c r="E22"/>
  <c r="F22" s="1"/>
  <c r="E21"/>
  <c r="F21" s="1"/>
  <c r="F20"/>
  <c r="E20"/>
  <c r="E19"/>
  <c r="F19" s="1"/>
  <c r="E18"/>
  <c r="F18" s="1"/>
  <c r="E17"/>
  <c r="F17" s="1"/>
  <c r="F16"/>
  <c r="E16"/>
  <c r="E15"/>
  <c r="F15" s="1"/>
  <c r="E14"/>
  <c r="E26" s="1"/>
  <c r="A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9" i="30"/>
  <c r="A1" i="21"/>
  <c r="A9"/>
  <c r="A2" i="30"/>
  <c r="A1"/>
  <c r="A6" i="31"/>
  <c r="A1"/>
  <c r="G50" i="9"/>
  <c r="G49"/>
  <c r="G47"/>
  <c r="G39"/>
  <c r="G36"/>
  <c r="G34"/>
  <c r="G32"/>
  <c r="G30"/>
  <c r="G27"/>
  <c r="G22"/>
  <c r="G13"/>
  <c r="F51"/>
  <c r="F23"/>
  <c r="F40" s="1"/>
  <c r="F42" s="1"/>
  <c r="F15"/>
  <c r="D34" i="37" l="1"/>
  <c r="E49" i="71"/>
  <c r="E49" i="74" s="1"/>
  <c r="K49" s="1"/>
  <c r="D49" i="71"/>
  <c r="D20" i="39"/>
  <c r="D29"/>
  <c r="B36" i="37"/>
  <c r="A16"/>
  <c r="A17" s="1"/>
  <c r="A18" s="1"/>
  <c r="E22"/>
  <c r="E25" s="1"/>
  <c r="E28" s="1"/>
  <c r="E32" s="1"/>
  <c r="C28"/>
  <c r="C32" s="1"/>
  <c r="E15"/>
  <c r="E36" s="1"/>
  <c r="F37" i="4" s="1"/>
  <c r="F14" i="36"/>
  <c r="F26" s="1"/>
  <c r="F42"/>
  <c r="D31" i="4" s="1"/>
  <c r="A6" i="35"/>
  <c r="A6" i="32"/>
  <c r="A6" i="34"/>
  <c r="A1" i="35"/>
  <c r="A1" i="33"/>
  <c r="A1" i="32"/>
  <c r="A1" i="34"/>
  <c r="F15" i="1"/>
  <c r="F13"/>
  <c r="D13" i="31"/>
  <c r="F24" i="1"/>
  <c r="F52"/>
  <c r="D50"/>
  <c r="E50" s="1"/>
  <c r="G50" s="1"/>
  <c r="C27" i="34"/>
  <c r="D51" i="1"/>
  <c r="E51" s="1"/>
  <c r="G51" s="1"/>
  <c r="H49" i="9"/>
  <c r="H47"/>
  <c r="D40" i="1"/>
  <c r="E40" s="1"/>
  <c r="G40" s="1"/>
  <c r="H36" i="9"/>
  <c r="H34"/>
  <c r="H32"/>
  <c r="H30"/>
  <c r="D28" i="1"/>
  <c r="E28" s="1"/>
  <c r="G28" s="1"/>
  <c r="H26" i="9"/>
  <c r="H22"/>
  <c r="D14" i="1"/>
  <c r="E14" s="1"/>
  <c r="G14" s="1"/>
  <c r="I35" i="8"/>
  <c r="A2" i="35"/>
  <c r="D26"/>
  <c r="C26"/>
  <c r="E25"/>
  <c r="I48" i="8" s="1"/>
  <c r="G48" i="9" s="1"/>
  <c r="D49" i="1" s="1"/>
  <c r="E49" s="1"/>
  <c r="G49" s="1"/>
  <c r="E24" i="35"/>
  <c r="E23"/>
  <c r="E26" s="1"/>
  <c r="D18"/>
  <c r="D14"/>
  <c r="C14"/>
  <c r="E13"/>
  <c r="E12"/>
  <c r="E14" s="1"/>
  <c r="E16" s="1"/>
  <c r="A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F38" i="8"/>
  <c r="F46"/>
  <c r="F33"/>
  <c r="G33" i="9" s="1"/>
  <c r="D34" i="1" s="1"/>
  <c r="E34" s="1"/>
  <c r="G34" s="1"/>
  <c r="F25" i="8"/>
  <c r="G25" i="9" s="1"/>
  <c r="D26" i="1" s="1"/>
  <c r="E26" s="1"/>
  <c r="G26" s="1"/>
  <c r="F21" i="8"/>
  <c r="G21" i="9" s="1"/>
  <c r="D22" i="1" s="1"/>
  <c r="E22" s="1"/>
  <c r="G22" s="1"/>
  <c r="F20" i="8"/>
  <c r="G20" i="9" s="1"/>
  <c r="H20" s="1"/>
  <c r="F19" i="8"/>
  <c r="G19" i="9" s="1"/>
  <c r="E33" i="33"/>
  <c r="A2"/>
  <c r="E44"/>
  <c r="D42"/>
  <c r="C42"/>
  <c r="E41"/>
  <c r="E40"/>
  <c r="E39"/>
  <c r="E38"/>
  <c r="E37"/>
  <c r="E36"/>
  <c r="E35"/>
  <c r="E34"/>
  <c r="E32"/>
  <c r="E31"/>
  <c r="E30"/>
  <c r="E42" s="1"/>
  <c r="D26"/>
  <c r="C26"/>
  <c r="E25"/>
  <c r="E24"/>
  <c r="E23"/>
  <c r="E22"/>
  <c r="E21"/>
  <c r="E20"/>
  <c r="E19"/>
  <c r="E18"/>
  <c r="E17"/>
  <c r="E16"/>
  <c r="E15"/>
  <c r="E14"/>
  <c r="E13"/>
  <c r="E26" s="1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G29" i="9"/>
  <c r="D30" i="1" s="1"/>
  <c r="E30" s="1"/>
  <c r="G30" s="1"/>
  <c r="A2" i="34"/>
  <c r="C32"/>
  <c r="D28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E15" i="30"/>
  <c r="C44" i="20"/>
  <c r="F18" i="32"/>
  <c r="E18"/>
  <c r="A2"/>
  <c r="H15"/>
  <c r="G15"/>
  <c r="G14"/>
  <c r="H14" s="1"/>
  <c r="H13"/>
  <c r="G13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" i="31"/>
  <c r="A13"/>
  <c r="A14" s="1"/>
  <c r="A15" s="1"/>
  <c r="A16" s="1"/>
  <c r="A17" s="1"/>
  <c r="A18" s="1"/>
  <c r="A19" s="1"/>
  <c r="A20" s="1"/>
  <c r="A21" s="1"/>
  <c r="A22" s="1"/>
  <c r="A23" s="1"/>
  <c r="A24" s="1"/>
  <c r="B23" i="30"/>
  <c r="B22"/>
  <c r="B21"/>
  <c r="B17"/>
  <c r="A2" i="21"/>
  <c r="D25"/>
  <c r="C25"/>
  <c r="E25" s="1"/>
  <c r="D24"/>
  <c r="C24"/>
  <c r="E24" s="1"/>
  <c r="D23"/>
  <c r="C23"/>
  <c r="D22"/>
  <c r="C22"/>
  <c r="C26" s="1"/>
  <c r="E19"/>
  <c r="E18"/>
  <c r="E17"/>
  <c r="E23" s="1"/>
  <c r="E16"/>
  <c r="E22" s="1"/>
  <c r="E26" s="1"/>
  <c r="E14" i="4"/>
  <c r="E12"/>
  <c r="G12" i="9" s="1"/>
  <c r="H12" s="1"/>
  <c r="E39" i="20"/>
  <c r="E33"/>
  <c r="D26"/>
  <c r="D20"/>
  <c r="A15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14"/>
  <c r="E51" i="9"/>
  <c r="E48" i="71" s="1"/>
  <c r="E48" i="74" s="1"/>
  <c r="K48" s="1"/>
  <c r="D51" i="9"/>
  <c r="C51"/>
  <c r="E23"/>
  <c r="E40" s="1"/>
  <c r="E42" s="1"/>
  <c r="D48" i="71" s="1"/>
  <c r="D23" i="9"/>
  <c r="D40" s="1"/>
  <c r="C23"/>
  <c r="C40" s="1"/>
  <c r="C42" s="1"/>
  <c r="E15"/>
  <c r="D15"/>
  <c r="C15"/>
  <c r="A1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H51" i="8"/>
  <c r="E44" i="71" s="1"/>
  <c r="E44" i="74" s="1"/>
  <c r="K44" s="1"/>
  <c r="G51" i="8"/>
  <c r="E43" i="71" s="1"/>
  <c r="E43" i="74" s="1"/>
  <c r="K43" s="1"/>
  <c r="F51" i="8"/>
  <c r="E42" i="71" s="1"/>
  <c r="E42" i="74" s="1"/>
  <c r="K42" s="1"/>
  <c r="E51" i="8"/>
  <c r="D51"/>
  <c r="C51"/>
  <c r="I23"/>
  <c r="H23"/>
  <c r="H40" s="1"/>
  <c r="G23"/>
  <c r="G40" s="1"/>
  <c r="F23"/>
  <c r="F40" s="1"/>
  <c r="E23"/>
  <c r="E40" s="1"/>
  <c r="D23"/>
  <c r="D40" s="1"/>
  <c r="C23"/>
  <c r="C40" s="1"/>
  <c r="I15"/>
  <c r="H15"/>
  <c r="G15"/>
  <c r="F15"/>
  <c r="E15"/>
  <c r="D15"/>
  <c r="C15"/>
  <c r="A1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I51" i="7"/>
  <c r="H51"/>
  <c r="G51"/>
  <c r="F51"/>
  <c r="E51"/>
  <c r="D51"/>
  <c r="C51"/>
  <c r="I23"/>
  <c r="I40" s="1"/>
  <c r="H23"/>
  <c r="H40" s="1"/>
  <c r="H42" s="1"/>
  <c r="D37" i="71" s="1"/>
  <c r="G23" i="7"/>
  <c r="G40" s="1"/>
  <c r="F23"/>
  <c r="F40" s="1"/>
  <c r="F42" s="1"/>
  <c r="E23"/>
  <c r="E40" s="1"/>
  <c r="D23"/>
  <c r="D40" s="1"/>
  <c r="D42" s="1"/>
  <c r="C23"/>
  <c r="C40" s="1"/>
  <c r="I15"/>
  <c r="H15"/>
  <c r="G15"/>
  <c r="F15"/>
  <c r="E15"/>
  <c r="D15"/>
  <c r="C15"/>
  <c r="A1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I51" i="6"/>
  <c r="H51"/>
  <c r="G51"/>
  <c r="F51"/>
  <c r="E51"/>
  <c r="D51"/>
  <c r="C51"/>
  <c r="I23"/>
  <c r="I40" s="1"/>
  <c r="H23"/>
  <c r="H40" s="1"/>
  <c r="G23"/>
  <c r="G40" s="1"/>
  <c r="F23"/>
  <c r="F40" s="1"/>
  <c r="E23"/>
  <c r="E40" s="1"/>
  <c r="D23"/>
  <c r="D40" s="1"/>
  <c r="C23"/>
  <c r="C40" s="1"/>
  <c r="I15"/>
  <c r="H15"/>
  <c r="G15"/>
  <c r="F15"/>
  <c r="E15"/>
  <c r="D15"/>
  <c r="C15"/>
  <c r="A1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C51" i="5"/>
  <c r="C23"/>
  <c r="C40" s="1"/>
  <c r="I51"/>
  <c r="H51"/>
  <c r="G51"/>
  <c r="F51"/>
  <c r="E51"/>
  <c r="D51"/>
  <c r="I23"/>
  <c r="I40" s="1"/>
  <c r="H23"/>
  <c r="G23"/>
  <c r="G40" s="1"/>
  <c r="F23"/>
  <c r="F40" s="1"/>
  <c r="E23"/>
  <c r="E40" s="1"/>
  <c r="D23"/>
  <c r="D40" s="1"/>
  <c r="I15"/>
  <c r="H15"/>
  <c r="G15"/>
  <c r="F15"/>
  <c r="E15"/>
  <c r="D15"/>
  <c r="C15"/>
  <c r="A1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G23" i="4"/>
  <c r="H23"/>
  <c r="I23"/>
  <c r="I40" s="1"/>
  <c r="I42" s="1"/>
  <c r="G15"/>
  <c r="H15"/>
  <c r="I15"/>
  <c r="D51"/>
  <c r="E51"/>
  <c r="F51"/>
  <c r="G51"/>
  <c r="H51"/>
  <c r="I51"/>
  <c r="F23"/>
  <c r="D23"/>
  <c r="E23"/>
  <c r="D15"/>
  <c r="C51"/>
  <c r="C23"/>
  <c r="C40" s="1"/>
  <c r="C15"/>
  <c r="A1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C52" i="1"/>
  <c r="E11" i="71" s="1"/>
  <c r="E11" i="74" s="1"/>
  <c r="K11" s="1"/>
  <c r="C24" i="1"/>
  <c r="C41" s="1"/>
  <c r="C16"/>
  <c r="C43" s="1"/>
  <c r="E28" i="20" l="1"/>
  <c r="G14" i="9"/>
  <c r="H14" s="1"/>
  <c r="D11" i="71"/>
  <c r="C54" i="1"/>
  <c r="F11" i="71"/>
  <c r="D11" i="74"/>
  <c r="J11" s="1"/>
  <c r="G11" i="71"/>
  <c r="D18" i="32"/>
  <c r="C42" i="8"/>
  <c r="E42"/>
  <c r="D41" i="71" s="1"/>
  <c r="G42" i="8"/>
  <c r="D43" i="71" s="1"/>
  <c r="D48" i="74"/>
  <c r="J48" s="1"/>
  <c r="G48" i="71"/>
  <c r="F48"/>
  <c r="D37" i="74"/>
  <c r="J37" s="1"/>
  <c r="F37" i="71"/>
  <c r="G37"/>
  <c r="E22"/>
  <c r="E22" i="74" s="1"/>
  <c r="K22" s="1"/>
  <c r="E21" i="71"/>
  <c r="E21" i="74" s="1"/>
  <c r="K21" s="1"/>
  <c r="D49"/>
  <c r="J49" s="1"/>
  <c r="F49" i="71"/>
  <c r="G49"/>
  <c r="E47"/>
  <c r="E46"/>
  <c r="D46"/>
  <c r="D46" i="74" s="1"/>
  <c r="J46" s="1"/>
  <c r="D39" i="71"/>
  <c r="D42" i="9"/>
  <c r="D47" i="71" s="1"/>
  <c r="D47" i="74" s="1"/>
  <c r="J47" s="1"/>
  <c r="E17" i="30"/>
  <c r="D22" i="46"/>
  <c r="E22" s="1"/>
  <c r="C43" i="20"/>
  <c r="E41" i="36"/>
  <c r="F41" s="1"/>
  <c r="D28" i="4" s="1"/>
  <c r="D31" i="39"/>
  <c r="G38" i="4"/>
  <c r="G40" s="1"/>
  <c r="G42" s="1"/>
  <c r="G23" i="9"/>
  <c r="E18" i="37"/>
  <c r="E34" s="1"/>
  <c r="E37" s="1"/>
  <c r="E38" s="1"/>
  <c r="E16"/>
  <c r="F14" i="4" s="1"/>
  <c r="F15" s="1"/>
  <c r="B34" i="37"/>
  <c r="A19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C34"/>
  <c r="C42" i="4"/>
  <c r="E42" i="5"/>
  <c r="D20" i="71" s="1"/>
  <c r="G42" i="5"/>
  <c r="I42"/>
  <c r="D42"/>
  <c r="D19" i="71" s="1"/>
  <c r="F42" i="5"/>
  <c r="C42"/>
  <c r="C42" i="7"/>
  <c r="E42"/>
  <c r="G42"/>
  <c r="D36" i="71" s="1"/>
  <c r="I42" i="7"/>
  <c r="D42" i="6"/>
  <c r="F42"/>
  <c r="H42"/>
  <c r="C42"/>
  <c r="D25" i="71" s="1"/>
  <c r="E42" i="6"/>
  <c r="G42"/>
  <c r="I42"/>
  <c r="D42" i="8"/>
  <c r="F42"/>
  <c r="D42" i="71" s="1"/>
  <c r="H42" i="8"/>
  <c r="D44" i="71" s="1"/>
  <c r="G35" i="9"/>
  <c r="D36" i="1" s="1"/>
  <c r="E36" s="1"/>
  <c r="G36" s="1"/>
  <c r="G46" i="9"/>
  <c r="D47" i="1" s="1"/>
  <c r="E47" s="1"/>
  <c r="G47" s="1"/>
  <c r="H13" i="9"/>
  <c r="H19"/>
  <c r="H21"/>
  <c r="H25"/>
  <c r="H27"/>
  <c r="H29"/>
  <c r="H33"/>
  <c r="H39"/>
  <c r="H48"/>
  <c r="H50"/>
  <c r="D13" i="1"/>
  <c r="E13" s="1"/>
  <c r="G13" s="1"/>
  <c r="D21"/>
  <c r="E21" s="1"/>
  <c r="G21" s="1"/>
  <c r="D23"/>
  <c r="E23" s="1"/>
  <c r="G23" s="1"/>
  <c r="D27"/>
  <c r="E27" s="1"/>
  <c r="G27" s="1"/>
  <c r="D31"/>
  <c r="E31" s="1"/>
  <c r="G31" s="1"/>
  <c r="D33"/>
  <c r="E33" s="1"/>
  <c r="G33" s="1"/>
  <c r="D35"/>
  <c r="E35" s="1"/>
  <c r="G35" s="1"/>
  <c r="D37"/>
  <c r="E37" s="1"/>
  <c r="G37" s="1"/>
  <c r="D48"/>
  <c r="E48" s="1"/>
  <c r="G48" s="1"/>
  <c r="D20"/>
  <c r="C16" i="34"/>
  <c r="E18" i="35"/>
  <c r="E48" i="33"/>
  <c r="E46"/>
  <c r="G18" i="32"/>
  <c r="H16"/>
  <c r="G20" s="1"/>
  <c r="E19" i="30"/>
  <c r="E21" s="1"/>
  <c r="E20" i="21"/>
  <c r="A12" i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D25" i="74" l="1"/>
  <c r="J25" s="1"/>
  <c r="F25" i="71"/>
  <c r="G25"/>
  <c r="F25" i="74" s="1"/>
  <c r="L25" s="1"/>
  <c r="E41" i="20"/>
  <c r="E11" i="4"/>
  <c r="D15" i="1"/>
  <c r="E15" s="1"/>
  <c r="G15" s="1"/>
  <c r="F20" i="71"/>
  <c r="D20" i="74"/>
  <c r="J20" s="1"/>
  <c r="G20" i="71"/>
  <c r="F11" i="74"/>
  <c r="L11" s="1"/>
  <c r="H11" i="71"/>
  <c r="D42" i="74"/>
  <c r="J42" s="1"/>
  <c r="G42" i="71"/>
  <c r="F42"/>
  <c r="D39" i="74"/>
  <c r="J39" s="1"/>
  <c r="G39" i="71"/>
  <c r="F39" i="74" s="1"/>
  <c r="F39" i="71"/>
  <c r="D43" i="74"/>
  <c r="J43" s="1"/>
  <c r="G43" i="71"/>
  <c r="F43"/>
  <c r="D44" i="74"/>
  <c r="J44" s="1"/>
  <c r="G44" i="71"/>
  <c r="F44"/>
  <c r="D41" i="74"/>
  <c r="J41" s="1"/>
  <c r="G41" i="71"/>
  <c r="F41"/>
  <c r="F48" i="74"/>
  <c r="L48" s="1"/>
  <c r="H48" i="71"/>
  <c r="F37" i="74"/>
  <c r="L37" s="1"/>
  <c r="H37" i="71"/>
  <c r="G19"/>
  <c r="D19" i="74"/>
  <c r="J19" s="1"/>
  <c r="F19" i="71"/>
  <c r="D36" i="74"/>
  <c r="J36" s="1"/>
  <c r="F36" i="71"/>
  <c r="G36"/>
  <c r="D22"/>
  <c r="D21"/>
  <c r="F49" i="74"/>
  <c r="L49" s="1"/>
  <c r="H49" i="71"/>
  <c r="G47"/>
  <c r="E47" i="74"/>
  <c r="K47" s="1"/>
  <c r="F47" i="71"/>
  <c r="E46" i="74"/>
  <c r="G46" i="71"/>
  <c r="F46" i="74" s="1"/>
  <c r="F46" i="71"/>
  <c r="D27"/>
  <c r="J27" i="74"/>
  <c r="D15" i="71"/>
  <c r="J15" i="74"/>
  <c r="H46" i="71"/>
  <c r="D40"/>
  <c r="L39" i="74"/>
  <c r="L46"/>
  <c r="G45" i="9"/>
  <c r="G51" s="1"/>
  <c r="I51" i="8"/>
  <c r="E45" i="71" s="1"/>
  <c r="E45" i="74" s="1"/>
  <c r="K45" s="1"/>
  <c r="H35" i="9"/>
  <c r="C47" i="20"/>
  <c r="D47" s="1"/>
  <c r="E49" s="1"/>
  <c r="E37" i="4" s="1"/>
  <c r="D24" i="46"/>
  <c r="E24" s="1"/>
  <c r="E45" i="36"/>
  <c r="F45" s="1"/>
  <c r="G43"/>
  <c r="H28" i="5"/>
  <c r="E25" i="46"/>
  <c r="E37" s="1"/>
  <c r="E38" s="1"/>
  <c r="E39" i="37"/>
  <c r="F38" i="4"/>
  <c r="F40" s="1"/>
  <c r="F42" s="1"/>
  <c r="H46" i="9"/>
  <c r="H23"/>
  <c r="D24" i="1"/>
  <c r="E20"/>
  <c r="E20" i="35"/>
  <c r="I38" i="8"/>
  <c r="I40" s="1"/>
  <c r="I42" s="1"/>
  <c r="E50" i="33"/>
  <c r="G21" i="32"/>
  <c r="H24" s="1"/>
  <c r="H26" s="1"/>
  <c r="H27" s="1"/>
  <c r="E22" i="30"/>
  <c r="E23" s="1"/>
  <c r="D20" i="31" s="1"/>
  <c r="H25" i="71" l="1"/>
  <c r="D43" i="20"/>
  <c r="D44"/>
  <c r="E31" i="4" s="1"/>
  <c r="G31" i="9" s="1"/>
  <c r="G11"/>
  <c r="E15" i="4"/>
  <c r="E50" i="71"/>
  <c r="E51" s="1"/>
  <c r="F20" i="74"/>
  <c r="L20" s="1"/>
  <c r="H20" i="71"/>
  <c r="F44" i="74"/>
  <c r="L44" s="1"/>
  <c r="H44" i="71"/>
  <c r="D40" i="74"/>
  <c r="J40" s="1"/>
  <c r="G40" i="71"/>
  <c r="F40" i="74" s="1"/>
  <c r="F40" i="71"/>
  <c r="F41" i="74"/>
  <c r="L41" s="1"/>
  <c r="H41" i="71"/>
  <c r="F43" i="74"/>
  <c r="L43" s="1"/>
  <c r="H43" i="71"/>
  <c r="F42" i="74"/>
  <c r="L42" s="1"/>
  <c r="H42" i="71"/>
  <c r="F19" i="74"/>
  <c r="L19" s="1"/>
  <c r="H19" i="71"/>
  <c r="F36" i="74"/>
  <c r="L36" s="1"/>
  <c r="H36" i="71"/>
  <c r="G22"/>
  <c r="D22" i="74"/>
  <c r="J22" s="1"/>
  <c r="F22" i="71"/>
  <c r="D21" i="74"/>
  <c r="J21" s="1"/>
  <c r="F21" i="71"/>
  <c r="G21"/>
  <c r="F47" i="74"/>
  <c r="L47" s="1"/>
  <c r="H47" i="71"/>
  <c r="K46" i="74"/>
  <c r="K50" s="1"/>
  <c r="K51" s="1"/>
  <c r="E50"/>
  <c r="E51" s="1"/>
  <c r="D14" i="71"/>
  <c r="H15"/>
  <c r="H27"/>
  <c r="H39"/>
  <c r="D45"/>
  <c r="L40" i="74"/>
  <c r="L15"/>
  <c r="L27"/>
  <c r="D46" i="1"/>
  <c r="H45" i="9"/>
  <c r="H51" s="1"/>
  <c r="C12" i="34" s="1"/>
  <c r="C14" s="1"/>
  <c r="D17" s="1"/>
  <c r="D30" s="1"/>
  <c r="D32" s="1"/>
  <c r="G46" i="36"/>
  <c r="D37" i="4"/>
  <c r="G37" i="9" s="1"/>
  <c r="E39" i="46"/>
  <c r="H38" i="5"/>
  <c r="H40" s="1"/>
  <c r="H42" s="1"/>
  <c r="G48" i="36"/>
  <c r="E24" i="1"/>
  <c r="G20"/>
  <c r="G24" s="1"/>
  <c r="H11" i="9" l="1"/>
  <c r="H15" s="1"/>
  <c r="D12" i="1"/>
  <c r="G15" i="9"/>
  <c r="E28" i="4"/>
  <c r="G28" i="9" s="1"/>
  <c r="E45" i="20"/>
  <c r="E51" s="1"/>
  <c r="E53" s="1"/>
  <c r="D32" i="1"/>
  <c r="E32" s="1"/>
  <c r="H31" i="9"/>
  <c r="F14" i="71"/>
  <c r="G14"/>
  <c r="F14" i="74" s="1"/>
  <c r="L14" s="1"/>
  <c r="D14"/>
  <c r="J14" s="1"/>
  <c r="D45"/>
  <c r="J45" s="1"/>
  <c r="G45" i="71"/>
  <c r="F45" i="74" s="1"/>
  <c r="L45" s="1"/>
  <c r="F45" i="71"/>
  <c r="F22" i="74"/>
  <c r="L22" s="1"/>
  <c r="H22" i="71"/>
  <c r="F21" i="74"/>
  <c r="L21" s="1"/>
  <c r="H21" i="71"/>
  <c r="H40"/>
  <c r="D33" i="34"/>
  <c r="H38" i="4"/>
  <c r="H40" s="1"/>
  <c r="H42" s="1"/>
  <c r="E46" i="1"/>
  <c r="D52"/>
  <c r="G50" i="36"/>
  <c r="D38" i="4" s="1"/>
  <c r="D40" s="1"/>
  <c r="D42" s="1"/>
  <c r="H37" i="9"/>
  <c r="D38" i="1"/>
  <c r="E38" s="1"/>
  <c r="E54" i="20"/>
  <c r="E38" i="4"/>
  <c r="H28" i="9" l="1"/>
  <c r="D29" i="1"/>
  <c r="E29" s="1"/>
  <c r="D16"/>
  <c r="E12"/>
  <c r="E16" s="1"/>
  <c r="D12" i="71"/>
  <c r="D16"/>
  <c r="H45"/>
  <c r="H14"/>
  <c r="G46" i="1"/>
  <c r="G52" s="1"/>
  <c r="E52"/>
  <c r="D15" i="31" s="1"/>
  <c r="G51" i="36"/>
  <c r="E40" i="4"/>
  <c r="E42" s="1"/>
  <c r="D13" i="71" s="1"/>
  <c r="G38" i="9"/>
  <c r="D13" i="74" l="1"/>
  <c r="J13" s="1"/>
  <c r="G13" i="71"/>
  <c r="F13" i="74" s="1"/>
  <c r="L13" s="1"/>
  <c r="F13" i="71"/>
  <c r="G16"/>
  <c r="F16" i="74" s="1"/>
  <c r="L16" s="1"/>
  <c r="D16"/>
  <c r="J16" s="1"/>
  <c r="F16" i="71"/>
  <c r="F50" s="1"/>
  <c r="J12" i="74"/>
  <c r="D50" i="71"/>
  <c r="D51" s="1"/>
  <c r="D39" i="1"/>
  <c r="G40" i="9"/>
  <c r="G42" s="1"/>
  <c r="H38"/>
  <c r="H40" s="1"/>
  <c r="H42" s="1"/>
  <c r="H16" i="71" l="1"/>
  <c r="F51"/>
  <c r="G51"/>
  <c r="F51" i="74" s="1"/>
  <c r="H13" i="71"/>
  <c r="D50" i="74"/>
  <c r="D51" s="1"/>
  <c r="J50"/>
  <c r="J51" s="1"/>
  <c r="L12"/>
  <c r="L50" s="1"/>
  <c r="L51" s="1"/>
  <c r="F50"/>
  <c r="G50" i="71"/>
  <c r="H12"/>
  <c r="H50" s="1"/>
  <c r="H51" s="1"/>
  <c r="E39" i="1"/>
  <c r="E41" s="1"/>
  <c r="E43" s="1"/>
  <c r="E54" s="1"/>
  <c r="D41"/>
  <c r="D43" s="1"/>
  <c r="D17" i="31" l="1"/>
  <c r="D18" s="1"/>
  <c r="D21" s="1"/>
  <c r="D24" l="1"/>
  <c r="F12" i="1" s="1"/>
  <c r="F32"/>
  <c r="G32" s="1"/>
  <c r="F29"/>
  <c r="F39"/>
  <c r="G39" s="1"/>
  <c r="F38"/>
  <c r="G38" s="1"/>
  <c r="F41" l="1"/>
  <c r="G29"/>
  <c r="G41" s="1"/>
  <c r="G12"/>
  <c r="G16" s="1"/>
  <c r="I12"/>
  <c r="F16"/>
  <c r="F43" l="1"/>
  <c r="G43"/>
  <c r="G54" s="1"/>
</calcChain>
</file>

<file path=xl/sharedStrings.xml><?xml version="1.0" encoding="utf-8"?>
<sst xmlns="http://schemas.openxmlformats.org/spreadsheetml/2006/main" count="1858" uniqueCount="823">
  <si>
    <t>Operating Revenues:</t>
  </si>
  <si>
    <t>Sales to Customers</t>
  </si>
  <si>
    <t>Sales from Resale-Firm</t>
  </si>
  <si>
    <t>Sales to Other Utilities</t>
  </si>
  <si>
    <t>Other Operating Revenues</t>
  </si>
  <si>
    <t>Total Operating Revenues</t>
  </si>
  <si>
    <t>Operating Expenses:</t>
  </si>
  <si>
    <t>Power Costs:</t>
  </si>
  <si>
    <t>Fuel Stock</t>
  </si>
  <si>
    <t>Purchased and Interchanged</t>
  </si>
  <si>
    <t>Wheeling</t>
  </si>
  <si>
    <t>Residential Exchange</t>
  </si>
  <si>
    <t>Total Production Expenses</t>
  </si>
  <si>
    <t>Other Power Supply Expenses</t>
  </si>
  <si>
    <t>Transmission Expense</t>
  </si>
  <si>
    <t>Distribution Expense</t>
  </si>
  <si>
    <t>Customer Service Expense</t>
  </si>
  <si>
    <t>Conservation Amortization</t>
  </si>
  <si>
    <t>Administrative &amp; General Expense</t>
  </si>
  <si>
    <t>Depreciation</t>
  </si>
  <si>
    <t>Amortization</t>
  </si>
  <si>
    <t>Amortization Property Gain/Loss</t>
  </si>
  <si>
    <t>Other Operating Expense</t>
  </si>
  <si>
    <t>FAS 133</t>
  </si>
  <si>
    <t>Taxes Other than Income Taxes</t>
  </si>
  <si>
    <t>Income Taxes</t>
  </si>
  <si>
    <t>Deferred Income Taxes</t>
  </si>
  <si>
    <t>Total Operating Expense</t>
  </si>
  <si>
    <t>Net Operating Income:</t>
  </si>
  <si>
    <t>Rate Base:</t>
  </si>
  <si>
    <t>Accum. Depreciation and Amortization</t>
  </si>
  <si>
    <t>Deferred Debits</t>
  </si>
  <si>
    <t>Deferred Taxes</t>
  </si>
  <si>
    <t>Allowance for Working Capital</t>
  </si>
  <si>
    <t>Other</t>
  </si>
  <si>
    <t>Total Rate Base</t>
  </si>
  <si>
    <t>Rate of Return</t>
  </si>
  <si>
    <t>Line</t>
  </si>
  <si>
    <t>No.</t>
  </si>
  <si>
    <t>Description</t>
  </si>
  <si>
    <t>of Operations</t>
  </si>
  <si>
    <t>Total</t>
  </si>
  <si>
    <t xml:space="preserve">(d) </t>
  </si>
  <si>
    <t xml:space="preserve">Revenue </t>
  </si>
  <si>
    <t xml:space="preserve">Actual </t>
  </si>
  <si>
    <t>Results</t>
  </si>
  <si>
    <t>Adjustments</t>
  </si>
  <si>
    <t>Adjusted</t>
  </si>
  <si>
    <t xml:space="preserve">Results </t>
  </si>
  <si>
    <t>Requirement</t>
  </si>
  <si>
    <t>Deficiency</t>
  </si>
  <si>
    <t>Achieved</t>
  </si>
  <si>
    <t>(g)</t>
  </si>
  <si>
    <t xml:space="preserve">Puget Sound Energy - Electric </t>
  </si>
  <si>
    <t>For the Twelve Months Ended December 31, 2008</t>
  </si>
  <si>
    <t>Pro Forma Results of Operations</t>
  </si>
  <si>
    <t>Adjustment Detail (Page 1)</t>
  </si>
  <si>
    <t>(e)</t>
  </si>
  <si>
    <t>Temperature</t>
  </si>
  <si>
    <t>Normalization</t>
  </si>
  <si>
    <t xml:space="preserve"> </t>
  </si>
  <si>
    <t>Adj. 10.01</t>
  </si>
  <si>
    <t>Revenues and</t>
  </si>
  <si>
    <t>Adj. 10.02</t>
  </si>
  <si>
    <t>Power</t>
  </si>
  <si>
    <t>Costs</t>
  </si>
  <si>
    <t>Adj. 10.03</t>
  </si>
  <si>
    <t>Federal</t>
  </si>
  <si>
    <t xml:space="preserve"> Income Tax</t>
  </si>
  <si>
    <t>Adj. 10.04</t>
  </si>
  <si>
    <t>Adj. 10.05</t>
  </si>
  <si>
    <t>Tax Benefit of Pro</t>
  </si>
  <si>
    <t>Forma Interest</t>
  </si>
  <si>
    <t>Hopkins</t>
  </si>
  <si>
    <t>Ridge Infill</t>
  </si>
  <si>
    <t>Adj. 10.06</t>
  </si>
  <si>
    <t>Adjustment Detail (Page 2)</t>
  </si>
  <si>
    <t xml:space="preserve">(a) </t>
  </si>
  <si>
    <t xml:space="preserve">(b) </t>
  </si>
  <si>
    <t>(c)=(a)+(b)</t>
  </si>
  <si>
    <t>(c)</t>
  </si>
  <si>
    <t>(f)</t>
  </si>
  <si>
    <t xml:space="preserve">(h) </t>
  </si>
  <si>
    <t xml:space="preserve">(i) </t>
  </si>
  <si>
    <t>(j)</t>
  </si>
  <si>
    <t xml:space="preserve">(k) </t>
  </si>
  <si>
    <t>(l)</t>
  </si>
  <si>
    <t>(m)</t>
  </si>
  <si>
    <t>(n)</t>
  </si>
  <si>
    <t>Wild Horse</t>
  </si>
  <si>
    <t>Expansion</t>
  </si>
  <si>
    <t>Adj. 10.07</t>
  </si>
  <si>
    <t>Mint</t>
  </si>
  <si>
    <t>Farm</t>
  </si>
  <si>
    <t>Adj. 10.08</t>
  </si>
  <si>
    <t>Sumas</t>
  </si>
  <si>
    <t>Adj. 10.09</t>
  </si>
  <si>
    <t>Adj. 10.10</t>
  </si>
  <si>
    <t>Whitehorn</t>
  </si>
  <si>
    <t>Baker Hydro</t>
  </si>
  <si>
    <t>License</t>
  </si>
  <si>
    <t>Adj. 10.11</t>
  </si>
  <si>
    <t>Pass-Through</t>
  </si>
  <si>
    <t>Rev &amp; Exp</t>
  </si>
  <si>
    <t>Adj. 10.12</t>
  </si>
  <si>
    <t>Adj. 10.13</t>
  </si>
  <si>
    <t>Bad</t>
  </si>
  <si>
    <t>Debts</t>
  </si>
  <si>
    <t>Adjustment Detail (Page 3)</t>
  </si>
  <si>
    <t xml:space="preserve">(o) </t>
  </si>
  <si>
    <t xml:space="preserve">(p) </t>
  </si>
  <si>
    <t>(q)</t>
  </si>
  <si>
    <t xml:space="preserve">(r) </t>
  </si>
  <si>
    <t>(s)</t>
  </si>
  <si>
    <t>(t)</t>
  </si>
  <si>
    <t>(u)</t>
  </si>
  <si>
    <t>Adj. 10.14</t>
  </si>
  <si>
    <t>Adj. 10.15</t>
  </si>
  <si>
    <t>Adj. 10.16</t>
  </si>
  <si>
    <t>Adj. 10.17</t>
  </si>
  <si>
    <t>Adj. 10.18</t>
  </si>
  <si>
    <t>Adj. 10.19</t>
  </si>
  <si>
    <t>Adj. 10.20</t>
  </si>
  <si>
    <t>Miscellaneous</t>
  </si>
  <si>
    <t>Operating Expense</t>
  </si>
  <si>
    <t>Property</t>
  </si>
  <si>
    <t>Tax</t>
  </si>
  <si>
    <t>D&amp;O</t>
  </si>
  <si>
    <t>Insurance</t>
  </si>
  <si>
    <t>Montana Electric</t>
  </si>
  <si>
    <t>Energy Tax</t>
  </si>
  <si>
    <t>Interest on Customer</t>
  </si>
  <si>
    <t>Deposits</t>
  </si>
  <si>
    <t>SFAS 133</t>
  </si>
  <si>
    <t>Excise Tax</t>
  </si>
  <si>
    <t>&amp; Filing Fee</t>
  </si>
  <si>
    <t xml:space="preserve">(v) </t>
  </si>
  <si>
    <t xml:space="preserve">(w) </t>
  </si>
  <si>
    <t>(x)</t>
  </si>
  <si>
    <t xml:space="preserve">(y) </t>
  </si>
  <si>
    <t>(z)</t>
  </si>
  <si>
    <t>(aa)</t>
  </si>
  <si>
    <t>(ab)</t>
  </si>
  <si>
    <t>Adj. 10.21</t>
  </si>
  <si>
    <t>Adj. 10.22</t>
  </si>
  <si>
    <t>Adj. 10.23</t>
  </si>
  <si>
    <t>Adj. 10.24</t>
  </si>
  <si>
    <t>Adj. 10.25</t>
  </si>
  <si>
    <t>Adj. 10.26</t>
  </si>
  <si>
    <t>Adj. 10.27</t>
  </si>
  <si>
    <t>Rate Case</t>
  </si>
  <si>
    <t>Expense</t>
  </si>
  <si>
    <t>Deferred G/L on</t>
  </si>
  <si>
    <t>Property Sales</t>
  </si>
  <si>
    <t>Property &amp;</t>
  </si>
  <si>
    <t>Liability Insurance</t>
  </si>
  <si>
    <t>Pension</t>
  </si>
  <si>
    <t>Plan</t>
  </si>
  <si>
    <t>Wage</t>
  </si>
  <si>
    <t>Increase</t>
  </si>
  <si>
    <t>Investment</t>
  </si>
  <si>
    <t>Merger</t>
  </si>
  <si>
    <t>Employee</t>
  </si>
  <si>
    <t>Adj. 10.28</t>
  </si>
  <si>
    <t>Adj. 10.29</t>
  </si>
  <si>
    <t>Adj. 10.30</t>
  </si>
  <si>
    <t>Adj. 10.31</t>
  </si>
  <si>
    <t>Adj. 10.32</t>
  </si>
  <si>
    <t>Adj. 10.33</t>
  </si>
  <si>
    <t>Adj. 10.34</t>
  </si>
  <si>
    <t>Adjustment Detail (Page 4)</t>
  </si>
  <si>
    <t>Adjustment Detail (Page 5)</t>
  </si>
  <si>
    <t>Adjustment Detail (Page 6)</t>
  </si>
  <si>
    <t>Incentive</t>
  </si>
  <si>
    <t>Pay</t>
  </si>
  <si>
    <t>Savings</t>
  </si>
  <si>
    <t>Storm</t>
  </si>
  <si>
    <t>Damage</t>
  </si>
  <si>
    <t>Regulatory Assets</t>
  </si>
  <si>
    <t>and Liabilities</t>
  </si>
  <si>
    <t>Study</t>
  </si>
  <si>
    <t>Fredonia</t>
  </si>
  <si>
    <t>Power Plant</t>
  </si>
  <si>
    <t>Mint Farm</t>
  </si>
  <si>
    <t>Deferred Cost</t>
  </si>
  <si>
    <t>Adj. 10.35</t>
  </si>
  <si>
    <t>Adj. 10.36</t>
  </si>
  <si>
    <t>Adj. 10.37</t>
  </si>
  <si>
    <t xml:space="preserve">Adjusted </t>
  </si>
  <si>
    <t>Results of</t>
  </si>
  <si>
    <t>Operations</t>
  </si>
  <si>
    <t xml:space="preserve">(ac) </t>
  </si>
  <si>
    <t xml:space="preserve">(ad) </t>
  </si>
  <si>
    <t>(ae)</t>
  </si>
  <si>
    <t xml:space="preserve">(af) </t>
  </si>
  <si>
    <t>(ag)</t>
  </si>
  <si>
    <t>(ah)</t>
  </si>
  <si>
    <t>(ai)</t>
  </si>
  <si>
    <t xml:space="preserve">(al) </t>
  </si>
  <si>
    <t xml:space="preserve">(am) </t>
  </si>
  <si>
    <t>(an)</t>
  </si>
  <si>
    <t>PUGET SOUND ENERGY-ELECTRIC</t>
  </si>
  <si>
    <t>BAD DEBTS</t>
  </si>
  <si>
    <t>CONVERSION FACTOR</t>
  </si>
  <si>
    <t>FOR THE TWELVE MONTHS ENDED DECEMBER 31, 2008</t>
  </si>
  <si>
    <t>GENERAL RATE INCREASE</t>
  </si>
  <si>
    <t>PERCENT</t>
  </si>
  <si>
    <t>2009 GENERAL RATE INCREASE</t>
  </si>
  <si>
    <t>LINE</t>
  </si>
  <si>
    <t>TEST</t>
  </si>
  <si>
    <t>NET</t>
  </si>
  <si>
    <t>GROSS</t>
  </si>
  <si>
    <t>SALES FOR</t>
  </si>
  <si>
    <t>WRITEOFF'S</t>
  </si>
  <si>
    <t>PROFORMA</t>
  </si>
  <si>
    <t>NO.</t>
  </si>
  <si>
    <t>DESCRIPTION</t>
  </si>
  <si>
    <t>ADJUSTMENT</t>
  </si>
  <si>
    <t>ACTUAL</t>
  </si>
  <si>
    <t>AMOUNT</t>
  </si>
  <si>
    <t>YEAR</t>
  </si>
  <si>
    <t>RATE YEAR</t>
  </si>
  <si>
    <t>REVENUES</t>
  </si>
  <si>
    <t>RESALE OTHER</t>
  </si>
  <si>
    <t>RESALE FIRM</t>
  </si>
  <si>
    <t>TO REVENUE</t>
  </si>
  <si>
    <t>TOTAL</t>
  </si>
  <si>
    <t>RATE</t>
  </si>
  <si>
    <t>SALES TO CUSTOMERS:</t>
  </si>
  <si>
    <t>RATE BASE</t>
  </si>
  <si>
    <t>12 MOS ENDED</t>
  </si>
  <si>
    <t>DECEMBER</t>
  </si>
  <si>
    <t>AUGUST</t>
  </si>
  <si>
    <t>RESTATING ADJUSTMENTS:</t>
  </si>
  <si>
    <t>OTHER OPERATING REVENUES</t>
  </si>
  <si>
    <t>AMA OF REGULATORY ASSET/LIABILITY NET OF ACCUM AMORT AND DFIT</t>
  </si>
  <si>
    <t>AMORTIZATION OF FIXED COST DEFERRAL</t>
  </si>
  <si>
    <t>ANNUAL FILING FEE</t>
  </si>
  <si>
    <t>ADD GRC INCREASE DOCKET 072300</t>
  </si>
  <si>
    <t>NET RATE BASE</t>
  </si>
  <si>
    <t>INCREASE (DECREASE) NOI</t>
  </si>
  <si>
    <t>CABOT BUYOUT</t>
  </si>
  <si>
    <t>DEFERRAL OF MINT FARM FIXED COSTS</t>
  </si>
  <si>
    <t xml:space="preserve">REMOVE PCA INCREASE  </t>
  </si>
  <si>
    <t>TENASKA</t>
  </si>
  <si>
    <t>REMOVE SCHEDULE 95A PRODUCTION TAX CREDITS</t>
  </si>
  <si>
    <t>WEIGHTED COST OF DEBT</t>
  </si>
  <si>
    <t>3-Yr Average of Net Write Off Rate</t>
  </si>
  <si>
    <t>INCREASE(DECREASE) FIT @</t>
  </si>
  <si>
    <t>INCREASE (DECREASE) EXPENSE</t>
  </si>
  <si>
    <t>BEP</t>
  </si>
  <si>
    <t>SUM OF TAXES OTHER</t>
  </si>
  <si>
    <t>OATT REVENUE</t>
  </si>
  <si>
    <t>PROFORMA INTEREST</t>
  </si>
  <si>
    <t>WHITE RIVER PLANT COSTS</t>
  </si>
  <si>
    <t>INCREASE (DECREASE) OPERATING EXPENSES</t>
  </si>
  <si>
    <t>MISCELLANEOUS RESTATING ADJUSTMENT</t>
  </si>
  <si>
    <t>Test Period Revenues</t>
  </si>
  <si>
    <t>INCREASE(DECREASE) NOI</t>
  </si>
  <si>
    <t>INCREASE (DECREASE) FIT @</t>
  </si>
  <si>
    <t>WHITE RIVER RELICENSING &amp; CWIP</t>
  </si>
  <si>
    <t>RESTATING ADJUSTMENTS SALES TO CUSTOMERS</t>
  </si>
  <si>
    <t xml:space="preserve">INCREASE (DECREASE) FIT @ </t>
  </si>
  <si>
    <t>PROCEED FROM THE SALE OF WHITE RIVER</t>
  </si>
  <si>
    <t>INTEREST EXPENSE ITEMS PER BOOKS:</t>
  </si>
  <si>
    <t>PROFORMA BAD DEBT RATE</t>
  </si>
  <si>
    <t>CANWEST</t>
  </si>
  <si>
    <t>PROFORMA ADJUSTMENTS:</t>
  </si>
  <si>
    <t>INTEREST ON LONG TERM DEBT</t>
  </si>
  <si>
    <t>PROFORMA BAD DEBTS</t>
  </si>
  <si>
    <t>HOPKINS RIDGE PREPAID TRANSMISSION</t>
  </si>
  <si>
    <t>AMORTIZATION OF DEBT DISCOUNT</t>
  </si>
  <si>
    <t>GOLDENDALE FIXED COSTS DEFERRAL</t>
  </si>
  <si>
    <t>MISCELLANEOUS ADJUSTMENTS</t>
  </si>
  <si>
    <t xml:space="preserve">    AND EXPENSE, NET OF PREMIUMS</t>
  </si>
  <si>
    <t>UNCOLLECTIBLES CHARGED TO EXPENSE IN TEST YEAR</t>
  </si>
  <si>
    <t>HOPKINS RIDGE MITIGATION CREDIT</t>
  </si>
  <si>
    <t>CONSERVATION</t>
  </si>
  <si>
    <t>INTEREST ON DEBT TO ASSOCIATED</t>
  </si>
  <si>
    <t>COLSTRIP SETTLEMENT - UE-080900</t>
  </si>
  <si>
    <t>MINT FARM AMA GROSS - DEF &amp; INT.</t>
  </si>
  <si>
    <t>PROFORMA ADJUSTMENTS SALES TO CUSTOMERS</t>
  </si>
  <si>
    <t>ASSOCIATED COMPANIES</t>
  </si>
  <si>
    <t>WESTCOAST PIPELINE CAPACITY - UE-082013</t>
  </si>
  <si>
    <t>INCREASE (DECREASE) EXPENSES</t>
  </si>
  <si>
    <t>MINT FARM AMA ACCUMULATED AMORTIZATION</t>
  </si>
  <si>
    <t>OTHER INTEREST EXPENSE</t>
  </si>
  <si>
    <t>INCREASE (DECREASE) FIT</t>
  </si>
  <si>
    <t>OVER RECOVERY OF MAJOR MAINTENANCE</t>
  </si>
  <si>
    <t>MINT FARM AMA ACCUMULATED DEFERRED FIT</t>
  </si>
  <si>
    <t>PRO FORMA COST OF CAPITAL</t>
  </si>
  <si>
    <t>TOTAL INCREASE (DECREASE) SALES TO CUSTOMERS</t>
  </si>
  <si>
    <t>LESS:  INTEREST ON CUSTOMER DEPOSITS</t>
  </si>
  <si>
    <t>TOTAL REGULATORY ASSETS</t>
  </si>
  <si>
    <t>TOTAL MINT FARM RATE BASE</t>
  </si>
  <si>
    <t>CHARGED TO EXPENSE IN TEST YEAR</t>
  </si>
  <si>
    <t>SALES FOR RESALE - SMALL FIRM AND SPECIAL CONTRACT</t>
  </si>
  <si>
    <t>INCREASE (DECREASE) INCOME</t>
  </si>
  <si>
    <t>AMORTIZATION OF REGULATORY ASSET/LIABILITY</t>
  </si>
  <si>
    <t>PRO FORMA</t>
  </si>
  <si>
    <t>COST OF</t>
  </si>
  <si>
    <t>TOTAL INCREASE (DECREASE) SALES FOR RESALE - SMALL FIRM</t>
  </si>
  <si>
    <t>TENASKA (AMORT OF AFPC PORTION)</t>
  </si>
  <si>
    <t>CAPITAL %</t>
  </si>
  <si>
    <t>COST %</t>
  </si>
  <si>
    <t>CAPITAL</t>
  </si>
  <si>
    <t>SHORT TERM DEBT</t>
  </si>
  <si>
    <t>POLE ATTACHMENT REVENUES</t>
  </si>
  <si>
    <t>LONG TERM DEBT</t>
  </si>
  <si>
    <t>PREFERRED</t>
  </si>
  <si>
    <t>EQUITY</t>
  </si>
  <si>
    <t>TOTAL INCREASE (DECREASE) OTHER OPERATING REVENUE</t>
  </si>
  <si>
    <t>TOTAL INCREASE (DECREASE) REVENUES</t>
  </si>
  <si>
    <t>AFTER TAX SHORT TERM DEBT ( (LINE 1)* 65%)</t>
  </si>
  <si>
    <t>UNCOLLECTIBLES @</t>
  </si>
  <si>
    <t>AFTER TAX LONG TERM DEBT ( (LINE 2)* 65%)</t>
  </si>
  <si>
    <t>ANNUAL FILING FEE @</t>
  </si>
  <si>
    <t>AMORTIZATION OF OVER-RECOVERY OF MAJOR MAINTENANCE</t>
  </si>
  <si>
    <t>TOTAL AMORTIZATION OF REG ASSETS/LIABS</t>
  </si>
  <si>
    <t>TOTAL AFTER TAX COST OF CAPITAL</t>
  </si>
  <si>
    <t>STATE UTILITY TAX @</t>
  </si>
  <si>
    <t>TENASKA FLOW THRU</t>
  </si>
  <si>
    <t>INCREASE (DECREASE) TAXES OTHER</t>
  </si>
  <si>
    <t>REMOVE MUNICIPAL TAX EXPENSED</t>
  </si>
  <si>
    <t>TOTAL REGULATORY AMORT (LINE 29 + LINE 31)</t>
  </si>
  <si>
    <t>INCREASE (DECREASE) FIT ON LINE 29</t>
  </si>
  <si>
    <t>INCREASE (DECREASE) NOI (LINE 33 + LINE 35)</t>
  </si>
  <si>
    <t>RATE OF RETURN</t>
  </si>
  <si>
    <t>OPERATING INCOME REQUIREMENT</t>
  </si>
  <si>
    <t>PRO FORMA OPERATING INCOME</t>
  </si>
  <si>
    <t>OPERATING INCOME DEFICIENCY</t>
  </si>
  <si>
    <t>REVENUE REQUIREMENT DEFICIENCY</t>
  </si>
  <si>
    <t>LARGE FIRM WHOLESALE</t>
  </si>
  <si>
    <t>SALES FROM RESALE-FIRM</t>
  </si>
  <si>
    <t>Production</t>
  </si>
  <si>
    <t>COLSTRIP SETTLEMENT - UE-080900 Account 186</t>
  </si>
  <si>
    <t>Puget Sound Energy</t>
  </si>
  <si>
    <t>Docket UE-090704/UG-090705</t>
  </si>
  <si>
    <t>ADUSTMENT 10.02 REVENEUS AND EXPENSES</t>
  </si>
  <si>
    <t>Fuel</t>
  </si>
  <si>
    <t>Adjustment</t>
  </si>
  <si>
    <t>Purchased</t>
  </si>
  <si>
    <t>Fleet</t>
  </si>
  <si>
    <t>Vehicles</t>
  </si>
  <si>
    <t>Net Interest Paid</t>
  </si>
  <si>
    <t>to IRS</t>
  </si>
  <si>
    <t>Rate Increase</t>
  </si>
  <si>
    <t>Deferred Costs</t>
  </si>
  <si>
    <t>Adj. 10.38</t>
  </si>
  <si>
    <t>(ao)</t>
  </si>
  <si>
    <t>(ap=b..ao)</t>
  </si>
  <si>
    <t xml:space="preserve">(aq=a+ap) </t>
  </si>
  <si>
    <t>TEMPERATURE NORMALIZATION ADJUSTMENT:</t>
  </si>
  <si>
    <t>TEMP ADJ</t>
  </si>
  <si>
    <t>MWH</t>
  </si>
  <si>
    <t>ADJ FOR LOSSES</t>
  </si>
  <si>
    <t>GPI MWH</t>
  </si>
  <si>
    <t>CHANGE</t>
  </si>
  <si>
    <t>REVENUE ADJUSTMENT:</t>
  </si>
  <si>
    <t>Schedule 7</t>
  </si>
  <si>
    <t>Schedule 24</t>
  </si>
  <si>
    <t>Schedule 25</t>
  </si>
  <si>
    <t>Schedule 26</t>
  </si>
  <si>
    <t>Schedule 29</t>
  </si>
  <si>
    <t>Schedule 31</t>
  </si>
  <si>
    <t>Schedule 43</t>
  </si>
  <si>
    <t>Schedule 40 - Med Sec Voltage</t>
  </si>
  <si>
    <t>Schedule 40 - Large Sec Voltage</t>
  </si>
  <si>
    <t>Schedule 40 - Primary Voltage</t>
  </si>
  <si>
    <t>Firm Resale</t>
  </si>
  <si>
    <t>INCREASE (DECREASE) SALES TO CUSTOMERS</t>
  </si>
  <si>
    <t>INCREASE</t>
  </si>
  <si>
    <t>(DECREASE)</t>
  </si>
  <si>
    <t>SALES FOR RESALE</t>
  </si>
  <si>
    <t>PURCHASES/SALES OF NON-CORE GAS</t>
  </si>
  <si>
    <t>WHEELING FOR OTHERS</t>
  </si>
  <si>
    <t>TOTAL OPERATING REVENUES</t>
  </si>
  <si>
    <t>FUEL</t>
  </si>
  <si>
    <t>PURCHASED AND INTERCHANGED</t>
  </si>
  <si>
    <t>HEDGING</t>
  </si>
  <si>
    <t>RATE DISALLOWANCES FOR MARCH POINT 2 AND TENASKA</t>
  </si>
  <si>
    <t>SUBTOTAL PURCHASED AND INTERCHANGED</t>
  </si>
  <si>
    <t>WHEELING</t>
  </si>
  <si>
    <t>TOTAL PRODUCTION EXPENSES</t>
  </si>
  <si>
    <t>HYDRO AND OTHER POWER</t>
  </si>
  <si>
    <t xml:space="preserve">TRANS. EXP. INCL. 500KV O&amp;M </t>
  </si>
  <si>
    <t>TOTAL OPERATING EXPENSES</t>
  </si>
  <si>
    <t>TAXABLE INCOME (LOSS)</t>
  </si>
  <si>
    <t>FEDERAL INCOME TAX EXPENSE (BENEFIT) @</t>
  </si>
  <si>
    <t>CURRENTLY PAYABLE</t>
  </si>
  <si>
    <t>DEFERRED FIT - DEBIT</t>
  </si>
  <si>
    <t>DEFERRED FIT - CREDIT</t>
  </si>
  <si>
    <t>ADDITIONAL DEFERRED CREDITS</t>
  </si>
  <si>
    <t>TOTAL RESTATED FIT</t>
  </si>
  <si>
    <t>FIT PER BOOKS:</t>
  </si>
  <si>
    <t>DEFERRED FIT - INV TAX CREDIT, NET OF AMORT.</t>
  </si>
  <si>
    <t>TOTAL CHARGED TO EXPENSE</t>
  </si>
  <si>
    <t>INCREASE(DECREASE) FIT</t>
  </si>
  <si>
    <t>INCREASE(DECREASE) DEFERRED FIT</t>
  </si>
  <si>
    <t xml:space="preserve">INCREASE(DECREASE) NOI </t>
  </si>
  <si>
    <t>Staff</t>
  </si>
  <si>
    <t>Company</t>
  </si>
  <si>
    <t>REMOVE REVENUE ASSOCIATED WITH RIDERS:</t>
  </si>
  <si>
    <t>REMOVE CONSERVATION RIDER - SCHEDULE 120</t>
  </si>
  <si>
    <t>REMOVE MUNICIPAL TAXES - SCHEDULE 81</t>
  </si>
  <si>
    <t>REMOVE LOW INCOME AMORTIZATION - SCHEDULE 129</t>
  </si>
  <si>
    <t>REMOVE RESIDENTIAL EXCHANGE - SCH 194</t>
  </si>
  <si>
    <t>GREEN POWER - SCH 135/136 (TAGS ELIM IN PAGE 4.03)</t>
  </si>
  <si>
    <t>GREEN POWER - SCH 135/136 ELIMINATE UNDER EXPENSED</t>
  </si>
  <si>
    <t>TOTAL (INCREASE) DECREASE IN REVENUES</t>
  </si>
  <si>
    <t>DECREASE REVENUE SENSITIVE ITEMS FOR DECREASE IN REVENUES:</t>
  </si>
  <si>
    <t>STATE UTILITY TAX</t>
  </si>
  <si>
    <t>REMOVE EXPENSES ASSOCIATED WITH RIDERS</t>
  </si>
  <si>
    <t>GREEN POWER - SCH 135/136 BENEFITS PORTION OF ADMIN</t>
  </si>
  <si>
    <t>GREEN POWER - SCH 135/136 TAXES PORTION OF ADMIN</t>
  </si>
  <si>
    <t>TOTAL INCREASE (DECREASE) EXPENSE</t>
  </si>
  <si>
    <t>INCREASE (DECREASE) OPERATING INCOME BEFORE FIT</t>
  </si>
  <si>
    <t>Test Year</t>
  </si>
  <si>
    <t>Company Adjustment</t>
  </si>
  <si>
    <t>Staff Adjustment</t>
  </si>
  <si>
    <t xml:space="preserve">Staff Proposed </t>
  </si>
  <si>
    <t>OPERATING REVENUES</t>
  </si>
  <si>
    <t>Amortization of Summit Buyout Purchase Option</t>
  </si>
  <si>
    <t>Increase (Decrease) in Revenue</t>
  </si>
  <si>
    <t>OPERATING EXPENSES</t>
  </si>
  <si>
    <t>Amort of Deferred Taxes of Indirect Overheads</t>
  </si>
  <si>
    <t xml:space="preserve">      Regulatory Asset (WUTC DOC # UE-051527)</t>
  </si>
  <si>
    <t xml:space="preserve">Amort of Interest Associated with Deferral of Unrecovered </t>
  </si>
  <si>
    <t xml:space="preserve">      Residential Exchange Benefits Credited to Customers ( WUTC </t>
  </si>
  <si>
    <t xml:space="preserve">      DOC # UE-071024)</t>
  </si>
  <si>
    <t xml:space="preserve">Cost of Planned Transmission Vegetation Management Wire Zone.  </t>
  </si>
  <si>
    <t>Increase in Service Contract O&amp;M Baseline Charges, Transmission</t>
  </si>
  <si>
    <t>Increase in Service Contract O&amp;M Baseline Charges, Distribution</t>
  </si>
  <si>
    <t>Summit Building Contractual Rent 4th Floor-New</t>
  </si>
  <si>
    <t>Summit Building Contractual Rent Increases</t>
  </si>
  <si>
    <t>Airport Parking</t>
  </si>
  <si>
    <t>Athletic Events - Charged Above the Line</t>
  </si>
  <si>
    <t>Advertizing Expenses</t>
  </si>
  <si>
    <t>Increase(Decrease ) in Expense</t>
  </si>
  <si>
    <t>Total Increase(Decrease ) in Income</t>
  </si>
  <si>
    <t xml:space="preserve">Increase(Decrease ) FIT @ 35% </t>
  </si>
  <si>
    <t>Increase(Decrease ) NOI</t>
  </si>
  <si>
    <t>WASHINGTON</t>
  </si>
  <si>
    <t>MONTANA</t>
  </si>
  <si>
    <t>OREGON</t>
  </si>
  <si>
    <t>RESTATED PROPERTY TAX</t>
  </si>
  <si>
    <t>CHARGED TO EXPENSE IN TY</t>
  </si>
  <si>
    <t>INCREASE(DECREASE) OPERATING EXPENSE</t>
  </si>
  <si>
    <t>TOTAL INCREASE(DECREASE) OPERATING EXPENSE (LINE 3)</t>
  </si>
  <si>
    <t>RESTATED EXCISE TAXES</t>
  </si>
  <si>
    <t>CHARGED TO EXPENSE FOR TEST YEAR</t>
  </si>
  <si>
    <t>INCREASE (DECREASE) EXCISE TAX</t>
  </si>
  <si>
    <t>RESTATED WUTC FILING FEE</t>
  </si>
  <si>
    <t>INCREASE(DECREASE) WUTC FILING FEE</t>
  </si>
  <si>
    <t>INCREASE(DECREASE) EXPENSE</t>
  </si>
  <si>
    <t>Line No.</t>
  </si>
  <si>
    <t>Electric 10.17</t>
  </si>
  <si>
    <t>Test Period D&amp;O Insurance Expense</t>
  </si>
  <si>
    <t>Restated D&amp;O Insurance Expense</t>
  </si>
  <si>
    <t>Impact on Net Operating Income</t>
  </si>
  <si>
    <t>Revenue Requirement Impact</t>
  </si>
  <si>
    <t>Exhibit No. JHS-10, Page 10.17</t>
  </si>
  <si>
    <t>Exhibit No. AMCL-2</t>
  </si>
  <si>
    <t>Id.</t>
  </si>
  <si>
    <t>RESTATED KWH (COLSTRIP)</t>
  </si>
  <si>
    <t>TAX RATE</t>
  </si>
  <si>
    <t>RESTATED ENERGY TAX</t>
  </si>
  <si>
    <t>CHARGED TO EXPENSE</t>
  </si>
  <si>
    <t>INTEREST EXPENSE FOR THE RESTATED TEST YEAR</t>
  </si>
  <si>
    <t>INCREASE ELECTRIC NET RATE BASE</t>
  </si>
  <si>
    <t>RESTATED</t>
  </si>
  <si>
    <t>FAS 133 OPERATING EXPENSE</t>
  </si>
  <si>
    <t>INCREASE (DECREASE) IN EXPENSE</t>
  </si>
  <si>
    <t>INCREASE(DECREASE) OPERATING INCOME</t>
  </si>
  <si>
    <t xml:space="preserve">INCREASE (DECREASE) DEFERRED FIT @ </t>
  </si>
  <si>
    <t>EXPENSES TO BE NORMALIZED:</t>
  </si>
  <si>
    <t>ESTIMATED 2006 and 2007 GRC EXPENSES TO BE NORMALIZED</t>
  </si>
  <si>
    <t>ANNUAL NORMALIZATION (LINE 3 / 2 YEARS)</t>
  </si>
  <si>
    <t>LESS TEST YEAR EXPENSE:  GRC DIRECT CHARGES TO FERC 928</t>
  </si>
  <si>
    <t>ESTIMATED 2005 and 2007 PCORC EXPENSES TO BE NORMALIZED</t>
  </si>
  <si>
    <t>ANNUAL NORMALIZATION (LINE 9 / 2)</t>
  </si>
  <si>
    <t>LESS TEST YEAR EXPENSE:  PCORC DIRECT CHARGES TO O&amp; M</t>
  </si>
  <si>
    <t>1</t>
  </si>
  <si>
    <t>TOTAL DEFERRED NET (GAIN) LOSS TO AMORTIZE</t>
  </si>
  <si>
    <t>AMORTIZATION OF DEFERRED NET (GAIN) LOSS FOR RATE YEAR (Line 3/3years)</t>
  </si>
  <si>
    <t>AMORTIZATION OF DEFERRED NET (GAIN) LOSS FOR TEST YEAR</t>
  </si>
  <si>
    <t>INCREASE (DECREASE) EXPENSE  (Line 5 - Line 7)</t>
  </si>
  <si>
    <t>INCREASE (DECREASE) FIT @ 35%</t>
  </si>
  <si>
    <t>PROPERTY INSURANCE EXPENSE</t>
  </si>
  <si>
    <t>LIABILITY INSURANCE EXPENSE</t>
  </si>
  <si>
    <t>INCREASE (DECREASE) OPERATING EXPENSE</t>
  </si>
  <si>
    <t>QUALIFIED RETIREMENT FUND</t>
  </si>
  <si>
    <t>SERP PLAN</t>
  </si>
  <si>
    <t>ADJUSTMENT 10.24 PENSION PLAN</t>
  </si>
  <si>
    <t>FOR THE TWELVE MONTHS ENDED DECEMBER 30, 2008</t>
  </si>
  <si>
    <t>TEST YEAR</t>
  </si>
  <si>
    <t>WAGES:</t>
  </si>
  <si>
    <t>PURCHASED POWER</t>
  </si>
  <si>
    <t>OTHER POWER SUPPLY</t>
  </si>
  <si>
    <t>TRANSMISSION</t>
  </si>
  <si>
    <t>DISTRIBUTION</t>
  </si>
  <si>
    <t>CUSTOMER ACCTS</t>
  </si>
  <si>
    <t>CUSTOMER SERVICE</t>
  </si>
  <si>
    <t>SALES</t>
  </si>
  <si>
    <t>ADMIN. &amp; GENERAL</t>
  </si>
  <si>
    <t>TOTAL WAGE INCREASE</t>
  </si>
  <si>
    <t>PAYROLL TAXES</t>
  </si>
  <si>
    <t>TOTAL WAGES &amp; TAXES</t>
  </si>
  <si>
    <t>ADJUSTMENT 10.25 WAGE INCREASE</t>
  </si>
  <si>
    <t>PUGET SOUND ENERGY-GAS</t>
  </si>
  <si>
    <t>NON-UNION (EXCLUDING EXECUTIVES)</t>
  </si>
  <si>
    <t>INVESTMENT PLAN APPLICABLE TO MANAGEMENT</t>
  </si>
  <si>
    <t xml:space="preserve">RATE YEAR MANAGEMENT WAGE INCREASE </t>
  </si>
  <si>
    <t>TOTAL COMPANY CONTRIBUTION FOR MANAGEMENT</t>
  </si>
  <si>
    <t>NON-UNION ( EXECUTIVES)</t>
  </si>
  <si>
    <t>INVESTMENT PLAN APPLICABLE TO IBEW</t>
  </si>
  <si>
    <t xml:space="preserve">RATE YEAR IBEW WAGE INCREASE                   </t>
  </si>
  <si>
    <t>TOTAL COMPANY CONTRIBUTION FOR IBEW</t>
  </si>
  <si>
    <t>IBEW</t>
  </si>
  <si>
    <t>UA</t>
  </si>
  <si>
    <t>INVESTMENT PLAN APPLICABLE TO UA</t>
  </si>
  <si>
    <t xml:space="preserve">RATE YEAR UA WAGE INCREASE                   </t>
  </si>
  <si>
    <t>TOTAL COMPANY CONTRIBUTION FOR UA</t>
  </si>
  <si>
    <t>TOTAL PROFORMA COSTS (LN 4 + LN 9 + LN 14 + LN 19)</t>
  </si>
  <si>
    <t>PRO FORMA COSTS APPLICABLE TO OPERATIONS</t>
  </si>
  <si>
    <t>CHARGED TO EXPENSE FOR YEAR ENDED 12/31/08</t>
  </si>
  <si>
    <t>ADJUSTMENT 10.26 INVESTMENT PLAN</t>
  </si>
  <si>
    <t>BENEFIT CONTRIBUTION:</t>
  </si>
  <si>
    <t>SALARIED EMPLOYEES</t>
  </si>
  <si>
    <t>UNION EMPLOYEES</t>
  </si>
  <si>
    <t>PRO FORMA INSURANCE COSTS</t>
  </si>
  <si>
    <t>APPLICABLE TO OPERATIONS @</t>
  </si>
  <si>
    <t>CHARGED TO EXPENSE 12 MONTH ENDING DECEMBER 2008</t>
  </si>
  <si>
    <t>ADJUSTMENT 10.27 EMPLOYEE INSURANCE</t>
  </si>
  <si>
    <t>OPERATING EXPENSES ( RESTATED)</t>
  </si>
  <si>
    <t>TOTAL INCENTIVE/MERIT PAY</t>
  </si>
  <si>
    <t>PAYROLL TAXES ASSOC WITH MERIT PAY</t>
  </si>
  <si>
    <t>MERGER SAVINGS</t>
  </si>
  <si>
    <t>OPEERATING EXPENSES</t>
  </si>
  <si>
    <t>INCREASE(DECREASE) INCOME</t>
  </si>
  <si>
    <t>ADJUSTMENT 10.29 MERGER SAVINGS</t>
  </si>
  <si>
    <t>NORMAL STORMS</t>
  </si>
  <si>
    <t>Transmission</t>
  </si>
  <si>
    <t>Distribution</t>
  </si>
  <si>
    <t>ACTUAL O&amp;M:</t>
  </si>
  <si>
    <t xml:space="preserve">  TWELVE MONTHS ENDED 12/31/03</t>
  </si>
  <si>
    <t xml:space="preserve">  TWELVE MONTHS ENDED 12/31/04</t>
  </si>
  <si>
    <t xml:space="preserve">  TWELVE MONTHS ENDED 12/31/05</t>
  </si>
  <si>
    <t xml:space="preserve">  TWELVE MONTHS ENDED 12/31/06</t>
  </si>
  <si>
    <t xml:space="preserve">  TWELVE MONTHS ENDED 12/31/07</t>
  </si>
  <si>
    <t xml:space="preserve">  TWELVE MONTHS ENDED 12/31/08</t>
  </si>
  <si>
    <t>TOTAL NORMAL STORMS</t>
  </si>
  <si>
    <t>SIX-YEAR AVERAGE STORM EXPENSE FOR RATE YEAR</t>
  </si>
  <si>
    <t>CHARGED TO EXPENSE  FOR TEST YEAR ENDED 12/31/08:</t>
  </si>
  <si>
    <t xml:space="preserve">  STORM DAMAGE EXPENSE (LINE 8)</t>
  </si>
  <si>
    <t>CATASTROPHIC STORMS</t>
  </si>
  <si>
    <t>DEFERRED BALANCES FOR 4 YEAR AMORTIZATION AT</t>
  </si>
  <si>
    <t>START OF RATE YEAR (4/1/10):</t>
  </si>
  <si>
    <t>2006 STORM DAMAGE (EXCL 12/13/06 WIND STORM)</t>
  </si>
  <si>
    <t>2007 STORM DAMAGE</t>
  </si>
  <si>
    <t>2008 STORM DAMAGE</t>
  </si>
  <si>
    <t>DEFERRED BALANCES FOR 10 YEAR AMORTIZATION AT</t>
  </si>
  <si>
    <t>12/13/06 WIND STORM</t>
  </si>
  <si>
    <t>TOTAL RATE YEAR AMORTIZATION</t>
  </si>
  <si>
    <t>LESS CATASTROPHIC STORM AMORT AS (12/31/08)</t>
  </si>
  <si>
    <t>INCREASE (DECREASE) OPERATING EXPENSE (LINE 26+LINE 32 - LINE 34)</t>
  </si>
  <si>
    <t>TOTAL INCREASE (DECREASE) OPERATING EXPENSE (LINE 16 + LINE 36)</t>
  </si>
  <si>
    <t>INCREASE (DECREASE) FIT @ 35% (LINE 38 X 35%)</t>
  </si>
  <si>
    <t>ADJUSTMENT 10.30 STORM DAMAGE</t>
  </si>
  <si>
    <t>ADJUSTMENT TO OPERATING EXPENSES</t>
  </si>
  <si>
    <t>DEPRECIATION EXPENSE</t>
  </si>
  <si>
    <t>403 DEPRECIATION EXPENSE</t>
  </si>
  <si>
    <t>403 ELEC PORTION OF COMMON</t>
  </si>
  <si>
    <t>403 DEPR. EXP. ON ASSETS NOT INCLUDED IN STUDY</t>
  </si>
  <si>
    <t>SUBTOTAL DEPRECIATION EXPENSE 403</t>
  </si>
  <si>
    <t>403.1 DEPR. EXP- FAS 143 (RECOVERED IN RATES)</t>
  </si>
  <si>
    <t>403.1 DEPR. EXP - FAS 143 (NOT RECOVERED IN RATES)</t>
  </si>
  <si>
    <t>SUBTOTAL DEPRECIATION EXPENSE 403.1</t>
  </si>
  <si>
    <t>TOTAL DEPRECIATION EXPENSE</t>
  </si>
  <si>
    <t>AMORTIZATION EXPENSE</t>
  </si>
  <si>
    <t>4111 ACCRETION EXP. - FAS 143 (RECOVERED IN RATES)</t>
  </si>
  <si>
    <t>4111 ACCRETION EXP. - FAS 143 (NOT RECOVERED IN RATES)</t>
  </si>
  <si>
    <t>SUBTOTAL ACCRETION EXPENSE 411.1</t>
  </si>
  <si>
    <t>FLEET DEPR. EXP. ON INC STMNT NOT RECORDED IN 403</t>
  </si>
  <si>
    <t>ADJUSTMENT TO RATE BASE</t>
  </si>
  <si>
    <t>ADJUST ACCUM. DEPR. FOR ADDITIONAL DEPRECIATION EXPENSE (50% OF LINE 21)</t>
  </si>
  <si>
    <t>RATEBASE</t>
  </si>
  <si>
    <t>UTILITY PLANT BALANCE</t>
  </si>
  <si>
    <t>ACCUMULATED DEPRECIATION</t>
  </si>
  <si>
    <t>DEFERRED FIT</t>
  </si>
  <si>
    <t>TOTAL RATEBASE</t>
  </si>
  <si>
    <t>LEASE PAYMENT</t>
  </si>
  <si>
    <t>PROPERTY INSURANCE</t>
  </si>
  <si>
    <t>PROPERTY TAXES</t>
  </si>
  <si>
    <t xml:space="preserve">INCREASE (DECREASE) NOI </t>
  </si>
  <si>
    <t>ADJUSTMENT 10.33 FREDONIA POWER PLANT</t>
  </si>
  <si>
    <t>ADJUSTMENT 10.34 AMORTIZATION OF MINT FARM DEFERRED COSTS</t>
  </si>
  <si>
    <t>Note: PSE should update the amount to be amortized based on actual costs.</t>
  </si>
  <si>
    <t>FLEET OPERATING EXPENSES</t>
  </si>
  <si>
    <t>FLEET BALANCE</t>
  </si>
  <si>
    <t>NET FLEET RATEBASE</t>
  </si>
  <si>
    <t>ADJUSTMENT 10.35 FLEET VEHICLES</t>
  </si>
  <si>
    <t>FOR TWELVE MONTHS ENDED DECEMBER 31, 2008</t>
  </si>
  <si>
    <t>ADJUSTED</t>
  </si>
  <si>
    <t>DEFERRED SSCM NET INTEREST PAID TO IRS</t>
  </si>
  <si>
    <t>GROSS DEFERRED BALANCE</t>
  </si>
  <si>
    <t>ACCUM AMORTIZATION</t>
  </si>
  <si>
    <t>DEFERRED FEDERAL INCOME TAX</t>
  </si>
  <si>
    <t>NET DEFERRED INTEREST ADDITION TO RATEBASE</t>
  </si>
  <si>
    <t>AMORTIZATION OF DEFERRED SSCM NET INTEREST PAID TO IRS</t>
  </si>
  <si>
    <t>ADJUSTMENT 10.36 NET INTEREST PAID TO IRS ON SSCM</t>
  </si>
  <si>
    <t>Gross Utility Plant In Service</t>
  </si>
  <si>
    <t>Customer Accounts Expense</t>
  </si>
  <si>
    <t>Expenses</t>
  </si>
  <si>
    <t>ADJUSTMENT 10.01 TEMPERATURE NORMALIZATION</t>
  </si>
  <si>
    <t>ADJUSTMENT 10.03 POWER COSTS</t>
  </si>
  <si>
    <t>ADJUSTMENT 10.04 FEDERAL INCOME TAX</t>
  </si>
  <si>
    <t>ADJUSTMENT 10.05  BENEFIT OF PRO FORMA INTEREST</t>
  </si>
  <si>
    <t>ADJUSTMENT 10.06 HOPKINS RIDGE INFILL PROJECT</t>
  </si>
  <si>
    <t>FOR THE TWELVE MONTH ENDED DECEMBER 31, 2008</t>
  </si>
  <si>
    <t>HOPKINS RIDGE INFILL RATEBASE (AMA)</t>
  </si>
  <si>
    <t>UTILITY PLANT RATEBASE</t>
  </si>
  <si>
    <t>PLANT BALANCE</t>
  </si>
  <si>
    <t xml:space="preserve">ACCUM DEPRECIATION </t>
  </si>
  <si>
    <t>DEFERRED INCOME TAX LIABILITY</t>
  </si>
  <si>
    <t>NET HOPKINS RIDGE INFILL PLANT RATEBASE</t>
  </si>
  <si>
    <t>HOPKINS RIDGE INFILL OPERATING EXPENSE</t>
  </si>
  <si>
    <t>INCOME TAX</t>
  </si>
  <si>
    <t>DEFERRED INCOME TAX</t>
  </si>
  <si>
    <t>TAX CALCULATION</t>
  </si>
  <si>
    <t>Operating Revenue</t>
  </si>
  <si>
    <t>Other Deductions</t>
  </si>
  <si>
    <t>Interest (AFUDC)</t>
  </si>
  <si>
    <t>Interest</t>
  </si>
  <si>
    <t>Schedule "M" additions</t>
  </si>
  <si>
    <t>Schedule "M" deductions</t>
  </si>
  <si>
    <t>Income Before Tax</t>
  </si>
  <si>
    <t>Adjustments to FIT</t>
  </si>
  <si>
    <t>Federal Income Tax</t>
  </si>
  <si>
    <t>Tax Rate</t>
  </si>
  <si>
    <t>MINT FARM RATEBASE (AMA)</t>
  </si>
  <si>
    <t>ACQUISITION ADJUSTMENT</t>
  </si>
  <si>
    <t>ACCUMULATED AMORTIZATION ON ACQ ADJ</t>
  </si>
  <si>
    <t xml:space="preserve">DEFERRED FIT </t>
  </si>
  <si>
    <t>TOTAL ACQUISITION ADJUSTMENT RATEBASE</t>
  </si>
  <si>
    <t>MINT FARM OPERATING EXPENSE</t>
  </si>
  <si>
    <t xml:space="preserve">POWER COST ASSOCIATED WITH MINT FARM </t>
  </si>
  <si>
    <t xml:space="preserve">    NATURAL GAS FUEL</t>
  </si>
  <si>
    <t xml:space="preserve">    WHEELING</t>
  </si>
  <si>
    <t>INCREASE (DECREASE) POWER COST</t>
  </si>
  <si>
    <t xml:space="preserve">PRODUCTION O&amp;M </t>
  </si>
  <si>
    <t>WILD HORSE EXPANSION RATEBASE (AMA)</t>
  </si>
  <si>
    <t>NET WH EXPANSION PLANT RATEBASE</t>
  </si>
  <si>
    <t>WILD HORSE EXPANSION OPERATING EXPENSE</t>
  </si>
  <si>
    <t>POWER COST &amp; PRODUCTION O&amp;M RELATED TO WILD HORSE EXPANSION</t>
  </si>
  <si>
    <t>PRODUCTION O&amp;M</t>
  </si>
  <si>
    <t>TOTAL POWER COST AND PROD O&amp;M</t>
  </si>
  <si>
    <t>INCREASE ( DECREASE ) EXPENSE</t>
  </si>
  <si>
    <t>ADJUSTMENT 10.09 SUMAS</t>
  </si>
  <si>
    <t>SUMAS RATEBASE</t>
  </si>
  <si>
    <t>NET SUMAS PLANT RATEBASE</t>
  </si>
  <si>
    <t>SUMAS OPERATING EXPENSE</t>
  </si>
  <si>
    <t>Per Company</t>
  </si>
  <si>
    <t>PRODUCTION</t>
  </si>
  <si>
    <t>FIT</t>
  </si>
  <si>
    <t>AND RESTATED</t>
  </si>
  <si>
    <t>O&amp;M ON PRODUCTION PROPERTY</t>
  </si>
  <si>
    <t>PRODUCTION WAGE INCREASE AND INCENTIVE:</t>
  </si>
  <si>
    <t>TOTAL PRODUCTION WAGE INCREASE</t>
  </si>
  <si>
    <t>ADMIN &amp; GENERAL EXPENSES</t>
  </si>
  <si>
    <t>PAYROLL OVERHEADS</t>
  </si>
  <si>
    <t>TOTAL ADMIN &amp; GENERAL EXPENSES</t>
  </si>
  <si>
    <t>DEPRECIATION / AMORTIZATION:</t>
  </si>
  <si>
    <t>DEPRECIATION</t>
  </si>
  <si>
    <t>AMORTIZATION (OTHER THAN REGULATORY ASSETS/LIAB)</t>
  </si>
  <si>
    <t>TOTAL DEPRECIATION AND AMORTIZATION (FERC 403)</t>
  </si>
  <si>
    <t>TAXES OTHER-PRODUCTION PROPERTY:</t>
  </si>
  <si>
    <t xml:space="preserve"> PROPERTY TAXES - WASHINGTON</t>
  </si>
  <si>
    <t xml:space="preserve"> PROPERTY TAXES - MONTANA</t>
  </si>
  <si>
    <t xml:space="preserve"> ELECTRIC ENERGY TAX</t>
  </si>
  <si>
    <t xml:space="preserve"> PAYROLL TAXES</t>
  </si>
  <si>
    <t>TOTAL TAXES OTHER</t>
  </si>
  <si>
    <t>WILD HORSE EXPANSION AND MINT FARM</t>
  </si>
  <si>
    <t>TOTAL NEW PLANT</t>
  </si>
  <si>
    <t>O&amp;M ON REGULATORY ASSETS:</t>
  </si>
  <si>
    <t>MINT FARM DEFERRAL</t>
  </si>
  <si>
    <t>OVER-RECOVERY MAJOR MAINTENANCE</t>
  </si>
  <si>
    <t>TOTAL REGULATORY AMORT (LINE 46 + LINE 48)</t>
  </si>
  <si>
    <t xml:space="preserve">INCREASE(DECREASE) FIT </t>
  </si>
  <si>
    <t>PRODUCTION PROPERTY RATE BASE:</t>
  </si>
  <si>
    <t>DEPRECIABLE PRODUCTION PROPERTY</t>
  </si>
  <si>
    <t>LESS PRODUCTION PROPERTY ACCUM DEPR.</t>
  </si>
  <si>
    <t>NON-DEPRECIABLE PRODUCTION PROPERTY (Baker, Whitehorn)</t>
  </si>
  <si>
    <t>LESS PRODUCTION PROPERTY ACCUM AMORT. (Baker, Whitehorn)</t>
  </si>
  <si>
    <t>COLSTRIP COMMON FERC ADJUSTMENT</t>
  </si>
  <si>
    <t>COLSTRIP DEFERRED DEPRECIATION FERC ADJ.</t>
  </si>
  <si>
    <t>ENCOGEN AND OTHER ACQUISITION ADJUSTMENTS</t>
  </si>
  <si>
    <t>ACCUMULATED AMORTIZATION ON ACQUISTION ADJ</t>
  </si>
  <si>
    <t>NET PRODUCTION PROPERTY</t>
  </si>
  <si>
    <t>DEDUCT:</t>
  </si>
  <si>
    <t>LIBR. DEPREC. POST 1980 (AMA)</t>
  </si>
  <si>
    <t>OTHER DEF. TAXES (AMA)</t>
  </si>
  <si>
    <t>SUBTOTAL</t>
  </si>
  <si>
    <t>ADJUSTMENT TO PRODUCTION RATE BASE</t>
  </si>
  <si>
    <t>REGULATORY ASSETS RATE BASE:</t>
  </si>
  <si>
    <t>CABOT</t>
  </si>
  <si>
    <t>PROCEEDS FROM THE SALE OF WHITE RIVER</t>
  </si>
  <si>
    <t>OVER RECOVERY MAINTENANCE</t>
  </si>
  <si>
    <t>ADJUSTMENT TO REGULATORY ASSETS RATE BASE</t>
  </si>
  <si>
    <t>TOTAL ADJUSTMENT TO RATEBASE (LINE 73 + LINE 91)</t>
  </si>
  <si>
    <t>PUGET SOUND ENERGY</t>
  </si>
  <si>
    <t>AMORTIZATION OF WILD HORSE EXPANSION</t>
  </si>
  <si>
    <t>OPERATING EXPENSE FIXED COSTS</t>
  </si>
  <si>
    <t>DEFERRAL OF WH EXPANSION FIXED COSTS</t>
  </si>
  <si>
    <t>TOTAL AMORTIZATION WILD HORSE EXPANSION</t>
  </si>
  <si>
    <t>INCREASE (DECREASE) FIT                                                                    35%</t>
  </si>
  <si>
    <t xml:space="preserve">INCREASE (DECREASE) NOI                                                          </t>
  </si>
  <si>
    <t xml:space="preserve">WILD HORSE EXPANSION AMA GROSS - DEF </t>
  </si>
  <si>
    <t>WILD HORSE EXPANSION AMA ACCUMULATED AMORTIZATION</t>
  </si>
  <si>
    <t>WILD HORSE EXPANSION AMA ACCUMULATED DEFERRED FIT</t>
  </si>
  <si>
    <t>TOTAL WILD HORSE EXPANSION RATE BASE</t>
  </si>
  <si>
    <t>ADJUSTMENT 10.12 PASS-THROUGH REVENUES AND EXPENSES</t>
  </si>
  <si>
    <t>UE 090704</t>
  </si>
  <si>
    <t>DRAFT-PRIVILEGED AND CONFIDENTIAL</t>
  </si>
  <si>
    <t>Test Year December 31, 2008</t>
  </si>
  <si>
    <t>Staff Revenue Requirement Summary</t>
  </si>
  <si>
    <t>Electric Operations</t>
  </si>
  <si>
    <t>Net Operating</t>
  </si>
  <si>
    <t>Rev Req</t>
  </si>
  <si>
    <t>Cost of Capital</t>
  </si>
  <si>
    <t>Adj. No.</t>
  </si>
  <si>
    <t>Income</t>
  </si>
  <si>
    <t>Rate Base</t>
  </si>
  <si>
    <t>@ 8.50</t>
  </si>
  <si>
    <t>@7.89%</t>
  </si>
  <si>
    <t>Difference</t>
  </si>
  <si>
    <t>(a)</t>
  </si>
  <si>
    <t>(b)</t>
  </si>
  <si>
    <t xml:space="preserve">(c) </t>
  </si>
  <si>
    <t>(d)</t>
  </si>
  <si>
    <t>Actual Results of Operations</t>
  </si>
  <si>
    <t>Temperature Normalization</t>
  </si>
  <si>
    <t>Revenues &amp; Expenses</t>
  </si>
  <si>
    <t>Power Costs</t>
  </si>
  <si>
    <t>Tax Benefits of Pro Forma Interest</t>
  </si>
  <si>
    <t>Hopkins Ridge Infill</t>
  </si>
  <si>
    <t>Wild Horse Expansion</t>
  </si>
  <si>
    <t>Baker Hydro Relicense</t>
  </si>
  <si>
    <t>Pass-Through Revenue &amp; Expense</t>
  </si>
  <si>
    <t>Bad Debt</t>
  </si>
  <si>
    <t>Miscellaneous Operating Expense</t>
  </si>
  <si>
    <t>Property Tax</t>
  </si>
  <si>
    <t>Excise Tax &amp; Filing Fee</t>
  </si>
  <si>
    <t>D&amp;O Insurance</t>
  </si>
  <si>
    <t>Montana Electric Energy Tax</t>
  </si>
  <si>
    <t>Interest on Customer Deposits</t>
  </si>
  <si>
    <t>Rate Case Expense</t>
  </si>
  <si>
    <t>Deferred G/L on Property Sales</t>
  </si>
  <si>
    <t>Property &amp; Liability Insurance</t>
  </si>
  <si>
    <t>Pension Plan</t>
  </si>
  <si>
    <t>Wage Increase</t>
  </si>
  <si>
    <t>Investment Plan</t>
  </si>
  <si>
    <t>Employee Insurance</t>
  </si>
  <si>
    <t>Incentive Pay</t>
  </si>
  <si>
    <t>Merger Savings</t>
  </si>
  <si>
    <t>Storm Damage</t>
  </si>
  <si>
    <t>Depreciation Study</t>
  </si>
  <si>
    <t>Fredonia Power Plant</t>
  </si>
  <si>
    <t>Mint Farm Deferred Cost</t>
  </si>
  <si>
    <t>Fleet Vehicles</t>
  </si>
  <si>
    <t>Net Interest Paid to IRS</t>
  </si>
  <si>
    <t>Production Adjustment</t>
  </si>
  <si>
    <t>Wild Horse Deferred Cost</t>
  </si>
  <si>
    <t>Total Adjustment</t>
  </si>
  <si>
    <t>Adjusted Results of Operations</t>
  </si>
  <si>
    <t>Company Revenue Requirement Summary</t>
  </si>
  <si>
    <t>@8.50</t>
  </si>
  <si>
    <t>Per Staff</t>
  </si>
  <si>
    <t>Long-term Debt</t>
  </si>
  <si>
    <t>Short term Debt</t>
  </si>
  <si>
    <t>Preferred Stock</t>
  </si>
  <si>
    <t>Common Stock</t>
  </si>
  <si>
    <t>Revenue Requirement Summary</t>
  </si>
  <si>
    <t>NOI</t>
  </si>
  <si>
    <t>(h)</t>
  </si>
  <si>
    <t>(i)</t>
  </si>
  <si>
    <t>(k)</t>
  </si>
  <si>
    <t>LEASE PAYMENTS</t>
  </si>
  <si>
    <t>TOTAL O&amp;M</t>
  </si>
  <si>
    <t>ADJUSTMENT 10.10 WHITEHORN</t>
  </si>
  <si>
    <t>BAKER HYDRO RELICENSING OPERATING EXPENSE</t>
  </si>
  <si>
    <t xml:space="preserve">AMORTIZATION OF PREPAYMENT FOR </t>
  </si>
  <si>
    <t xml:space="preserve">     FEDERAL LAND USE</t>
  </si>
  <si>
    <t>BAKER HYDRO RELICENSING RATEBASE</t>
  </si>
  <si>
    <t>Accumulated Deferred Income Tax</t>
  </si>
  <si>
    <t>NET BAKER HYDRO RELIC RATEBASE</t>
  </si>
  <si>
    <t>ADJUSTMENT 10.11 BAKER HYDRO RELICENSING COSTS</t>
  </si>
  <si>
    <t>ADJUSTMENT 10.07 WILD HORSE WIND EXPANSION PROJECT</t>
  </si>
  <si>
    <t>ADJUSTMENT 10.08 MINT FARM PROJECT</t>
  </si>
  <si>
    <t>ADJUSTMENT 10.13 BAD DEBTS</t>
  </si>
  <si>
    <t>ADJUSTMENT 10.31 REGULATORY ASSETS AND LIABILITIES</t>
  </si>
  <si>
    <t>ADJUSTMENT 10.32 DEPRECIATION STUDY</t>
  </si>
  <si>
    <t>Conversion Factor - Electric</t>
  </si>
  <si>
    <t>Regulatory Assets &amp; Liabilities</t>
  </si>
  <si>
    <t>Company Store- Net Purchase/Sales of Merchandise in A&amp;G</t>
  </si>
  <si>
    <t>Reference:  PSE Response to WUTC Data Request 139, Attachment C</t>
  </si>
  <si>
    <t>ADJUSTMENT 10.37 PRODUCTION ADJUSTMENT</t>
  </si>
  <si>
    <t>ANNUAL AMORTIZATION (LINE 25 ¸ 4 YEARS)</t>
  </si>
  <si>
    <t>ANNUAL AMORTIZATION (LINE 31 ¸ 103 (# OF MONTHS REMAINING) X 12)</t>
  </si>
  <si>
    <t>ADJUSTMENT 10.28 INCENTIVE PAY</t>
  </si>
  <si>
    <t>ADJUSTMENT 10.23 PROPERTY &amp; LIABILITY INSURANCE</t>
  </si>
  <si>
    <t>ADJUSTMENT 10.22 DEFERRED GAINS/LOSSES ON PROPERTY SALES</t>
  </si>
  <si>
    <r>
      <t>DEFERRED GAIN RECORDED SINCE UE-072300,</t>
    </r>
    <r>
      <rPr>
        <i/>
        <sz val="12"/>
        <rFont val="Times New Roman"/>
        <family val="1"/>
      </rPr>
      <t xml:space="preserve"> et al.</t>
    </r>
    <r>
      <rPr>
        <sz val="12"/>
        <rFont val="Times New Roman"/>
        <family val="1"/>
      </rPr>
      <t xml:space="preserve"> at 03/31/2010</t>
    </r>
  </si>
  <si>
    <r>
      <t>DEFERRED LOSS RECORDED SINCE UE-072300,</t>
    </r>
    <r>
      <rPr>
        <i/>
        <sz val="12"/>
        <rFont val="Times New Roman"/>
        <family val="1"/>
      </rPr>
      <t xml:space="preserve"> et al.</t>
    </r>
    <r>
      <rPr>
        <sz val="12"/>
        <rFont val="Times New Roman"/>
        <family val="1"/>
      </rPr>
      <t xml:space="preserve"> at 03/31/2010</t>
    </r>
  </si>
  <si>
    <t>ADJUSTMENT 10.21 RATE CASE EXPENSES</t>
  </si>
  <si>
    <t>ADJUSTMENT 10.20 SFAS 133</t>
  </si>
  <si>
    <t>ADJUSTMENT 10.19 INTEREST ON CUSTOMER DEPOSITS</t>
  </si>
  <si>
    <t>ADJUSTMENT 10.18 MONTANA ELECTRIC ENERGY TAX</t>
  </si>
  <si>
    <t>ADJUSTMENT 10.17 DIRECTOR AND OFFICER INSURANCE</t>
  </si>
  <si>
    <t>GENERAL RATE CASE</t>
  </si>
  <si>
    <t>ADJUSTMENT 10.26 EXCISE TAX &amp; FILING FEE</t>
  </si>
  <si>
    <t>ADJUSTMENT 10.15 PROPERTY TAX</t>
  </si>
  <si>
    <t>ADJUSTMENT 10.14 MISCELLANEOUS EXPENSE</t>
  </si>
</sst>
</file>

<file path=xl/styles.xml><?xml version="1.0" encoding="utf-8"?>
<styleSheet xmlns="http://schemas.openxmlformats.org/spreadsheetml/2006/main">
  <numFmts count="32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_(&quot;$&quot;* #,##0_);_(&quot;$&quot;* \(#,##0\);_(&quot;$&quot;* &quot;-&quot;??_);_(@_)"/>
    <numFmt numFmtId="167" formatCode="#,##0;\(#,##0\)"/>
    <numFmt numFmtId="168" formatCode="0.000%"/>
    <numFmt numFmtId="169" formatCode="0.0000%"/>
    <numFmt numFmtId="170" formatCode="yyyy"/>
    <numFmt numFmtId="171" formatCode="0.0000000%"/>
    <numFmt numFmtId="172" formatCode="0.0000000"/>
    <numFmt numFmtId="173" formatCode="_(* #,##0.0_);_(* \(#,##0.0\);_(* &quot;-&quot;_);_(@_)"/>
    <numFmt numFmtId="174" formatCode="#,##0.0000000;\(#,##0.0000000\)"/>
    <numFmt numFmtId="175" formatCode="_(* #,##0.00000_);_(* \(#,##0.00000\);_(* &quot;-&quot;??_);_(@_)"/>
    <numFmt numFmtId="176" formatCode="d\.mmm\.yy"/>
    <numFmt numFmtId="177" formatCode="#."/>
    <numFmt numFmtId="178" formatCode="_(* ###0_);_(* \(###0\);_(* &quot;-&quot;_);_(@_)"/>
    <numFmt numFmtId="179" formatCode="_([$€-2]* #,##0.00_);_([$€-2]* \(#,##0.00\);_([$€-2]* &quot;-&quot;??_)"/>
    <numFmt numFmtId="180" formatCode="_(&quot;$&quot;* #,##0.000000_);_(&quot;$&quot;* \(#,##0.000000\);_(&quot;$&quot;* &quot;-&quot;??????_);_(@_)"/>
    <numFmt numFmtId="181" formatCode="&quot;$&quot;#,##0;\-&quot;$&quot;#,##0"/>
    <numFmt numFmtId="182" formatCode="_(&quot;$&quot;* #,##0.0000_);_(&quot;$&quot;* \(#,##0.0000\);_(&quot;$&quot;* &quot;-&quot;????_);_(@_)"/>
    <numFmt numFmtId="183" formatCode="&quot;$&quot;#,##0.00"/>
    <numFmt numFmtId="184" formatCode="#,##0.00\ ;\(#,##0.00\)"/>
    <numFmt numFmtId="185" formatCode="0.00000%"/>
    <numFmt numFmtId="186" formatCode="#,##0.00000_);[Red]\(#,##0.00000\)"/>
    <numFmt numFmtId="187" formatCode="_(* #,##0.0000_);_(* \(#,##0.0000\);_(* &quot;-&quot;_);_(@_)"/>
    <numFmt numFmtId="188" formatCode="_(* #,##0.000000_);_(* \(#,##0.000000\);_(* &quot;-&quot;_);_(@_)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8"/>
      <name val="Helv"/>
    </font>
    <font>
      <sz val="10"/>
      <name val="Times New Roman"/>
      <family val="1"/>
    </font>
    <font>
      <sz val="11"/>
      <name val="univers (E1)"/>
    </font>
    <font>
      <b/>
      <i/>
      <sz val="12"/>
      <name val="Times New Roman"/>
      <family val="1"/>
    </font>
    <font>
      <sz val="8"/>
      <name val="Arial"/>
      <family val="2"/>
    </font>
    <font>
      <b/>
      <i/>
      <sz val="10"/>
      <name val="Arial"/>
      <family val="2"/>
    </font>
    <font>
      <sz val="10"/>
      <color indexed="12"/>
      <name val="Arial"/>
      <family val="2"/>
    </font>
    <font>
      <sz val="10"/>
      <color indexed="8"/>
      <name val="MS Sans Serif"/>
      <family val="2"/>
    </font>
    <font>
      <sz val="11"/>
      <color indexed="8"/>
      <name val="Calibri"/>
      <family val="2"/>
    </font>
    <font>
      <sz val="10"/>
      <name val="Helv"/>
    </font>
    <font>
      <sz val="12"/>
      <color indexed="24"/>
      <name val="Arial"/>
      <family val="2"/>
    </font>
    <font>
      <sz val="12"/>
      <name val="TIMES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2"/>
      <name val="Arial"/>
      <family val="2"/>
    </font>
    <font>
      <b/>
      <sz val="8"/>
      <name val="Arial"/>
      <family val="2"/>
    </font>
    <font>
      <b/>
      <sz val="12"/>
      <color indexed="20"/>
      <name val="Arial"/>
      <family val="2"/>
    </font>
    <font>
      <b/>
      <sz val="10"/>
      <name val="Arial"/>
      <family val="2"/>
    </font>
    <font>
      <sz val="7"/>
      <name val="Small Fonts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i/>
      <sz val="10"/>
      <name val="Arial"/>
      <family val="2"/>
    </font>
    <font>
      <b/>
      <sz val="8"/>
      <color indexed="8"/>
      <name val="Helv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u/>
      <sz val="12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vertAlign val="superscript"/>
      <sz val="12"/>
      <name val="Times New Roman"/>
      <family val="1"/>
    </font>
    <font>
      <b/>
      <vertAlign val="superscript"/>
      <sz val="12"/>
      <name val="Times New Roman"/>
      <family val="1"/>
    </font>
    <font>
      <sz val="12"/>
      <name val="Cambria"/>
      <family val="1"/>
      <scheme val="major"/>
    </font>
    <font>
      <sz val="12"/>
      <name val="Arial"/>
      <family val="2"/>
    </font>
    <font>
      <b/>
      <i/>
      <sz val="12"/>
      <color rgb="FFFF00FF"/>
      <name val="Times New Roman"/>
      <family val="1"/>
    </font>
    <font>
      <sz val="12"/>
      <color rgb="FFFF00FF"/>
      <name val="Times New Roman"/>
      <family val="1"/>
    </font>
    <font>
      <sz val="11"/>
      <color theme="1"/>
      <name val="Times New Roman"/>
      <family val="1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2"/>
      <name val="Tms Rmn"/>
    </font>
    <font>
      <b/>
      <sz val="12"/>
      <name val="Tms Rmn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sz val="12"/>
      <color indexed="13"/>
      <name val="Tms Rmn"/>
    </font>
    <font>
      <b/>
      <sz val="12"/>
      <color rgb="FFFF0000"/>
      <name val="Times New Roman"/>
      <family val="1"/>
    </font>
    <font>
      <sz val="12"/>
      <color theme="1"/>
      <name val="Calibri"/>
      <family val="2"/>
      <scheme val="minor"/>
    </font>
    <font>
      <b/>
      <u/>
      <sz val="12"/>
      <name val="Times New Roman"/>
      <family val="1"/>
    </font>
    <font>
      <i/>
      <sz val="12"/>
      <name val="Times New Roman"/>
      <family val="1"/>
    </font>
    <font>
      <b/>
      <sz val="11"/>
      <color theme="1"/>
      <name val="Calibri"/>
      <family val="2"/>
      <scheme val="minor"/>
    </font>
    <font>
      <b/>
      <i/>
      <sz val="12"/>
      <name val="Arial"/>
      <family val="2"/>
    </font>
    <font>
      <sz val="12"/>
      <name val="Helv"/>
    </font>
    <font>
      <sz val="12"/>
      <color indexed="12"/>
      <name val="Arial"/>
      <family val="2"/>
    </font>
    <font>
      <b/>
      <sz val="1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indexed="13"/>
      </patternFill>
    </fill>
    <fill>
      <patternFill patternType="solid">
        <fgColor indexed="2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2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46">
    <xf numFmtId="0" fontId="0" fillId="0" borderId="0"/>
    <xf numFmtId="43" fontId="1" fillId="0" borderId="0" applyFont="0" applyFill="0" applyBorder="0" applyAlignment="0" applyProtection="0"/>
    <xf numFmtId="164" fontId="2" fillId="0" borderId="0">
      <alignment horizontal="left" wrapText="1"/>
    </xf>
    <xf numFmtId="9" fontId="1" fillId="0" borderId="0" applyFont="0" applyFill="0" applyBorder="0" applyAlignment="0" applyProtection="0"/>
    <xf numFmtId="164" fontId="6" fillId="0" borderId="0">
      <alignment horizontal="left" wrapText="1"/>
    </xf>
    <xf numFmtId="4" fontId="8" fillId="0" borderId="0" applyFont="0" applyFill="0" applyBorder="0" applyAlignment="0" applyProtection="0"/>
    <xf numFmtId="8" fontId="8" fillId="0" borderId="0" applyFont="0" applyFill="0" applyBorder="0" applyAlignment="0" applyProtection="0"/>
    <xf numFmtId="168" fontId="2" fillId="0" borderId="0">
      <alignment horizontal="left" wrapText="1"/>
    </xf>
    <xf numFmtId="9" fontId="8" fillId="0" borderId="0" applyFont="0" applyFill="0" applyBorder="0" applyAlignment="0" applyProtection="0"/>
    <xf numFmtId="164" fontId="2" fillId="0" borderId="0">
      <alignment horizontal="left" wrapText="1"/>
    </xf>
    <xf numFmtId="43" fontId="2" fillId="0" borderId="0" applyFont="0" applyFill="0" applyBorder="0" applyAlignment="0" applyProtection="0"/>
    <xf numFmtId="0" fontId="2" fillId="0" borderId="0"/>
    <xf numFmtId="175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75" fontId="2" fillId="0" borderId="0">
      <alignment horizontal="left" wrapText="1"/>
    </xf>
    <xf numFmtId="175" fontId="2" fillId="0" borderId="0">
      <alignment horizontal="left" wrapText="1"/>
    </xf>
    <xf numFmtId="175" fontId="2" fillId="0" borderId="0">
      <alignment horizontal="left" wrapText="1"/>
    </xf>
    <xf numFmtId="164" fontId="2" fillId="0" borderId="0">
      <alignment horizontal="left" wrapText="1"/>
    </xf>
    <xf numFmtId="172" fontId="2" fillId="0" borderId="0">
      <alignment horizontal="left" wrapText="1"/>
    </xf>
    <xf numFmtId="175" fontId="2" fillId="0" borderId="0">
      <alignment horizontal="left" wrapText="1"/>
    </xf>
    <xf numFmtId="175" fontId="2" fillId="0" borderId="0">
      <alignment horizontal="left" wrapText="1"/>
    </xf>
    <xf numFmtId="175" fontId="2" fillId="0" borderId="0">
      <alignment horizontal="left" wrapText="1"/>
    </xf>
    <xf numFmtId="172" fontId="2" fillId="0" borderId="0">
      <alignment horizontal="left" wrapText="1"/>
    </xf>
    <xf numFmtId="175" fontId="2" fillId="0" borderId="0">
      <alignment horizontal="left" wrapText="1"/>
    </xf>
    <xf numFmtId="175" fontId="2" fillId="0" borderId="0">
      <alignment horizontal="left" wrapText="1"/>
    </xf>
    <xf numFmtId="175" fontId="2" fillId="0" borderId="0">
      <alignment horizontal="left" wrapText="1"/>
    </xf>
    <xf numFmtId="0" fontId="3" fillId="0" borderId="0"/>
    <xf numFmtId="0" fontId="3" fillId="0" borderId="0"/>
    <xf numFmtId="164" fontId="2" fillId="0" borderId="0">
      <alignment horizontal="left" wrapText="1"/>
    </xf>
    <xf numFmtId="164" fontId="2" fillId="0" borderId="0">
      <alignment horizontal="left" wrapText="1"/>
    </xf>
    <xf numFmtId="175" fontId="2" fillId="0" borderId="0">
      <alignment horizontal="left" wrapText="1"/>
    </xf>
    <xf numFmtId="175" fontId="2" fillId="0" borderId="0">
      <alignment horizontal="left" wrapText="1"/>
    </xf>
    <xf numFmtId="175" fontId="2" fillId="0" borderId="0">
      <alignment horizontal="left" wrapText="1"/>
    </xf>
    <xf numFmtId="175" fontId="2" fillId="0" borderId="0">
      <alignment horizontal="left" wrapText="1"/>
    </xf>
    <xf numFmtId="175" fontId="2" fillId="0" borderId="0">
      <alignment horizontal="left" wrapText="1"/>
    </xf>
    <xf numFmtId="175" fontId="2" fillId="0" borderId="0">
      <alignment horizontal="left" wrapText="1"/>
    </xf>
    <xf numFmtId="175" fontId="2" fillId="0" borderId="0">
      <alignment horizontal="left" wrapText="1"/>
    </xf>
    <xf numFmtId="175" fontId="2" fillId="0" borderId="0">
      <alignment horizontal="left" wrapText="1"/>
    </xf>
    <xf numFmtId="175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75" fontId="2" fillId="0" borderId="0">
      <alignment horizontal="left" wrapText="1"/>
    </xf>
    <xf numFmtId="175" fontId="2" fillId="0" borderId="0">
      <alignment horizontal="left" wrapText="1"/>
    </xf>
    <xf numFmtId="175" fontId="2" fillId="0" borderId="0">
      <alignment horizontal="left" wrapText="1"/>
    </xf>
    <xf numFmtId="175" fontId="2" fillId="0" borderId="0">
      <alignment horizontal="left" wrapText="1"/>
    </xf>
    <xf numFmtId="175" fontId="2" fillId="0" borderId="0">
      <alignment horizontal="left" wrapText="1"/>
    </xf>
    <xf numFmtId="0" fontId="3" fillId="0" borderId="0"/>
    <xf numFmtId="175" fontId="2" fillId="0" borderId="0">
      <alignment horizontal="left" wrapText="1"/>
    </xf>
    <xf numFmtId="175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172" fontId="2" fillId="0" borderId="0">
      <alignment horizontal="left" wrapText="1"/>
    </xf>
    <xf numFmtId="175" fontId="2" fillId="0" borderId="0">
      <alignment horizontal="left" wrapText="1"/>
    </xf>
    <xf numFmtId="175" fontId="2" fillId="0" borderId="0">
      <alignment horizontal="left" wrapText="1"/>
    </xf>
    <xf numFmtId="175" fontId="2" fillId="0" borderId="0">
      <alignment horizontal="left" wrapText="1"/>
    </xf>
    <xf numFmtId="175" fontId="2" fillId="0" borderId="0">
      <alignment horizontal="left" wrapText="1"/>
    </xf>
    <xf numFmtId="175" fontId="2" fillId="0" borderId="0">
      <alignment horizontal="left" wrapText="1"/>
    </xf>
    <xf numFmtId="175" fontId="2" fillId="0" borderId="0">
      <alignment horizontal="left" wrapText="1"/>
    </xf>
    <xf numFmtId="164" fontId="2" fillId="0" borderId="0">
      <alignment horizontal="left" wrapText="1"/>
    </xf>
    <xf numFmtId="164" fontId="2" fillId="0" borderId="0">
      <alignment horizontal="left" wrapText="1"/>
    </xf>
    <xf numFmtId="0" fontId="3" fillId="0" borderId="0"/>
    <xf numFmtId="0" fontId="3" fillId="0" borderId="0"/>
    <xf numFmtId="164" fontId="2" fillId="0" borderId="0">
      <alignment horizontal="left" wrapText="1"/>
    </xf>
    <xf numFmtId="164" fontId="2" fillId="0" borderId="0">
      <alignment horizontal="left" wrapText="1"/>
    </xf>
    <xf numFmtId="175" fontId="2" fillId="0" borderId="0">
      <alignment horizontal="left" wrapText="1"/>
    </xf>
    <xf numFmtId="175" fontId="2" fillId="0" borderId="0">
      <alignment horizontal="left" wrapText="1"/>
    </xf>
    <xf numFmtId="175" fontId="2" fillId="0" borderId="0">
      <alignment horizontal="left" wrapText="1"/>
    </xf>
    <xf numFmtId="175" fontId="2" fillId="0" borderId="0">
      <alignment horizontal="left" wrapText="1"/>
    </xf>
    <xf numFmtId="175" fontId="2" fillId="0" borderId="0">
      <alignment horizontal="left" wrapText="1"/>
    </xf>
    <xf numFmtId="175" fontId="2" fillId="0" borderId="0">
      <alignment horizontal="left" wrapText="1"/>
    </xf>
    <xf numFmtId="175" fontId="2" fillId="0" borderId="0">
      <alignment horizontal="left" wrapText="1"/>
    </xf>
    <xf numFmtId="175" fontId="2" fillId="0" borderId="0">
      <alignment horizontal="left" wrapText="1"/>
    </xf>
    <xf numFmtId="175" fontId="2" fillId="0" borderId="0">
      <alignment horizontal="left" wrapText="1"/>
    </xf>
    <xf numFmtId="175" fontId="2" fillId="0" borderId="0">
      <alignment horizontal="left" wrapText="1"/>
    </xf>
    <xf numFmtId="175" fontId="2" fillId="0" borderId="0">
      <alignment horizontal="left" wrapText="1"/>
    </xf>
    <xf numFmtId="175" fontId="2" fillId="0" borderId="0">
      <alignment horizontal="left" wrapText="1"/>
    </xf>
    <xf numFmtId="0" fontId="3" fillId="0" borderId="0"/>
    <xf numFmtId="176" fontId="13" fillId="0" borderId="0" applyFill="0" applyBorder="0" applyAlignment="0"/>
    <xf numFmtId="41" fontId="2" fillId="2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16" fillId="0" borderId="0" applyFont="0" applyFill="0" applyBorder="0" applyAlignment="0" applyProtection="0"/>
    <xf numFmtId="0" fontId="15" fillId="0" borderId="0"/>
    <xf numFmtId="0" fontId="15" fillId="0" borderId="0"/>
    <xf numFmtId="0" fontId="17" fillId="0" borderId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177" fontId="19" fillId="0" borderId="0">
      <protection locked="0"/>
    </xf>
    <xf numFmtId="0" fontId="17" fillId="0" borderId="0"/>
    <xf numFmtId="0" fontId="20" fillId="0" borderId="0" applyNumberFormat="0" applyAlignment="0">
      <alignment horizontal="left"/>
    </xf>
    <xf numFmtId="0" fontId="21" fillId="0" borderId="0" applyNumberFormat="0" applyAlignment="0"/>
    <xf numFmtId="0" fontId="15" fillId="0" borderId="0"/>
    <xf numFmtId="0" fontId="17" fillId="0" borderId="0"/>
    <xf numFmtId="0" fontId="15" fillId="0" borderId="0"/>
    <xf numFmtId="0" fontId="17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4" fontId="2" fillId="0" borderId="0"/>
    <xf numFmtId="179" fontId="2" fillId="0" borderId="0" applyFont="0" applyFill="0" applyBorder="0" applyAlignment="0" applyProtection="0">
      <alignment horizontal="left" wrapText="1"/>
    </xf>
    <xf numFmtId="2" fontId="16" fillId="0" borderId="0" applyFont="0" applyFill="0" applyBorder="0" applyAlignment="0" applyProtection="0"/>
    <xf numFmtId="0" fontId="15" fillId="0" borderId="0"/>
    <xf numFmtId="38" fontId="10" fillId="2" borderId="0" applyNumberFormat="0" applyBorder="0" applyAlignment="0" applyProtection="0"/>
    <xf numFmtId="38" fontId="10" fillId="2" borderId="0" applyNumberFormat="0" applyBorder="0" applyAlignment="0" applyProtection="0"/>
    <xf numFmtId="38" fontId="10" fillId="2" borderId="0" applyNumberFormat="0" applyBorder="0" applyAlignment="0" applyProtection="0"/>
    <xf numFmtId="38" fontId="10" fillId="2" borderId="0" applyNumberFormat="0" applyBorder="0" applyAlignment="0" applyProtection="0"/>
    <xf numFmtId="0" fontId="22" fillId="0" borderId="13" applyNumberFormat="0" applyAlignment="0" applyProtection="0">
      <alignment horizontal="left"/>
    </xf>
    <xf numFmtId="0" fontId="22" fillId="0" borderId="4">
      <alignment horizontal="left"/>
    </xf>
    <xf numFmtId="38" fontId="23" fillId="0" borderId="0"/>
    <xf numFmtId="40" fontId="23" fillId="0" borderId="0"/>
    <xf numFmtId="10" fontId="10" fillId="3" borderId="12" applyNumberFormat="0" applyBorder="0" applyAlignment="0" applyProtection="0"/>
    <xf numFmtId="10" fontId="10" fillId="3" borderId="12" applyNumberFormat="0" applyBorder="0" applyAlignment="0" applyProtection="0"/>
    <xf numFmtId="10" fontId="10" fillId="3" borderId="12" applyNumberFormat="0" applyBorder="0" applyAlignment="0" applyProtection="0"/>
    <xf numFmtId="10" fontId="10" fillId="3" borderId="12" applyNumberFormat="0" applyBorder="0" applyAlignment="0" applyProtection="0"/>
    <xf numFmtId="41" fontId="12" fillId="4" borderId="14">
      <alignment horizontal="left"/>
      <protection locked="0"/>
    </xf>
    <xf numFmtId="10" fontId="12" fillId="4" borderId="14">
      <alignment horizontal="right"/>
      <protection locked="0"/>
    </xf>
    <xf numFmtId="41" fontId="12" fillId="4" borderId="14">
      <alignment horizontal="left"/>
      <protection locked="0"/>
    </xf>
    <xf numFmtId="0" fontId="10" fillId="2" borderId="0"/>
    <xf numFmtId="3" fontId="24" fillId="0" borderId="0" applyFill="0" applyBorder="0" applyAlignment="0" applyProtection="0"/>
    <xf numFmtId="44" fontId="25" fillId="0" borderId="15" applyNumberFormat="0" applyFont="0" applyAlignment="0">
      <alignment horizontal="center"/>
    </xf>
    <xf numFmtId="44" fontId="25" fillId="0" borderId="15" applyNumberFormat="0" applyFont="0" applyAlignment="0">
      <alignment horizontal="center"/>
    </xf>
    <xf numFmtId="44" fontId="25" fillId="0" borderId="15" applyNumberFormat="0" applyFont="0" applyAlignment="0">
      <alignment horizontal="center"/>
    </xf>
    <xf numFmtId="44" fontId="25" fillId="0" borderId="15" applyNumberFormat="0" applyFont="0" applyAlignment="0">
      <alignment horizontal="center"/>
    </xf>
    <xf numFmtId="44" fontId="25" fillId="0" borderId="16" applyNumberFormat="0" applyFont="0" applyAlignment="0">
      <alignment horizontal="center"/>
    </xf>
    <xf numFmtId="44" fontId="25" fillId="0" borderId="16" applyNumberFormat="0" applyFont="0" applyAlignment="0">
      <alignment horizontal="center"/>
    </xf>
    <xf numFmtId="44" fontId="25" fillId="0" borderId="16" applyNumberFormat="0" applyFont="0" applyAlignment="0">
      <alignment horizontal="center"/>
    </xf>
    <xf numFmtId="44" fontId="25" fillId="0" borderId="16" applyNumberFormat="0" applyFont="0" applyAlignment="0">
      <alignment horizontal="center"/>
    </xf>
    <xf numFmtId="37" fontId="26" fillId="0" borderId="0"/>
    <xf numFmtId="180" fontId="6" fillId="0" borderId="0"/>
    <xf numFmtId="181" fontId="2" fillId="0" borderId="0"/>
    <xf numFmtId="181" fontId="2" fillId="0" borderId="0"/>
    <xf numFmtId="181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17" fillId="0" borderId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41" fontId="2" fillId="5" borderId="14"/>
    <xf numFmtId="0" fontId="27" fillId="0" borderId="0" applyNumberFormat="0" applyFont="0" applyFill="0" applyBorder="0" applyAlignment="0" applyProtection="0">
      <alignment horizontal="left"/>
    </xf>
    <xf numFmtId="15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0" fontId="28" fillId="0" borderId="17">
      <alignment horizontal="center"/>
    </xf>
    <xf numFmtId="3" fontId="27" fillId="0" borderId="0" applyFont="0" applyFill="0" applyBorder="0" applyAlignment="0" applyProtection="0"/>
    <xf numFmtId="0" fontId="27" fillId="6" borderId="0" applyNumberFormat="0" applyFont="0" applyBorder="0" applyAlignment="0" applyProtection="0"/>
    <xf numFmtId="0" fontId="17" fillId="0" borderId="0"/>
    <xf numFmtId="3" fontId="29" fillId="0" borderId="0" applyFill="0" applyBorder="0" applyAlignment="0" applyProtection="0"/>
    <xf numFmtId="0" fontId="30" fillId="0" borderId="0"/>
    <xf numFmtId="3" fontId="29" fillId="0" borderId="0" applyFill="0" applyBorder="0" applyAlignment="0" applyProtection="0"/>
    <xf numFmtId="42" fontId="2" fillId="3" borderId="0"/>
    <xf numFmtId="42" fontId="2" fillId="3" borderId="6">
      <alignment vertical="center"/>
    </xf>
    <xf numFmtId="0" fontId="25" fillId="3" borderId="10" applyNumberFormat="0">
      <alignment horizontal="center" vertical="center" wrapText="1"/>
    </xf>
    <xf numFmtId="10" fontId="2" fillId="3" borderId="0"/>
    <xf numFmtId="182" fontId="2" fillId="3" borderId="0"/>
    <xf numFmtId="165" fontId="23" fillId="0" borderId="0" applyBorder="0" applyAlignment="0"/>
    <xf numFmtId="42" fontId="2" fillId="3" borderId="11">
      <alignment horizontal="left"/>
    </xf>
    <xf numFmtId="182" fontId="31" fillId="3" borderId="11">
      <alignment horizontal="left"/>
    </xf>
    <xf numFmtId="165" fontId="23" fillId="0" borderId="0" applyBorder="0" applyAlignment="0"/>
    <xf numFmtId="14" fontId="6" fillId="0" borderId="0" applyNumberFormat="0" applyFill="0" applyBorder="0" applyAlignment="0" applyProtection="0">
      <alignment horizontal="left"/>
    </xf>
    <xf numFmtId="173" fontId="2" fillId="0" borderId="0" applyFont="0" applyFill="0" applyAlignment="0">
      <alignment horizontal="right"/>
    </xf>
    <xf numFmtId="39" fontId="2" fillId="7" borderId="0"/>
    <xf numFmtId="38" fontId="10" fillId="0" borderId="18"/>
    <xf numFmtId="38" fontId="10" fillId="0" borderId="18"/>
    <xf numFmtId="38" fontId="10" fillId="0" borderId="18"/>
    <xf numFmtId="38" fontId="10" fillId="0" borderId="18"/>
    <xf numFmtId="38" fontId="23" fillId="0" borderId="11"/>
    <xf numFmtId="39" fontId="6" fillId="8" borderId="0"/>
    <xf numFmtId="164" fontId="2" fillId="0" borderId="0">
      <alignment horizontal="left" wrapText="1"/>
    </xf>
    <xf numFmtId="164" fontId="2" fillId="0" borderId="0">
      <alignment horizontal="left" wrapText="1"/>
    </xf>
    <xf numFmtId="168" fontId="2" fillId="0" borderId="0">
      <alignment horizontal="left" wrapText="1"/>
    </xf>
    <xf numFmtId="40" fontId="32" fillId="0" borderId="0" applyBorder="0">
      <alignment horizontal="right"/>
    </xf>
    <xf numFmtId="41" fontId="11" fillId="3" borderId="0">
      <alignment horizontal="left"/>
    </xf>
    <xf numFmtId="183" fontId="33" fillId="3" borderId="0">
      <alignment horizontal="left" vertical="center"/>
    </xf>
    <xf numFmtId="0" fontId="25" fillId="3" borderId="0">
      <alignment horizontal="left" wrapText="1"/>
    </xf>
    <xf numFmtId="0" fontId="34" fillId="0" borderId="0">
      <alignment horizontal="left" vertical="center"/>
    </xf>
    <xf numFmtId="0" fontId="17" fillId="0" borderId="19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" fontId="8" fillId="0" borderId="0" applyFont="0" applyFill="0" applyBorder="0" applyAlignment="0" applyProtection="0"/>
    <xf numFmtId="8" fontId="8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22"/>
    <xf numFmtId="0" fontId="50" fillId="9" borderId="22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40" fontId="51" fillId="3" borderId="0">
      <alignment horizontal="right"/>
    </xf>
    <xf numFmtId="0" fontId="52" fillId="10" borderId="0">
      <alignment horizontal="center"/>
    </xf>
    <xf numFmtId="0" fontId="53" fillId="11" borderId="23"/>
    <xf numFmtId="0" fontId="54" fillId="0" borderId="0" applyBorder="0">
      <alignment horizontal="centerContinuous"/>
    </xf>
    <xf numFmtId="0" fontId="55" fillId="0" borderId="0" applyBorder="0">
      <alignment horizontal="centerContinuous"/>
    </xf>
    <xf numFmtId="0" fontId="49" fillId="0" borderId="0"/>
    <xf numFmtId="0" fontId="49" fillId="0" borderId="0"/>
    <xf numFmtId="0" fontId="49" fillId="0" borderId="22"/>
    <xf numFmtId="0" fontId="49" fillId="0" borderId="22"/>
    <xf numFmtId="0" fontId="56" fillId="12" borderId="0"/>
    <xf numFmtId="0" fontId="56" fillId="12" borderId="0"/>
    <xf numFmtId="0" fontId="50" fillId="0" borderId="24"/>
    <xf numFmtId="0" fontId="50" fillId="0" borderId="24"/>
    <xf numFmtId="0" fontId="50" fillId="0" borderId="22"/>
    <xf numFmtId="0" fontId="50" fillId="0" borderId="22"/>
    <xf numFmtId="9" fontId="2" fillId="0" borderId="0" applyFont="0" applyFill="0" applyBorder="0" applyAlignment="0" applyProtection="0"/>
    <xf numFmtId="0" fontId="43" fillId="0" borderId="0"/>
  </cellStyleXfs>
  <cellXfs count="964">
    <xf numFmtId="0" fontId="0" fillId="0" borderId="0" xfId="0"/>
    <xf numFmtId="0" fontId="3" fillId="0" borderId="0" xfId="2" applyNumberFormat="1" applyFont="1" applyAlignment="1"/>
    <xf numFmtId="0" fontId="4" fillId="0" borderId="0" xfId="0" applyFont="1"/>
    <xf numFmtId="0" fontId="3" fillId="0" borderId="0" xfId="2" applyNumberFormat="1" applyFont="1" applyAlignment="1" applyProtection="1">
      <alignment horizontal="left"/>
    </xf>
    <xf numFmtId="0" fontId="3" fillId="0" borderId="0" xfId="2" applyNumberFormat="1" applyFont="1" applyAlignment="1" applyProtection="1"/>
    <xf numFmtId="0" fontId="5" fillId="0" borderId="0" xfId="2" applyNumberFormat="1" applyFont="1" applyAlignment="1" applyProtection="1">
      <alignment horizontal="left"/>
    </xf>
    <xf numFmtId="0" fontId="5" fillId="0" borderId="0" xfId="2" applyNumberFormat="1" applyFont="1" applyAlignment="1"/>
    <xf numFmtId="0" fontId="5" fillId="0" borderId="0" xfId="2" applyNumberFormat="1" applyFont="1" applyAlignment="1" applyProtection="1"/>
    <xf numFmtId="0" fontId="5" fillId="0" borderId="0" xfId="2" applyNumberFormat="1" applyFont="1" applyBorder="1" applyAlignment="1" applyProtection="1">
      <alignment horizontal="left"/>
    </xf>
    <xf numFmtId="0" fontId="4" fillId="0" borderId="0" xfId="0" quotePrefix="1" applyFont="1" applyAlignment="1">
      <alignment horizontal="center"/>
    </xf>
    <xf numFmtId="0" fontId="3" fillId="0" borderId="0" xfId="2" quotePrefix="1" applyNumberFormat="1" applyFont="1" applyAlignment="1" applyProtection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2" xfId="2" applyNumberFormat="1" applyFont="1" applyBorder="1" applyAlignment="1">
      <alignment horizontal="center"/>
    </xf>
    <xf numFmtId="0" fontId="4" fillId="0" borderId="3" xfId="0" quotePrefix="1" applyFont="1" applyBorder="1" applyAlignment="1">
      <alignment horizontal="center"/>
    </xf>
    <xf numFmtId="0" fontId="3" fillId="0" borderId="3" xfId="2" quotePrefix="1" applyNumberFormat="1" applyFont="1" applyBorder="1" applyAlignment="1" applyProtection="1">
      <alignment horizontal="center"/>
    </xf>
    <xf numFmtId="165" fontId="4" fillId="0" borderId="0" xfId="1" applyNumberFormat="1" applyFont="1"/>
    <xf numFmtId="0" fontId="4" fillId="0" borderId="3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3" fillId="0" borderId="0" xfId="2" applyNumberFormat="1" applyFont="1" applyBorder="1" applyAlignment="1">
      <alignment horizontal="center"/>
    </xf>
    <xf numFmtId="0" fontId="4" fillId="0" borderId="0" xfId="0" quotePrefix="1" applyFont="1" applyBorder="1" applyAlignment="1">
      <alignment horizontal="center"/>
    </xf>
    <xf numFmtId="0" fontId="3" fillId="0" borderId="0" xfId="2" applyNumberFormat="1" applyFont="1" applyBorder="1" applyAlignment="1" applyProtection="1">
      <alignment horizontal="left"/>
    </xf>
    <xf numFmtId="165" fontId="4" fillId="0" borderId="0" xfId="1" applyNumberFormat="1" applyFont="1" applyBorder="1"/>
    <xf numFmtId="0" fontId="3" fillId="0" borderId="0" xfId="2" applyNumberFormat="1" applyFont="1" applyBorder="1" applyAlignment="1" applyProtection="1"/>
    <xf numFmtId="0" fontId="3" fillId="0" borderId="0" xfId="2" applyNumberFormat="1" applyFont="1" applyBorder="1" applyAlignment="1"/>
    <xf numFmtId="0" fontId="5" fillId="0" borderId="0" xfId="2" applyNumberFormat="1" applyFont="1" applyBorder="1" applyAlignment="1"/>
    <xf numFmtId="41" fontId="3" fillId="0" borderId="0" xfId="0" applyNumberFormat="1" applyFont="1" applyFill="1" applyBorder="1" applyAlignment="1" applyProtection="1">
      <protection locked="0"/>
    </xf>
    <xf numFmtId="0" fontId="5" fillId="0" borderId="0" xfId="2" applyNumberFormat="1" applyFont="1" applyBorder="1" applyAlignment="1" applyProtection="1"/>
    <xf numFmtId="42" fontId="4" fillId="0" borderId="0" xfId="1" applyNumberFormat="1" applyFont="1" applyBorder="1"/>
    <xf numFmtId="42" fontId="4" fillId="0" borderId="0" xfId="0" applyNumberFormat="1" applyFont="1" applyBorder="1"/>
    <xf numFmtId="41" fontId="4" fillId="0" borderId="0" xfId="0" applyNumberFormat="1" applyFont="1" applyBorder="1"/>
    <xf numFmtId="42" fontId="4" fillId="0" borderId="4" xfId="1" applyNumberFormat="1" applyFont="1" applyBorder="1"/>
    <xf numFmtId="42" fontId="4" fillId="0" borderId="4" xfId="0" applyNumberFormat="1" applyFont="1" applyBorder="1"/>
    <xf numFmtId="42" fontId="4" fillId="0" borderId="6" xfId="1" applyNumberFormat="1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quotePrefix="1" applyFont="1" applyBorder="1" applyAlignment="1">
      <alignment horizontal="center"/>
    </xf>
    <xf numFmtId="0" fontId="5" fillId="0" borderId="0" xfId="4" applyNumberFormat="1" applyFont="1" applyFill="1" applyAlignment="1">
      <alignment horizontal="centerContinuous"/>
    </xf>
    <xf numFmtId="0" fontId="3" fillId="0" borderId="0" xfId="4" applyNumberFormat="1" applyFont="1" applyFill="1" applyAlignment="1" applyProtection="1">
      <protection locked="0"/>
    </xf>
    <xf numFmtId="0" fontId="5" fillId="0" borderId="10" xfId="4" applyNumberFormat="1" applyFont="1" applyFill="1" applyBorder="1" applyAlignment="1" applyProtection="1">
      <alignment horizontal="center"/>
      <protection locked="0"/>
    </xf>
    <xf numFmtId="0" fontId="3" fillId="0" borderId="0" xfId="4" applyNumberFormat="1" applyFont="1" applyFill="1" applyBorder="1" applyAlignment="1"/>
    <xf numFmtId="41" fontId="3" fillId="0" borderId="0" xfId="4" applyNumberFormat="1" applyFont="1" applyFill="1" applyBorder="1" applyAlignment="1" applyProtection="1">
      <protection locked="0"/>
    </xf>
    <xf numFmtId="41" fontId="3" fillId="0" borderId="0" xfId="4" applyNumberFormat="1" applyFont="1" applyFill="1" applyAlignment="1" applyProtection="1">
      <protection locked="0"/>
    </xf>
    <xf numFmtId="41" fontId="3" fillId="0" borderId="0" xfId="4" applyNumberFormat="1" applyFont="1" applyFill="1" applyBorder="1" applyAlignment="1"/>
    <xf numFmtId="10" fontId="3" fillId="0" borderId="0" xfId="4" applyNumberFormat="1" applyFont="1" applyFill="1" applyBorder="1" applyAlignment="1"/>
    <xf numFmtId="0" fontId="5" fillId="0" borderId="0" xfId="4" applyNumberFormat="1" applyFont="1" applyFill="1" applyAlignment="1" applyProtection="1">
      <alignment horizontal="centerContinuous"/>
      <protection locked="0"/>
    </xf>
    <xf numFmtId="15" fontId="5" fillId="0" borderId="0" xfId="4" applyNumberFormat="1" applyFont="1" applyFill="1" applyAlignment="1">
      <alignment horizontal="centerContinuous"/>
    </xf>
    <xf numFmtId="18" fontId="5" fillId="0" borderId="0" xfId="4" applyNumberFormat="1" applyFont="1" applyFill="1" applyAlignment="1">
      <alignment horizontal="centerContinuous"/>
    </xf>
    <xf numFmtId="0" fontId="5" fillId="0" borderId="0" xfId="4" applyNumberFormat="1" applyFont="1" applyFill="1" applyAlignment="1"/>
    <xf numFmtId="0" fontId="5" fillId="0" borderId="0" xfId="4" applyNumberFormat="1" applyFont="1" applyFill="1" applyAlignment="1" applyProtection="1">
      <alignment horizontal="center"/>
      <protection locked="0"/>
    </xf>
    <xf numFmtId="0" fontId="5" fillId="0" borderId="0" xfId="4" applyNumberFormat="1" applyFont="1" applyFill="1" applyAlignment="1">
      <alignment horizontal="center"/>
    </xf>
    <xf numFmtId="0" fontId="5" fillId="0" borderId="10" xfId="4" applyNumberFormat="1" applyFont="1" applyFill="1" applyBorder="1" applyAlignment="1"/>
    <xf numFmtId="0" fontId="5" fillId="0" borderId="10" xfId="4" applyNumberFormat="1" applyFont="1" applyFill="1" applyBorder="1" applyAlignment="1">
      <alignment horizontal="center"/>
    </xf>
    <xf numFmtId="0" fontId="3" fillId="0" borderId="0" xfId="4" applyNumberFormat="1" applyFont="1" applyFill="1" applyBorder="1" applyAlignment="1" applyProtection="1">
      <alignment horizontal="center"/>
      <protection locked="0"/>
    </xf>
    <xf numFmtId="0" fontId="5" fillId="0" borderId="0" xfId="4" applyNumberFormat="1" applyFont="1" applyFill="1" applyBorder="1" applyAlignment="1"/>
    <xf numFmtId="0" fontId="5" fillId="0" borderId="0" xfId="4" applyNumberFormat="1" applyFont="1" applyFill="1" applyBorder="1" applyAlignment="1">
      <alignment horizontal="center"/>
    </xf>
    <xf numFmtId="0" fontId="3" fillId="0" borderId="0" xfId="4" applyNumberFormat="1" applyFont="1" applyFill="1" applyAlignment="1">
      <alignment horizontal="center"/>
    </xf>
    <xf numFmtId="0" fontId="3" fillId="0" borderId="0" xfId="4" applyNumberFormat="1" applyFont="1" applyFill="1" applyAlignment="1"/>
    <xf numFmtId="0" fontId="3" fillId="0" borderId="0" xfId="4" applyNumberFormat="1" applyFont="1" applyFill="1" applyAlignment="1" applyProtection="1">
      <alignment horizontal="center"/>
      <protection locked="0"/>
    </xf>
    <xf numFmtId="0" fontId="3" fillId="0" borderId="0" xfId="4" applyNumberFormat="1" applyFont="1" applyFill="1" applyAlignment="1">
      <alignment horizontal="left" indent="1"/>
    </xf>
    <xf numFmtId="164" fontId="3" fillId="0" borderId="0" xfId="9" applyFont="1" applyFill="1" applyBorder="1" applyAlignment="1">
      <alignment horizontal="left" indent="1"/>
    </xf>
    <xf numFmtId="3" fontId="3" fillId="0" borderId="0" xfId="5" applyNumberFormat="1" applyFont="1" applyFill="1" applyBorder="1" applyAlignment="1"/>
    <xf numFmtId="42" fontId="3" fillId="0" borderId="0" xfId="4" applyNumberFormat="1" applyFont="1" applyFill="1" applyBorder="1" applyAlignment="1"/>
    <xf numFmtId="164" fontId="3" fillId="0" borderId="0" xfId="9" applyFont="1" applyFill="1" applyAlignment="1">
      <alignment horizontal="left" indent="1"/>
    </xf>
    <xf numFmtId="41" fontId="3" fillId="0" borderId="0" xfId="5" applyNumberFormat="1" applyFont="1" applyFill="1" applyAlignment="1">
      <alignment wrapText="1"/>
    </xf>
    <xf numFmtId="41" fontId="3" fillId="0" borderId="0" xfId="9" applyNumberFormat="1" applyFont="1" applyFill="1" applyBorder="1" applyAlignment="1"/>
    <xf numFmtId="4" fontId="3" fillId="0" borderId="0" xfId="5" applyFont="1" applyFill="1" applyAlignment="1"/>
    <xf numFmtId="3" fontId="3" fillId="0" borderId="0" xfId="5" applyNumberFormat="1" applyFont="1" applyFill="1" applyAlignment="1"/>
    <xf numFmtId="0" fontId="3" fillId="0" borderId="0" xfId="4" applyNumberFormat="1" applyFont="1" applyFill="1" applyAlignment="1">
      <alignment horizontal="left" indent="3"/>
    </xf>
    <xf numFmtId="41" fontId="3" fillId="0" borderId="11" xfId="4" applyNumberFormat="1" applyFont="1" applyFill="1" applyBorder="1" applyAlignment="1"/>
    <xf numFmtId="0" fontId="3" fillId="0" borderId="11" xfId="4" applyNumberFormat="1" applyFont="1" applyFill="1" applyBorder="1" applyAlignment="1"/>
    <xf numFmtId="42" fontId="3" fillId="0" borderId="0" xfId="4" applyNumberFormat="1" applyFont="1" applyFill="1" applyAlignment="1"/>
    <xf numFmtId="41" fontId="3" fillId="0" borderId="0" xfId="5" applyNumberFormat="1" applyFont="1" applyFill="1" applyAlignment="1"/>
    <xf numFmtId="3" fontId="3" fillId="0" borderId="11" xfId="5" applyNumberFormat="1" applyFont="1" applyFill="1" applyBorder="1" applyAlignment="1"/>
    <xf numFmtId="41" fontId="3" fillId="0" borderId="0" xfId="4" applyNumberFormat="1" applyFont="1" applyFill="1" applyAlignment="1"/>
    <xf numFmtId="0" fontId="3" fillId="0" borderId="0" xfId="4" applyNumberFormat="1" applyFont="1" applyFill="1" applyAlignment="1">
      <alignment horizontal="left"/>
    </xf>
    <xf numFmtId="41" fontId="3" fillId="0" borderId="10" xfId="9" applyNumberFormat="1" applyFont="1" applyFill="1" applyBorder="1" applyAlignment="1"/>
    <xf numFmtId="42" fontId="3" fillId="0" borderId="0" xfId="6" applyNumberFormat="1" applyFont="1" applyFill="1" applyBorder="1" applyAlignment="1"/>
    <xf numFmtId="42" fontId="3" fillId="0" borderId="0" xfId="6" applyNumberFormat="1" applyFont="1" applyFill="1" applyAlignment="1">
      <alignment horizontal="right"/>
    </xf>
    <xf numFmtId="41" fontId="3" fillId="0" borderId="10" xfId="4" applyNumberFormat="1" applyFont="1" applyFill="1" applyBorder="1" applyAlignment="1">
      <alignment horizontal="right"/>
    </xf>
    <xf numFmtId="0" fontId="3" fillId="0" borderId="0" xfId="4" quotePrefix="1" applyNumberFormat="1" applyFont="1" applyFill="1" applyAlignment="1">
      <alignment horizontal="left"/>
    </xf>
    <xf numFmtId="37" fontId="3" fillId="0" borderId="11" xfId="4" applyNumberFormat="1" applyFont="1" applyFill="1" applyBorder="1" applyAlignment="1"/>
    <xf numFmtId="37" fontId="3" fillId="0" borderId="0" xfId="4" applyNumberFormat="1" applyFont="1" applyFill="1" applyBorder="1" applyAlignment="1"/>
    <xf numFmtId="41" fontId="3" fillId="0" borderId="0" xfId="6" applyNumberFormat="1" applyFont="1" applyFill="1" applyBorder="1" applyAlignment="1"/>
    <xf numFmtId="37" fontId="3" fillId="0" borderId="0" xfId="4" applyNumberFormat="1" applyFont="1" applyFill="1" applyAlignment="1"/>
    <xf numFmtId="9" fontId="3" fillId="0" borderId="0" xfId="4" applyNumberFormat="1" applyFont="1" applyFill="1" applyAlignment="1">
      <alignment horizontal="right"/>
    </xf>
    <xf numFmtId="42" fontId="3" fillId="0" borderId="6" xfId="6" applyNumberFormat="1" applyFont="1" applyFill="1" applyBorder="1" applyAlignment="1"/>
    <xf numFmtId="164" fontId="3" fillId="0" borderId="0" xfId="4" applyFont="1" applyFill="1" applyAlignment="1">
      <alignment horizontal="left"/>
    </xf>
    <xf numFmtId="49" fontId="3" fillId="0" borderId="0" xfId="4" applyNumberFormat="1" applyFont="1" applyFill="1" applyAlignment="1">
      <alignment horizontal="left" indent="1"/>
    </xf>
    <xf numFmtId="0" fontId="4" fillId="0" borderId="10" xfId="0" applyFont="1" applyBorder="1"/>
    <xf numFmtId="0" fontId="3" fillId="0" borderId="0" xfId="4" applyNumberFormat="1" applyFont="1" applyAlignment="1"/>
    <xf numFmtId="0" fontId="5" fillId="0" borderId="0" xfId="4" applyNumberFormat="1" applyFont="1" applyFill="1" applyAlignment="1">
      <alignment horizontal="right"/>
    </xf>
    <xf numFmtId="0" fontId="3" fillId="0" borderId="0" xfId="4" applyNumberFormat="1" applyFont="1" applyFill="1" applyAlignment="1">
      <alignment horizontal="centerContinuous"/>
    </xf>
    <xf numFmtId="0" fontId="5" fillId="0" borderId="10" xfId="4" applyNumberFormat="1" applyFont="1" applyFill="1" applyBorder="1" applyAlignment="1">
      <alignment horizontal="left"/>
    </xf>
    <xf numFmtId="0" fontId="3" fillId="0" borderId="10" xfId="4" applyNumberFormat="1" applyFont="1" applyFill="1" applyBorder="1" applyAlignment="1">
      <alignment horizontal="center"/>
    </xf>
    <xf numFmtId="0" fontId="3" fillId="0" borderId="0" xfId="4" applyNumberFormat="1" applyFont="1" applyFill="1" applyAlignment="1">
      <alignment horizontal="fill"/>
    </xf>
    <xf numFmtId="10" fontId="3" fillId="0" borderId="0" xfId="4" applyNumberFormat="1" applyFont="1" applyFill="1" applyAlignment="1"/>
    <xf numFmtId="10" fontId="3" fillId="0" borderId="11" xfId="4" applyNumberFormat="1" applyFont="1" applyFill="1" applyBorder="1" applyAlignment="1"/>
    <xf numFmtId="10" fontId="3" fillId="0" borderId="10" xfId="4" applyNumberFormat="1" applyFont="1" applyFill="1" applyBorder="1" applyAlignment="1"/>
    <xf numFmtId="0" fontId="5" fillId="0" borderId="0" xfId="4" quotePrefix="1" applyNumberFormat="1" applyFont="1" applyFill="1" applyAlignment="1">
      <alignment horizontal="left"/>
    </xf>
    <xf numFmtId="0" fontId="5" fillId="0" borderId="10" xfId="4" applyNumberFormat="1" applyFont="1" applyFill="1" applyBorder="1" applyAlignment="1" applyProtection="1">
      <protection locked="0"/>
    </xf>
    <xf numFmtId="164" fontId="3" fillId="0" borderId="0" xfId="4" applyNumberFormat="1" applyFont="1" applyFill="1" applyAlignment="1"/>
    <xf numFmtId="168" fontId="3" fillId="0" borderId="0" xfId="4" applyNumberFormat="1" applyFont="1" applyFill="1" applyAlignment="1"/>
    <xf numFmtId="164" fontId="3" fillId="0" borderId="10" xfId="4" applyNumberFormat="1" applyFont="1" applyFill="1" applyBorder="1" applyAlignment="1"/>
    <xf numFmtId="164" fontId="3" fillId="0" borderId="0" xfId="4" applyNumberFormat="1" applyFont="1" applyFill="1" applyBorder="1" applyAlignment="1"/>
    <xf numFmtId="9" fontId="3" fillId="0" borderId="0" xfId="4" applyNumberFormat="1" applyFont="1" applyFill="1" applyAlignment="1"/>
    <xf numFmtId="164" fontId="3" fillId="0" borderId="12" xfId="4" applyNumberFormat="1" applyFont="1" applyFill="1" applyBorder="1" applyAlignment="1" applyProtection="1">
      <protection locked="0"/>
    </xf>
    <xf numFmtId="0" fontId="5" fillId="0" borderId="0" xfId="4" applyNumberFormat="1" applyFont="1" applyFill="1" applyBorder="1" applyAlignment="1" applyProtection="1">
      <alignment horizontal="center"/>
      <protection locked="0"/>
    </xf>
    <xf numFmtId="0" fontId="3" fillId="0" borderId="0" xfId="4" applyNumberFormat="1" applyFont="1" applyFill="1" applyBorder="1" applyAlignment="1">
      <alignment horizontal="center"/>
    </xf>
    <xf numFmtId="0" fontId="5" fillId="0" borderId="0" xfId="4" applyNumberFormat="1" applyFont="1" applyFill="1" applyBorder="1" applyAlignment="1">
      <alignment horizontal="right"/>
    </xf>
    <xf numFmtId="0" fontId="3" fillId="0" borderId="0" xfId="4" applyNumberFormat="1" applyFont="1" applyFill="1" applyAlignment="1" applyProtection="1">
      <alignment horizontal="centerContinuous"/>
      <protection locked="0"/>
    </xf>
    <xf numFmtId="0" fontId="3" fillId="0" borderId="10" xfId="4" applyNumberFormat="1" applyFont="1" applyFill="1" applyBorder="1" applyAlignment="1"/>
    <xf numFmtId="167" fontId="3" fillId="0" borderId="0" xfId="4" applyNumberFormat="1" applyFont="1" applyFill="1" applyAlignment="1"/>
    <xf numFmtId="174" fontId="3" fillId="0" borderId="10" xfId="4" applyNumberFormat="1" applyFont="1" applyFill="1" applyBorder="1" applyAlignment="1" applyProtection="1">
      <protection locked="0"/>
    </xf>
    <xf numFmtId="0" fontId="3" fillId="0" borderId="0" xfId="4" quotePrefix="1" applyNumberFormat="1" applyFont="1" applyFill="1" applyAlignment="1">
      <alignment horizontal="left" indent="1"/>
    </xf>
    <xf numFmtId="42" fontId="3" fillId="0" borderId="0" xfId="4" applyNumberFormat="1" applyFont="1" applyFill="1" applyAlignment="1">
      <alignment horizontal="right"/>
    </xf>
    <xf numFmtId="169" fontId="3" fillId="0" borderId="0" xfId="8" applyNumberFormat="1" applyFont="1" applyFill="1" applyBorder="1" applyAlignment="1">
      <alignment horizontal="right"/>
    </xf>
    <xf numFmtId="169" fontId="3" fillId="0" borderId="10" xfId="8" applyNumberFormat="1" applyFont="1" applyFill="1" applyBorder="1" applyAlignment="1">
      <alignment horizontal="right"/>
    </xf>
    <xf numFmtId="170" fontId="3" fillId="0" borderId="0" xfId="4" quotePrefix="1" applyNumberFormat="1" applyFont="1" applyFill="1" applyAlignment="1">
      <alignment horizontal="left"/>
    </xf>
    <xf numFmtId="165" fontId="3" fillId="0" borderId="0" xfId="5" applyNumberFormat="1" applyFont="1" applyFill="1" applyAlignment="1"/>
    <xf numFmtId="165" fontId="3" fillId="0" borderId="0" xfId="5" applyNumberFormat="1" applyFont="1" applyFill="1" applyAlignment="1">
      <alignment horizontal="right"/>
    </xf>
    <xf numFmtId="170" fontId="3" fillId="0" borderId="0" xfId="4" applyNumberFormat="1" applyFont="1" applyFill="1" applyAlignment="1">
      <alignment horizontal="left"/>
    </xf>
    <xf numFmtId="171" fontId="3" fillId="0" borderId="0" xfId="8" applyNumberFormat="1" applyFont="1" applyFill="1" applyBorder="1" applyAlignment="1">
      <alignment horizontal="right"/>
    </xf>
    <xf numFmtId="41" fontId="3" fillId="0" borderId="0" xfId="4" applyNumberFormat="1" applyFont="1" applyFill="1" applyAlignment="1">
      <alignment horizontal="center"/>
    </xf>
    <xf numFmtId="169" fontId="3" fillId="0" borderId="10" xfId="8" applyNumberFormat="1" applyFont="1" applyFill="1" applyBorder="1" applyAlignment="1"/>
    <xf numFmtId="41" fontId="3" fillId="0" borderId="0" xfId="4" applyNumberFormat="1" applyFont="1" applyFill="1" applyAlignment="1">
      <alignment horizontal="fill"/>
    </xf>
    <xf numFmtId="1" fontId="3" fillId="0" borderId="0" xfId="4" quotePrefix="1" applyNumberFormat="1" applyFont="1" applyFill="1" applyAlignment="1">
      <alignment horizontal="left"/>
    </xf>
    <xf numFmtId="1" fontId="3" fillId="0" borderId="0" xfId="4" applyNumberFormat="1" applyFont="1" applyFill="1" applyAlignment="1"/>
    <xf numFmtId="42" fontId="3" fillId="0" borderId="6" xfId="4" applyNumberFormat="1" applyFont="1" applyFill="1" applyBorder="1" applyAlignment="1"/>
    <xf numFmtId="0" fontId="5" fillId="0" borderId="0" xfId="4" applyNumberFormat="1" applyFont="1" applyFill="1" applyAlignment="1" applyProtection="1">
      <protection locked="0"/>
    </xf>
    <xf numFmtId="17" fontId="3" fillId="0" borderId="0" xfId="4" applyNumberFormat="1" applyFont="1" applyFill="1" applyBorder="1" applyAlignment="1">
      <alignment horizontal="left"/>
    </xf>
    <xf numFmtId="167" fontId="3" fillId="0" borderId="0" xfId="4" applyNumberFormat="1" applyFont="1" applyFill="1" applyAlignment="1" applyProtection="1">
      <alignment horizontal="right"/>
      <protection locked="0"/>
    </xf>
    <xf numFmtId="167" fontId="3" fillId="0" borderId="0" xfId="4" applyNumberFormat="1" applyFont="1" applyFill="1" applyAlignment="1" applyProtection="1">
      <protection locked="0"/>
    </xf>
    <xf numFmtId="41" fontId="3" fillId="0" borderId="0" xfId="5" applyNumberFormat="1" applyFont="1" applyFill="1" applyAlignment="1">
      <alignment horizontal="right"/>
    </xf>
    <xf numFmtId="164" fontId="3" fillId="0" borderId="0" xfId="4" applyFont="1" applyFill="1" applyAlignment="1"/>
    <xf numFmtId="167" fontId="3" fillId="0" borderId="0" xfId="4" applyNumberFormat="1" applyFont="1" applyFill="1" applyBorder="1" applyAlignment="1" applyProtection="1">
      <protection locked="0"/>
    </xf>
    <xf numFmtId="3" fontId="3" fillId="0" borderId="0" xfId="5" applyNumberFormat="1" applyFont="1" applyFill="1" applyAlignment="1">
      <alignment horizontal="right"/>
    </xf>
    <xf numFmtId="167" fontId="3" fillId="0" borderId="0" xfId="4" applyNumberFormat="1" applyFont="1" applyFill="1" applyBorder="1" applyAlignment="1" applyProtection="1">
      <alignment horizontal="right"/>
      <protection locked="0"/>
    </xf>
    <xf numFmtId="17" fontId="35" fillId="0" borderId="0" xfId="4" applyNumberFormat="1" applyFont="1" applyFill="1" applyBorder="1" applyAlignment="1">
      <alignment horizontal="left"/>
    </xf>
    <xf numFmtId="42" fontId="3" fillId="0" borderId="0" xfId="5" applyNumberFormat="1" applyFont="1" applyFill="1" applyAlignment="1">
      <alignment horizontal="right"/>
    </xf>
    <xf numFmtId="164" fontId="3" fillId="0" borderId="0" xfId="4" applyFont="1" applyFill="1" applyAlignment="1">
      <alignment horizontal="left" indent="1"/>
    </xf>
    <xf numFmtId="164" fontId="3" fillId="0" borderId="11" xfId="4" applyFont="1" applyFill="1" applyBorder="1" applyAlignment="1"/>
    <xf numFmtId="164" fontId="3" fillId="0" borderId="0" xfId="4" applyFont="1" applyFill="1" applyAlignment="1">
      <alignment horizontal="right"/>
    </xf>
    <xf numFmtId="172" fontId="3" fillId="0" borderId="0" xfId="4" applyNumberFormat="1" applyFont="1" applyFill="1" applyBorder="1" applyAlignment="1"/>
    <xf numFmtId="165" fontId="3" fillId="0" borderId="0" xfId="1" applyNumberFormat="1" applyFont="1" applyFill="1" applyBorder="1" applyAlignment="1" applyProtection="1">
      <protection locked="0"/>
    </xf>
    <xf numFmtId="164" fontId="5" fillId="0" borderId="0" xfId="4" applyFont="1" applyAlignment="1" applyProtection="1">
      <alignment horizontal="centerContinuous"/>
      <protection locked="0"/>
    </xf>
    <xf numFmtId="164" fontId="5" fillId="0" borderId="0" xfId="4" applyFont="1" applyFill="1" applyAlignment="1" applyProtection="1">
      <alignment horizontal="centerContinuous"/>
      <protection locked="0"/>
    </xf>
    <xf numFmtId="164" fontId="5" fillId="0" borderId="0" xfId="4" applyFont="1" applyFill="1" applyAlignment="1">
      <alignment horizontal="centerContinuous"/>
    </xf>
    <xf numFmtId="164" fontId="5" fillId="0" borderId="0" xfId="4" applyFont="1" applyFill="1" applyAlignment="1" applyProtection="1">
      <alignment horizontal="centerContinuous" vertical="center"/>
      <protection locked="0"/>
    </xf>
    <xf numFmtId="164" fontId="5" fillId="0" borderId="0" xfId="4" applyFont="1" applyFill="1">
      <alignment horizontal="left" wrapText="1"/>
    </xf>
    <xf numFmtId="164" fontId="3" fillId="0" borderId="0" xfId="4" applyFont="1" applyFill="1">
      <alignment horizontal="left" wrapText="1"/>
    </xf>
    <xf numFmtId="164" fontId="3" fillId="0" borderId="0" xfId="4" applyFont="1" applyFill="1" applyAlignment="1">
      <alignment horizontal="center"/>
    </xf>
    <xf numFmtId="164" fontId="5" fillId="0" borderId="0" xfId="4" applyFont="1" applyFill="1" applyAlignment="1" applyProtection="1">
      <alignment horizontal="center"/>
      <protection locked="0"/>
    </xf>
    <xf numFmtId="164" fontId="5" fillId="0" borderId="0" xfId="4" applyFont="1" applyFill="1" applyAlignment="1">
      <alignment horizontal="center"/>
    </xf>
    <xf numFmtId="164" fontId="5" fillId="0" borderId="10" xfId="4" applyFont="1" applyFill="1" applyBorder="1" applyAlignment="1">
      <alignment horizontal="center"/>
    </xf>
    <xf numFmtId="164" fontId="5" fillId="0" borderId="10" xfId="4" applyFont="1" applyFill="1" applyBorder="1">
      <alignment horizontal="left" wrapText="1"/>
    </xf>
    <xf numFmtId="164" fontId="35" fillId="0" borderId="0" xfId="4" applyFont="1" applyFill="1" applyAlignment="1">
      <alignment horizontal="left"/>
    </xf>
    <xf numFmtId="166" fontId="3" fillId="0" borderId="0" xfId="6" applyNumberFormat="1" applyFont="1" applyFill="1" applyBorder="1"/>
    <xf numFmtId="165" fontId="3" fillId="0" borderId="0" xfId="5" applyNumberFormat="1" applyFont="1" applyFill="1" applyBorder="1"/>
    <xf numFmtId="165" fontId="3" fillId="0" borderId="0" xfId="5" applyNumberFormat="1" applyFont="1" applyFill="1" applyBorder="1" applyAlignment="1">
      <alignment horizontal="center"/>
    </xf>
    <xf numFmtId="165" fontId="3" fillId="0" borderId="10" xfId="5" applyNumberFormat="1" applyFont="1" applyFill="1" applyBorder="1"/>
    <xf numFmtId="165" fontId="3" fillId="0" borderId="0" xfId="4" applyNumberFormat="1" applyFont="1" applyFill="1" applyBorder="1">
      <alignment horizontal="left" wrapText="1"/>
    </xf>
    <xf numFmtId="164" fontId="35" fillId="0" borderId="0" xfId="4" applyFont="1" applyFill="1" applyBorder="1" applyAlignment="1">
      <alignment horizontal="left"/>
    </xf>
    <xf numFmtId="164" fontId="3" fillId="0" borderId="0" xfId="4" applyFont="1" applyFill="1" applyBorder="1">
      <alignment horizontal="left" wrapText="1"/>
    </xf>
    <xf numFmtId="165" fontId="3" fillId="0" borderId="11" xfId="4" applyNumberFormat="1" applyFont="1" applyFill="1" applyBorder="1">
      <alignment horizontal="left" wrapText="1"/>
    </xf>
    <xf numFmtId="9" fontId="3" fillId="0" borderId="0" xfId="8" applyFont="1" applyFill="1"/>
    <xf numFmtId="9" fontId="3" fillId="0" borderId="0" xfId="8" applyFont="1"/>
    <xf numFmtId="3" fontId="3" fillId="0" borderId="0" xfId="5" applyNumberFormat="1" applyFont="1" applyBorder="1"/>
    <xf numFmtId="0" fontId="3" fillId="0" borderId="0" xfId="4" applyNumberFormat="1" applyFont="1" applyFill="1" applyBorder="1" applyAlignment="1">
      <alignment horizontal="left"/>
    </xf>
    <xf numFmtId="166" fontId="3" fillId="0" borderId="0" xfId="4" applyNumberFormat="1" applyFont="1" applyFill="1" applyBorder="1" applyAlignment="1"/>
    <xf numFmtId="167" fontId="5" fillId="0" borderId="0" xfId="4" applyNumberFormat="1" applyFont="1" applyFill="1" applyAlignment="1"/>
    <xf numFmtId="167" fontId="5" fillId="0" borderId="10" xfId="4" applyNumberFormat="1" applyFont="1" applyFill="1" applyBorder="1" applyAlignment="1">
      <alignment horizontal="center"/>
    </xf>
    <xf numFmtId="41" fontId="3" fillId="0" borderId="11" xfId="6" applyNumberFormat="1" applyFont="1" applyFill="1" applyBorder="1" applyAlignment="1"/>
    <xf numFmtId="9" fontId="3" fillId="0" borderId="0" xfId="8" applyFont="1" applyFill="1" applyAlignment="1"/>
    <xf numFmtId="42" fontId="3" fillId="0" borderId="5" xfId="4" applyNumberFormat="1" applyFont="1" applyFill="1" applyBorder="1" applyAlignment="1"/>
    <xf numFmtId="167" fontId="3" fillId="0" borderId="0" xfId="4" applyNumberFormat="1" applyFont="1" applyFill="1" applyBorder="1" applyAlignment="1"/>
    <xf numFmtId="42" fontId="3" fillId="0" borderId="0" xfId="5" applyNumberFormat="1" applyFont="1" applyFill="1" applyAlignment="1"/>
    <xf numFmtId="41" fontId="3" fillId="0" borderId="6" xfId="4" applyNumberFormat="1" applyFont="1" applyFill="1" applyBorder="1" applyAlignment="1"/>
    <xf numFmtId="41" fontId="4" fillId="0" borderId="0" xfId="1" applyNumberFormat="1" applyFont="1" applyBorder="1"/>
    <xf numFmtId="0" fontId="4" fillId="0" borderId="11" xfId="0" applyFont="1" applyBorder="1" applyAlignment="1">
      <alignment horizontal="center"/>
    </xf>
    <xf numFmtId="0" fontId="4" fillId="0" borderId="10" xfId="0" quotePrefix="1" applyFont="1" applyBorder="1" applyAlignment="1">
      <alignment horizontal="center"/>
    </xf>
    <xf numFmtId="0" fontId="4" fillId="0" borderId="1" xfId="0" applyFont="1" applyBorder="1"/>
    <xf numFmtId="10" fontId="4" fillId="0" borderId="0" xfId="3" applyNumberFormat="1" applyFont="1"/>
    <xf numFmtId="42" fontId="5" fillId="0" borderId="0" xfId="4" applyNumberFormat="1" applyFont="1" applyFill="1" applyAlignment="1">
      <alignment horizontal="right"/>
    </xf>
    <xf numFmtId="10" fontId="5" fillId="0" borderId="10" xfId="4" applyNumberFormat="1" applyFont="1" applyFill="1" applyBorder="1" applyAlignment="1"/>
    <xf numFmtId="41" fontId="5" fillId="0" borderId="0" xfId="4" applyNumberFormat="1" applyFont="1" applyFill="1" applyAlignment="1"/>
    <xf numFmtId="41" fontId="5" fillId="0" borderId="10" xfId="4" applyNumberFormat="1" applyFont="1" applyFill="1" applyBorder="1" applyAlignment="1"/>
    <xf numFmtId="41" fontId="5" fillId="0" borderId="0" xfId="4" applyNumberFormat="1" applyFont="1" applyFill="1" applyBorder="1" applyAlignment="1"/>
    <xf numFmtId="41" fontId="5" fillId="0" borderId="0" xfId="5" applyNumberFormat="1" applyFont="1" applyFill="1" applyBorder="1" applyAlignment="1"/>
    <xf numFmtId="42" fontId="5" fillId="0" borderId="6" xfId="4" applyNumberFormat="1" applyFont="1" applyFill="1" applyBorder="1" applyAlignment="1"/>
    <xf numFmtId="42" fontId="4" fillId="0" borderId="0" xfId="1" applyNumberFormat="1" applyFont="1"/>
    <xf numFmtId="0" fontId="7" fillId="0" borderId="1" xfId="0" applyNumberFormat="1" applyFont="1" applyFill="1" applyBorder="1" applyAlignment="1">
      <alignment horizontal="left"/>
    </xf>
    <xf numFmtId="10" fontId="7" fillId="0" borderId="3" xfId="8" applyNumberFormat="1" applyFont="1" applyFill="1" applyBorder="1" applyAlignment="1" applyProtection="1">
      <alignment horizontal="center"/>
      <protection locked="0"/>
    </xf>
    <xf numFmtId="0" fontId="3" fillId="0" borderId="0" xfId="2" applyNumberFormat="1" applyFont="1" applyAlignment="1">
      <alignment horizontal="center"/>
    </xf>
    <xf numFmtId="0" fontId="0" fillId="0" borderId="0" xfId="0" applyAlignment="1"/>
    <xf numFmtId="10" fontId="3" fillId="0" borderId="0" xfId="0" applyNumberFormat="1" applyFont="1" applyFill="1" applyAlignment="1"/>
    <xf numFmtId="0" fontId="3" fillId="0" borderId="0" xfId="0" applyFont="1"/>
    <xf numFmtId="10" fontId="3" fillId="0" borderId="0" xfId="0" applyNumberFormat="1" applyFont="1" applyFill="1" applyBorder="1" applyAlignment="1"/>
    <xf numFmtId="10" fontId="3" fillId="0" borderId="10" xfId="0" applyNumberFormat="1" applyFont="1" applyFill="1" applyBorder="1" applyAlignment="1"/>
    <xf numFmtId="0" fontId="36" fillId="0" borderId="0" xfId="0" applyNumberFormat="1" applyFont="1" applyFill="1" applyAlignment="1"/>
    <xf numFmtId="0" fontId="7" fillId="0" borderId="0" xfId="0" applyNumberFormat="1" applyFont="1" applyFill="1" applyAlignment="1"/>
    <xf numFmtId="0" fontId="36" fillId="0" borderId="0" xfId="0" applyNumberFormat="1" applyFont="1" applyFill="1" applyAlignment="1" applyProtection="1">
      <alignment horizontal="centerContinuous"/>
      <protection locked="0"/>
    </xf>
    <xf numFmtId="0" fontId="36" fillId="0" borderId="0" xfId="0" applyNumberFormat="1" applyFont="1" applyFill="1" applyAlignment="1">
      <alignment horizontal="centerContinuous"/>
    </xf>
    <xf numFmtId="15" fontId="36" fillId="0" borderId="0" xfId="0" applyNumberFormat="1" applyFont="1" applyFill="1" applyAlignment="1">
      <alignment horizontal="centerContinuous"/>
    </xf>
    <xf numFmtId="18" fontId="36" fillId="0" borderId="0" xfId="0" applyNumberFormat="1" applyFont="1" applyFill="1" applyAlignment="1">
      <alignment horizontal="centerContinuous"/>
    </xf>
    <xf numFmtId="0" fontId="36" fillId="0" borderId="0" xfId="0" applyNumberFormat="1" applyFont="1" applyFill="1" applyAlignment="1" applyProtection="1">
      <alignment horizontal="center"/>
      <protection locked="0"/>
    </xf>
    <xf numFmtId="0" fontId="36" fillId="0" borderId="10" xfId="0" applyNumberFormat="1" applyFont="1" applyFill="1" applyBorder="1" applyAlignment="1" applyProtection="1">
      <alignment horizontal="center"/>
      <protection locked="0"/>
    </xf>
    <xf numFmtId="0" fontId="36" fillId="0" borderId="10" xfId="0" applyNumberFormat="1" applyFont="1" applyFill="1" applyBorder="1" applyAlignment="1">
      <alignment horizontal="center"/>
    </xf>
    <xf numFmtId="0" fontId="7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left"/>
    </xf>
    <xf numFmtId="3" fontId="7" fillId="0" borderId="0" xfId="5" applyNumberFormat="1" applyFont="1" applyFill="1" applyAlignment="1"/>
    <xf numFmtId="41" fontId="7" fillId="0" borderId="0" xfId="5" applyNumberFormat="1" applyFont="1" applyFill="1" applyAlignment="1"/>
    <xf numFmtId="41" fontId="7" fillId="0" borderId="0" xfId="0" applyNumberFormat="1" applyFont="1" applyFill="1" applyAlignment="1"/>
    <xf numFmtId="42" fontId="7" fillId="0" borderId="0" xfId="0" applyNumberFormat="1" applyFont="1" applyFill="1" applyAlignment="1"/>
    <xf numFmtId="172" fontId="3" fillId="0" borderId="0" xfId="4" applyNumberFormat="1" applyFont="1" applyFill="1" applyAlignment="1"/>
    <xf numFmtId="41" fontId="7" fillId="0" borderId="0" xfId="0" applyNumberFormat="1" applyFont="1" applyFill="1" applyAlignment="1" applyProtection="1">
      <protection locked="0"/>
    </xf>
    <xf numFmtId="9" fontId="7" fillId="0" borderId="0" xfId="0" applyNumberFormat="1" applyFont="1" applyFill="1" applyAlignment="1"/>
    <xf numFmtId="0" fontId="5" fillId="0" borderId="0" xfId="0" applyNumberFormat="1" applyFont="1" applyFill="1" applyAlignment="1" applyProtection="1">
      <alignment horizontal="centerContinuous"/>
      <protection locked="0"/>
    </xf>
    <xf numFmtId="0" fontId="5" fillId="0" borderId="0" xfId="0" applyNumberFormat="1" applyFont="1" applyFill="1" applyAlignment="1">
      <alignment horizontal="centerContinuous"/>
    </xf>
    <xf numFmtId="0" fontId="5" fillId="0" borderId="0" xfId="0" applyNumberFormat="1" applyFont="1" applyFill="1" applyAlignment="1"/>
    <xf numFmtId="42" fontId="5" fillId="0" borderId="0" xfId="0" applyNumberFormat="1" applyFont="1" applyFill="1" applyAlignment="1"/>
    <xf numFmtId="0" fontId="5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 applyProtection="1">
      <protection locked="0"/>
    </xf>
    <xf numFmtId="42" fontId="5" fillId="0" borderId="0" xfId="0" applyNumberFormat="1" applyFont="1" applyFill="1" applyAlignment="1" applyProtection="1">
      <alignment horizontal="center"/>
      <protection locked="0"/>
    </xf>
    <xf numFmtId="0" fontId="5" fillId="0" borderId="0" xfId="0" applyNumberFormat="1" applyFont="1" applyFill="1" applyAlignment="1" applyProtection="1">
      <alignment horizontal="center"/>
      <protection locked="0"/>
    </xf>
    <xf numFmtId="0" fontId="5" fillId="0" borderId="10" xfId="0" applyNumberFormat="1" applyFont="1" applyFill="1" applyBorder="1" applyAlignment="1">
      <alignment horizontal="center"/>
    </xf>
    <xf numFmtId="0" fontId="5" fillId="0" borderId="10" xfId="0" applyNumberFormat="1" applyFont="1" applyFill="1" applyBorder="1" applyAlignment="1"/>
    <xf numFmtId="0" fontId="5" fillId="0" borderId="10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Alignment="1">
      <alignment horizontal="fill"/>
    </xf>
    <xf numFmtId="0" fontId="3" fillId="0" borderId="0" xfId="0" applyNumberFormat="1" applyFont="1" applyFill="1" applyAlignment="1" applyProtection="1">
      <alignment horizontal="fill"/>
      <protection locked="0"/>
    </xf>
    <xf numFmtId="0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/>
    <xf numFmtId="42" fontId="3" fillId="0" borderId="0" xfId="0" applyNumberFormat="1" applyFont="1" applyFill="1" applyBorder="1" applyAlignment="1"/>
    <xf numFmtId="41" fontId="3" fillId="0" borderId="11" xfId="0" applyNumberFormat="1" applyFont="1" applyFill="1" applyBorder="1" applyAlignment="1" applyProtection="1">
      <protection locked="0"/>
    </xf>
    <xf numFmtId="41" fontId="3" fillId="0" borderId="10" xfId="0" applyNumberFormat="1" applyFont="1" applyFill="1" applyBorder="1" applyAlignment="1" applyProtection="1">
      <protection locked="0"/>
    </xf>
    <xf numFmtId="0" fontId="3" fillId="0" borderId="0" xfId="0" applyNumberFormat="1" applyFont="1" applyFill="1" applyAlignment="1">
      <alignment horizontal="left"/>
    </xf>
    <xf numFmtId="41" fontId="3" fillId="0" borderId="0" xfId="0" applyNumberFormat="1" applyFont="1" applyFill="1" applyAlignment="1"/>
    <xf numFmtId="0" fontId="3" fillId="0" borderId="11" xfId="0" applyNumberFormat="1" applyFont="1" applyFill="1" applyBorder="1" applyAlignment="1"/>
    <xf numFmtId="0" fontId="3" fillId="0" borderId="0" xfId="0" applyNumberFormat="1" applyFont="1" applyFill="1" applyAlignment="1" applyProtection="1">
      <alignment horizontal="left"/>
      <protection locked="0"/>
    </xf>
    <xf numFmtId="42" fontId="3" fillId="0" borderId="0" xfId="0" applyNumberFormat="1" applyFont="1" applyFill="1" applyAlignment="1"/>
    <xf numFmtId="41" fontId="3" fillId="0" borderId="0" xfId="0" applyNumberFormat="1" applyFont="1" applyFill="1" applyAlignment="1" applyProtection="1">
      <protection locked="0"/>
    </xf>
    <xf numFmtId="42" fontId="3" fillId="0" borderId="11" xfId="6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/>
    <xf numFmtId="166" fontId="3" fillId="0" borderId="0" xfId="0" applyNumberFormat="1" applyFont="1" applyFill="1" applyAlignment="1"/>
    <xf numFmtId="168" fontId="3" fillId="0" borderId="0" xfId="0" applyNumberFormat="1" applyFont="1" applyFill="1" applyAlignment="1"/>
    <xf numFmtId="165" fontId="3" fillId="0" borderId="0" xfId="0" applyNumberFormat="1" applyFont="1" applyFill="1" applyAlignment="1"/>
    <xf numFmtId="167" fontId="3" fillId="0" borderId="0" xfId="0" applyNumberFormat="1" applyFont="1" applyFill="1" applyAlignment="1"/>
    <xf numFmtId="42" fontId="3" fillId="0" borderId="0" xfId="6" applyNumberFormat="1" applyFont="1" applyFill="1" applyBorder="1" applyAlignment="1" applyProtection="1">
      <protection locked="0"/>
    </xf>
    <xf numFmtId="9" fontId="3" fillId="0" borderId="0" xfId="0" applyNumberFormat="1" applyFont="1" applyFill="1" applyAlignment="1"/>
    <xf numFmtId="0" fontId="3" fillId="0" borderId="0" xfId="0" quotePrefix="1" applyNumberFormat="1" applyFont="1" applyFill="1" applyAlignment="1">
      <alignment horizontal="right"/>
    </xf>
    <xf numFmtId="42" fontId="3" fillId="0" borderId="6" xfId="6" applyNumberFormat="1" applyFont="1" applyFill="1" applyBorder="1" applyAlignment="1" applyProtection="1">
      <protection locked="0"/>
    </xf>
    <xf numFmtId="42" fontId="3" fillId="0" borderId="0" xfId="6" applyNumberFormat="1" applyFont="1" applyFill="1" applyAlignment="1" applyProtection="1">
      <protection locked="0"/>
    </xf>
    <xf numFmtId="41" fontId="3" fillId="0" borderId="0" xfId="6" applyNumberFormat="1" applyFont="1" applyFill="1" applyBorder="1" applyAlignment="1" applyProtection="1">
      <protection locked="0"/>
    </xf>
    <xf numFmtId="42" fontId="5" fillId="0" borderId="0" xfId="0" applyNumberFormat="1" applyFont="1" applyFill="1" applyBorder="1" applyAlignment="1"/>
    <xf numFmtId="167" fontId="3" fillId="0" borderId="0" xfId="0" applyNumberFormat="1" applyFont="1" applyFill="1" applyAlignment="1" applyProtection="1">
      <protection locked="0"/>
    </xf>
    <xf numFmtId="167" fontId="3" fillId="0" borderId="10" xfId="0" applyNumberFormat="1" applyFont="1" applyFill="1" applyBorder="1" applyAlignment="1" applyProtection="1">
      <protection locked="0"/>
    </xf>
    <xf numFmtId="0" fontId="5" fillId="0" borderId="0" xfId="0" applyNumberFormat="1" applyFont="1" applyFill="1" applyBorder="1" applyAlignment="1" applyProtection="1">
      <alignment horizontal="centerContinuous"/>
      <protection locked="0"/>
    </xf>
    <xf numFmtId="0" fontId="5" fillId="0" borderId="0" xfId="0" applyNumberFormat="1" applyFont="1" applyFill="1" applyBorder="1" applyAlignment="1">
      <alignment horizontal="centerContinuous"/>
    </xf>
    <xf numFmtId="0" fontId="5" fillId="0" borderId="0" xfId="0" applyNumberFormat="1" applyFont="1" applyFill="1" applyBorder="1" applyAlignment="1"/>
    <xf numFmtId="0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 applyProtection="1">
      <protection locked="0"/>
    </xf>
    <xf numFmtId="42" fontId="5" fillId="0" borderId="0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Border="1" applyAlignment="1">
      <alignment horizontal="fill"/>
    </xf>
    <xf numFmtId="0" fontId="3" fillId="0" borderId="0" xfId="0" applyNumberFormat="1" applyFont="1" applyFill="1" applyBorder="1" applyAlignment="1" applyProtection="1">
      <alignment horizontal="fill"/>
      <protection locked="0"/>
    </xf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left"/>
    </xf>
    <xf numFmtId="41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 applyProtection="1">
      <alignment horizontal="left"/>
      <protection locked="0"/>
    </xf>
    <xf numFmtId="167" fontId="3" fillId="0" borderId="0" xfId="0" applyNumberFormat="1" applyFont="1" applyFill="1" applyBorder="1" applyAlignment="1" applyProtection="1">
      <protection locked="0"/>
    </xf>
    <xf numFmtId="166" fontId="3" fillId="0" borderId="0" xfId="0" applyNumberFormat="1" applyFont="1" applyFill="1" applyBorder="1" applyAlignment="1"/>
    <xf numFmtId="168" fontId="3" fillId="0" borderId="0" xfId="0" applyNumberFormat="1" applyFont="1" applyFill="1" applyBorder="1" applyAlignment="1"/>
    <xf numFmtId="165" fontId="3" fillId="0" borderId="0" xfId="0" applyNumberFormat="1" applyFont="1" applyFill="1" applyBorder="1" applyAlignment="1"/>
    <xf numFmtId="167" fontId="3" fillId="0" borderId="0" xfId="0" applyNumberFormat="1" applyFont="1" applyFill="1" applyBorder="1" applyAlignment="1"/>
    <xf numFmtId="9" fontId="3" fillId="0" borderId="0" xfId="0" applyNumberFormat="1" applyFont="1" applyFill="1" applyBorder="1" applyAlignment="1"/>
    <xf numFmtId="4" fontId="3" fillId="0" borderId="0" xfId="5" applyFont="1" applyFill="1" applyBorder="1" applyAlignment="1"/>
    <xf numFmtId="0" fontId="3" fillId="0" borderId="0" xfId="0" quotePrefix="1" applyNumberFormat="1" applyFont="1" applyFill="1" applyBorder="1" applyAlignment="1">
      <alignment horizontal="right"/>
    </xf>
    <xf numFmtId="0" fontId="36" fillId="0" borderId="10" xfId="0" applyNumberFormat="1" applyFont="1" applyFill="1" applyBorder="1" applyAlignment="1" applyProtection="1">
      <protection locked="0"/>
    </xf>
    <xf numFmtId="9" fontId="7" fillId="0" borderId="0" xfId="0" applyNumberFormat="1" applyFont="1" applyFill="1" applyAlignment="1">
      <alignment horizontal="center"/>
    </xf>
    <xf numFmtId="42" fontId="3" fillId="0" borderId="0" xfId="4" applyNumberFormat="1" applyFont="1" applyFill="1" applyBorder="1" applyAlignment="1" applyProtection="1">
      <alignment horizontal="right"/>
      <protection locked="0"/>
    </xf>
    <xf numFmtId="42" fontId="3" fillId="0" borderId="11" xfId="4" applyNumberFormat="1" applyFont="1" applyFill="1" applyBorder="1" applyAlignment="1"/>
    <xf numFmtId="10" fontId="3" fillId="0" borderId="10" xfId="8" applyNumberFormat="1" applyFont="1" applyFill="1" applyBorder="1" applyAlignment="1">
      <alignment horizontal="right"/>
    </xf>
    <xf numFmtId="42" fontId="3" fillId="0" borderId="0" xfId="6" applyNumberFormat="1" applyFont="1" applyFill="1" applyBorder="1" applyAlignment="1" applyProtection="1">
      <alignment horizontal="right"/>
      <protection locked="0"/>
    </xf>
    <xf numFmtId="42" fontId="3" fillId="0" borderId="0" xfId="4" applyNumberFormat="1" applyFont="1" applyFill="1" applyBorder="1" applyAlignment="1" applyProtection="1">
      <protection locked="0"/>
    </xf>
    <xf numFmtId="42" fontId="38" fillId="0" borderId="6" xfId="5" applyNumberFormat="1" applyFont="1" applyFill="1" applyBorder="1" applyAlignment="1"/>
    <xf numFmtId="0" fontId="3" fillId="0" borderId="0" xfId="0" applyNumberFormat="1" applyFont="1" applyAlignment="1"/>
    <xf numFmtId="164" fontId="9" fillId="0" borderId="0" xfId="0" applyNumberFormat="1" applyFont="1" applyFill="1" applyAlignment="1">
      <alignment horizontal="centerContinuous"/>
    </xf>
    <xf numFmtId="164" fontId="9" fillId="0" borderId="0" xfId="0" applyNumberFormat="1" applyFont="1" applyFill="1" applyBorder="1" applyAlignment="1">
      <alignment horizontal="centerContinuous"/>
    </xf>
    <xf numFmtId="0" fontId="36" fillId="0" borderId="0" xfId="0" applyFont="1" applyFill="1" applyAlignment="1" applyProtection="1">
      <alignment horizontal="center"/>
      <protection locked="0"/>
    </xf>
    <xf numFmtId="0" fontId="36" fillId="0" borderId="0" xfId="0" applyFont="1" applyFill="1"/>
    <xf numFmtId="0" fontId="7" fillId="0" borderId="0" xfId="0" applyFont="1" applyFill="1"/>
    <xf numFmtId="37" fontId="7" fillId="0" borderId="0" xfId="86" applyNumberFormat="1" applyFont="1" applyFill="1"/>
    <xf numFmtId="37" fontId="7" fillId="0" borderId="0" xfId="86" applyNumberFormat="1" applyFont="1" applyFill="1" applyBorder="1"/>
    <xf numFmtId="0" fontId="7" fillId="0" borderId="0" xfId="0" applyFont="1" applyFill="1" applyAlignment="1">
      <alignment horizontal="left"/>
    </xf>
    <xf numFmtId="0" fontId="5" fillId="0" borderId="0" xfId="0" applyFont="1" applyFill="1" applyAlignment="1" applyProtection="1">
      <alignment horizontal="center"/>
      <protection locked="0"/>
    </xf>
    <xf numFmtId="0" fontId="5" fillId="0" borderId="0" xfId="0" applyFont="1" applyFill="1"/>
    <xf numFmtId="37" fontId="3" fillId="0" borderId="0" xfId="0" applyNumberFormat="1" applyFont="1"/>
    <xf numFmtId="0" fontId="5" fillId="0" borderId="0" xfId="0" applyFont="1" applyFill="1" applyAlignment="1">
      <alignment horizontal="center"/>
    </xf>
    <xf numFmtId="37" fontId="3" fillId="0" borderId="0" xfId="0" applyNumberFormat="1" applyFont="1" applyAlignment="1">
      <alignment horizontal="right"/>
    </xf>
    <xf numFmtId="0" fontId="5" fillId="0" borderId="10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wrapText="1"/>
    </xf>
    <xf numFmtId="37" fontId="5" fillId="0" borderId="10" xfId="0" applyNumberFormat="1" applyFont="1" applyFill="1" applyBorder="1" applyAlignment="1">
      <alignment horizontal="center" wrapText="1"/>
    </xf>
    <xf numFmtId="37" fontId="5" fillId="0" borderId="10" xfId="0" applyNumberFormat="1" applyFont="1" applyFill="1" applyBorder="1" applyAlignment="1">
      <alignment horizontal="right" wrapText="1"/>
    </xf>
    <xf numFmtId="0" fontId="3" fillId="0" borderId="0" xfId="0" applyFont="1" applyFill="1"/>
    <xf numFmtId="0" fontId="3" fillId="0" borderId="10" xfId="0" applyFont="1" applyFill="1" applyBorder="1" applyAlignment="1">
      <alignment horizontal="left"/>
    </xf>
    <xf numFmtId="37" fontId="35" fillId="0" borderId="0" xfId="0" applyNumberFormat="1" applyFont="1"/>
    <xf numFmtId="0" fontId="35" fillId="0" borderId="0" xfId="0" applyFont="1" applyFill="1" applyBorder="1"/>
    <xf numFmtId="37" fontId="35" fillId="0" borderId="0" xfId="0" applyNumberFormat="1" applyFont="1" applyAlignment="1">
      <alignment horizontal="right"/>
    </xf>
    <xf numFmtId="0" fontId="3" fillId="0" borderId="0" xfId="0" applyFont="1" applyFill="1" applyAlignment="1">
      <alignment horizontal="left" wrapText="1"/>
    </xf>
    <xf numFmtId="37" fontId="3" fillId="0" borderId="10" xfId="86" applyNumberFormat="1" applyFont="1" applyFill="1" applyBorder="1" applyAlignment="1">
      <alignment wrapText="1"/>
    </xf>
    <xf numFmtId="165" fontId="3" fillId="0" borderId="10" xfId="86" applyNumberFormat="1" applyFont="1" applyFill="1" applyBorder="1"/>
    <xf numFmtId="37" fontId="3" fillId="0" borderId="10" xfId="0" applyNumberFormat="1" applyFont="1" applyBorder="1"/>
    <xf numFmtId="37" fontId="3" fillId="0" borderId="10" xfId="0" applyNumberFormat="1" applyFont="1" applyBorder="1" applyAlignment="1">
      <alignment horizontal="right"/>
    </xf>
    <xf numFmtId="37" fontId="3" fillId="0" borderId="0" xfId="0" applyNumberFormat="1" applyFont="1" applyFill="1"/>
    <xf numFmtId="165" fontId="3" fillId="0" borderId="0" xfId="0" applyNumberFormat="1" applyFont="1" applyFill="1"/>
    <xf numFmtId="0" fontId="3" fillId="0" borderId="10" xfId="0" applyFont="1" applyBorder="1"/>
    <xf numFmtId="37" fontId="3" fillId="0" borderId="0" xfId="9" applyNumberFormat="1" applyFont="1" applyFill="1" applyAlignment="1">
      <alignment horizontal="right"/>
    </xf>
    <xf numFmtId="41" fontId="3" fillId="0" borderId="0" xfId="86" applyNumberFormat="1" applyFont="1" applyFill="1" applyAlignment="1">
      <alignment wrapText="1"/>
    </xf>
    <xf numFmtId="37" fontId="3" fillId="0" borderId="0" xfId="86" applyNumberFormat="1" applyFont="1" applyFill="1"/>
    <xf numFmtId="37" fontId="3" fillId="0" borderId="0" xfId="0" applyNumberFormat="1" applyFont="1" applyFill="1" applyBorder="1" applyAlignment="1">
      <alignment horizontal="right"/>
    </xf>
    <xf numFmtId="165" fontId="3" fillId="0" borderId="0" xfId="86" applyNumberFormat="1" applyFont="1" applyFill="1" applyBorder="1"/>
    <xf numFmtId="37" fontId="3" fillId="0" borderId="0" xfId="86" applyNumberFormat="1" applyFont="1" applyFill="1" applyAlignment="1">
      <alignment wrapText="1"/>
    </xf>
    <xf numFmtId="164" fontId="3" fillId="0" borderId="0" xfId="9" applyFont="1" applyFill="1" applyAlignment="1">
      <alignment horizontal="left"/>
    </xf>
    <xf numFmtId="37" fontId="3" fillId="0" borderId="0" xfId="86" applyNumberFormat="1" applyFont="1" applyFill="1" applyBorder="1"/>
    <xf numFmtId="164" fontId="3" fillId="0" borderId="0" xfId="9" applyFont="1" applyFill="1">
      <alignment horizontal="left" wrapText="1"/>
    </xf>
    <xf numFmtId="37" fontId="3" fillId="0" borderId="0" xfId="86" applyNumberFormat="1" applyFont="1" applyFill="1" applyBorder="1" applyAlignment="1">
      <alignment wrapText="1"/>
    </xf>
    <xf numFmtId="37" fontId="3" fillId="0" borderId="10" xfId="0" applyNumberFormat="1" applyFont="1" applyFill="1" applyBorder="1"/>
    <xf numFmtId="37" fontId="5" fillId="0" borderId="10" xfId="0" applyNumberFormat="1" applyFont="1" applyFill="1" applyBorder="1" applyAlignment="1">
      <alignment horizontal="right"/>
    </xf>
    <xf numFmtId="0" fontId="3" fillId="0" borderId="0" xfId="0" applyFont="1" applyFill="1" applyAlignment="1">
      <alignment horizontal="left"/>
    </xf>
    <xf numFmtId="37" fontId="3" fillId="0" borderId="11" xfId="0" applyNumberFormat="1" applyFont="1" applyBorder="1"/>
    <xf numFmtId="42" fontId="3" fillId="0" borderId="11" xfId="0" applyNumberFormat="1" applyFont="1" applyBorder="1"/>
    <xf numFmtId="37" fontId="5" fillId="0" borderId="0" xfId="0" applyNumberFormat="1" applyFont="1" applyFill="1" applyBorder="1" applyAlignment="1">
      <alignment horizontal="right"/>
    </xf>
    <xf numFmtId="0" fontId="3" fillId="0" borderId="0" xfId="0" quotePrefix="1" applyFont="1" applyFill="1" applyAlignment="1">
      <alignment horizontal="left"/>
    </xf>
    <xf numFmtId="37" fontId="3" fillId="0" borderId="0" xfId="9" applyNumberFormat="1" applyFont="1" applyFill="1" applyAlignment="1">
      <alignment horizontal="left"/>
    </xf>
    <xf numFmtId="9" fontId="3" fillId="0" borderId="0" xfId="9" applyNumberFormat="1" applyFont="1" applyFill="1" applyAlignment="1">
      <alignment horizontal="left"/>
    </xf>
    <xf numFmtId="0" fontId="3" fillId="0" borderId="0" xfId="0" applyFont="1" applyBorder="1"/>
    <xf numFmtId="0" fontId="3" fillId="0" borderId="10" xfId="0" applyFont="1" applyBorder="1" applyAlignment="1">
      <alignment horizontal="left"/>
    </xf>
    <xf numFmtId="37" fontId="5" fillId="0" borderId="0" xfId="0" applyNumberFormat="1" applyFont="1"/>
    <xf numFmtId="41" fontId="3" fillId="0" borderId="0" xfId="5" applyNumberFormat="1" applyFont="1" applyFill="1" applyBorder="1"/>
    <xf numFmtId="41" fontId="3" fillId="0" borderId="0" xfId="5" applyNumberFormat="1" applyFont="1" applyBorder="1"/>
    <xf numFmtId="0" fontId="36" fillId="0" borderId="0" xfId="0" applyNumberFormat="1" applyFont="1" applyFill="1" applyAlignment="1">
      <alignment horizontal="centerContinuous" vertical="center"/>
    </xf>
    <xf numFmtId="42" fontId="7" fillId="0" borderId="6" xfId="0" applyNumberFormat="1" applyFont="1" applyFill="1" applyBorder="1" applyAlignment="1"/>
    <xf numFmtId="0" fontId="5" fillId="0" borderId="0" xfId="0" applyNumberFormat="1" applyFont="1" applyFill="1" applyAlignment="1" applyProtection="1">
      <alignment horizontal="centerContinuous" vertical="center"/>
      <protection locked="0"/>
    </xf>
    <xf numFmtId="0" fontId="5" fillId="0" borderId="0" xfId="0" applyNumberFormat="1" applyFont="1" applyFill="1" applyAlignment="1">
      <alignment horizontal="centerContinuous" vertical="center"/>
    </xf>
    <xf numFmtId="164" fontId="5" fillId="0" borderId="0" xfId="0" applyNumberFormat="1" applyFont="1" applyFill="1" applyBorder="1" applyAlignment="1">
      <alignment horizontal="centerContinuous" wrapText="1"/>
    </xf>
    <xf numFmtId="164" fontId="5" fillId="0" borderId="0" xfId="0" applyNumberFormat="1" applyFont="1" applyFill="1" applyBorder="1" applyAlignment="1">
      <alignment horizontal="centerContinuous"/>
    </xf>
    <xf numFmtId="164" fontId="5" fillId="0" borderId="0" xfId="0" applyNumberFormat="1" applyFont="1" applyFill="1" applyBorder="1" applyAlignment="1" applyProtection="1">
      <alignment horizontal="center"/>
      <protection locked="0"/>
    </xf>
    <xf numFmtId="0" fontId="5" fillId="0" borderId="10" xfId="0" applyNumberFormat="1" applyFont="1" applyFill="1" applyBorder="1" applyAlignment="1" applyProtection="1">
      <protection locked="0"/>
    </xf>
    <xf numFmtId="164" fontId="5" fillId="0" borderId="0" xfId="0" applyNumberFormat="1" applyFont="1" applyFill="1" applyBorder="1" applyAlignment="1">
      <alignment horizontal="center"/>
    </xf>
    <xf numFmtId="42" fontId="3" fillId="0" borderId="0" xfId="0" applyNumberFormat="1" applyFont="1" applyFill="1" applyBorder="1" applyAlignment="1" applyProtection="1">
      <protection locked="0"/>
    </xf>
    <xf numFmtId="167" fontId="3" fillId="0" borderId="0" xfId="0" applyNumberFormat="1" applyFont="1" applyFill="1" applyBorder="1" applyAlignment="1">
      <alignment horizontal="left" wrapText="1"/>
    </xf>
    <xf numFmtId="184" fontId="3" fillId="0" borderId="0" xfId="0" applyNumberFormat="1" applyFont="1" applyFill="1" applyAlignment="1">
      <alignment horizontal="left"/>
    </xf>
    <xf numFmtId="9" fontId="3" fillId="0" borderId="0" xfId="0" applyNumberFormat="1" applyFont="1" applyFill="1" applyAlignment="1">
      <alignment horizontal="center"/>
    </xf>
    <xf numFmtId="167" fontId="3" fillId="0" borderId="0" xfId="0" applyNumberFormat="1" applyFont="1" applyFill="1" applyAlignment="1">
      <alignment horizontal="left"/>
    </xf>
    <xf numFmtId="42" fontId="3" fillId="0" borderId="6" xfId="0" applyNumberFormat="1" applyFont="1" applyFill="1" applyBorder="1" applyAlignment="1"/>
    <xf numFmtId="185" fontId="3" fillId="0" borderId="0" xfId="8" applyNumberFormat="1" applyFont="1" applyBorder="1" applyAlignment="1">
      <alignment horizontal="center"/>
    </xf>
    <xf numFmtId="0" fontId="35" fillId="0" borderId="0" xfId="0" applyNumberFormat="1" applyFont="1" applyFill="1" applyBorder="1" applyAlignment="1"/>
    <xf numFmtId="164" fontId="3" fillId="0" borderId="0" xfId="0" quotePrefix="1" applyNumberFormat="1" applyFont="1" applyBorder="1" applyAlignment="1">
      <alignment horizontal="left"/>
    </xf>
    <xf numFmtId="164" fontId="3" fillId="0" borderId="0" xfId="0" applyNumberFormat="1" applyFont="1" applyBorder="1" applyAlignment="1"/>
    <xf numFmtId="164" fontId="3" fillId="0" borderId="0" xfId="0" applyNumberFormat="1" applyFont="1" applyBorder="1" applyAlignment="1">
      <alignment horizontal="left"/>
    </xf>
    <xf numFmtId="0" fontId="5" fillId="0" borderId="0" xfId="155" applyFont="1"/>
    <xf numFmtId="0" fontId="3" fillId="0" borderId="0" xfId="155" applyFont="1"/>
    <xf numFmtId="0" fontId="3" fillId="0" borderId="0" xfId="155" applyFont="1" applyFill="1" applyBorder="1"/>
    <xf numFmtId="0" fontId="3" fillId="0" borderId="0" xfId="155" applyFont="1" applyFill="1" applyAlignment="1">
      <alignment horizontal="left" vertical="top"/>
    </xf>
    <xf numFmtId="0" fontId="3" fillId="0" borderId="0" xfId="155" applyFont="1" applyAlignment="1">
      <alignment horizontal="left"/>
    </xf>
    <xf numFmtId="0" fontId="39" fillId="0" borderId="10" xfId="0" applyFont="1" applyBorder="1" applyAlignment="1">
      <alignment horizontal="center"/>
    </xf>
    <xf numFmtId="0" fontId="39" fillId="0" borderId="0" xfId="0" applyFont="1" applyAlignment="1">
      <alignment horizontal="center"/>
    </xf>
    <xf numFmtId="0" fontId="5" fillId="0" borderId="0" xfId="155" applyFont="1" applyFill="1" applyBorder="1" applyAlignment="1">
      <alignment horizontal="center"/>
    </xf>
    <xf numFmtId="165" fontId="4" fillId="0" borderId="0" xfId="10" applyNumberFormat="1" applyFont="1"/>
    <xf numFmtId="0" fontId="5" fillId="0" borderId="0" xfId="155" applyFont="1" applyFill="1" applyAlignment="1">
      <alignment horizontal="left" vertical="top"/>
    </xf>
    <xf numFmtId="0" fontId="5" fillId="0" borderId="0" xfId="155" applyFont="1" applyAlignment="1">
      <alignment horizontal="center"/>
    </xf>
    <xf numFmtId="0" fontId="3" fillId="0" borderId="0" xfId="155" applyFont="1" applyAlignment="1">
      <alignment horizontal="center"/>
    </xf>
    <xf numFmtId="10" fontId="3" fillId="0" borderId="0" xfId="155" applyNumberFormat="1" applyFont="1"/>
    <xf numFmtId="0" fontId="40" fillId="0" borderId="0" xfId="155" applyFont="1" applyFill="1" applyAlignment="1">
      <alignment horizontal="left" vertical="top"/>
    </xf>
    <xf numFmtId="0" fontId="40" fillId="0" borderId="0" xfId="155" applyFont="1" applyAlignment="1">
      <alignment horizontal="left" vertical="top"/>
    </xf>
    <xf numFmtId="165" fontId="4" fillId="0" borderId="10" xfId="10" applyNumberFormat="1" applyFont="1" applyBorder="1"/>
    <xf numFmtId="0" fontId="41" fillId="0" borderId="0" xfId="155" applyFont="1" applyFill="1" applyAlignment="1">
      <alignment horizontal="left" vertical="top"/>
    </xf>
    <xf numFmtId="9" fontId="3" fillId="0" borderId="0" xfId="155" applyNumberFormat="1" applyFont="1"/>
    <xf numFmtId="165" fontId="4" fillId="0" borderId="5" xfId="10" applyNumberFormat="1" applyFont="1" applyBorder="1"/>
    <xf numFmtId="165" fontId="4" fillId="0" borderId="0" xfId="10" applyNumberFormat="1" applyFont="1" applyBorder="1"/>
    <xf numFmtId="164" fontId="3" fillId="0" borderId="0" xfId="155" applyNumberFormat="1" applyFont="1"/>
    <xf numFmtId="0" fontId="40" fillId="0" borderId="0" xfId="155" applyFont="1" applyFill="1" applyAlignment="1">
      <alignment horizontal="right" vertical="top"/>
    </xf>
    <xf numFmtId="0" fontId="3" fillId="0" borderId="0" xfId="155" applyFont="1" applyFill="1"/>
    <xf numFmtId="0" fontId="7" fillId="0" borderId="0" xfId="0" applyNumberFormat="1" applyFont="1" applyFill="1" applyBorder="1" applyAlignment="1">
      <alignment horizontal="left"/>
    </xf>
    <xf numFmtId="167" fontId="7" fillId="0" borderId="0" xfId="0" applyNumberFormat="1" applyFont="1" applyFill="1" applyAlignment="1" applyProtection="1">
      <protection locked="0"/>
    </xf>
    <xf numFmtId="167" fontId="7" fillId="0" borderId="0" xfId="0" applyNumberFormat="1" applyFont="1" applyFill="1" applyAlignment="1" applyProtection="1">
      <alignment horizontal="right"/>
      <protection locked="0"/>
    </xf>
    <xf numFmtId="0" fontId="6" fillId="0" borderId="0" xfId="0" applyNumberFormat="1" applyFont="1" applyFill="1" applyAlignment="1"/>
    <xf numFmtId="0" fontId="5" fillId="0" borderId="0" xfId="0" applyNumberFormat="1" applyFont="1" applyFill="1" applyAlignment="1" applyProtection="1">
      <alignment horizontal="centerContinuous" vertical="center" wrapText="1"/>
      <protection locked="0"/>
    </xf>
    <xf numFmtId="0" fontId="5" fillId="0" borderId="0" xfId="0" applyNumberFormat="1" applyFont="1" applyFill="1" applyAlignment="1">
      <alignment horizontal="centerContinuous" vertical="center" wrapText="1"/>
    </xf>
    <xf numFmtId="0" fontId="3" fillId="0" borderId="0" xfId="209" applyNumberFormat="1" applyFont="1" applyFill="1" applyAlignment="1" applyProtection="1">
      <protection locked="0"/>
    </xf>
    <xf numFmtId="3" fontId="3" fillId="0" borderId="0" xfId="1" applyNumberFormat="1" applyFont="1" applyFill="1" applyAlignment="1">
      <alignment horizontal="center"/>
    </xf>
    <xf numFmtId="3" fontId="3" fillId="0" borderId="0" xfId="1" applyNumberFormat="1" applyFont="1" applyFill="1" applyAlignment="1"/>
    <xf numFmtId="37" fontId="3" fillId="0" borderId="0" xfId="1" applyNumberFormat="1" applyFont="1" applyFill="1" applyBorder="1" applyAlignment="1"/>
    <xf numFmtId="166" fontId="3" fillId="0" borderId="6" xfId="209" applyNumberFormat="1" applyFont="1" applyFill="1" applyBorder="1" applyAlignment="1"/>
    <xf numFmtId="0" fontId="4" fillId="0" borderId="0" xfId="0" applyNumberFormat="1" applyFont="1" applyAlignment="1"/>
    <xf numFmtId="41" fontId="4" fillId="0" borderId="0" xfId="0" applyNumberFormat="1" applyFont="1" applyBorder="1" applyAlignment="1"/>
    <xf numFmtId="166" fontId="4" fillId="0" borderId="5" xfId="209" applyNumberFormat="1" applyFont="1" applyBorder="1" applyAlignment="1"/>
    <xf numFmtId="164" fontId="3" fillId="0" borderId="0" xfId="0" applyNumberFormat="1" applyFont="1" applyFill="1" applyBorder="1" applyAlignment="1">
      <alignment horizontal="center"/>
    </xf>
    <xf numFmtId="164" fontId="35" fillId="0" borderId="0" xfId="0" applyNumberFormat="1" applyFont="1" applyBorder="1" applyAlignment="1">
      <alignment horizontal="left"/>
    </xf>
    <xf numFmtId="164" fontId="7" fillId="0" borderId="0" xfId="0" applyNumberFormat="1" applyFont="1" applyFill="1" applyAlignment="1">
      <alignment horizontal="left"/>
    </xf>
    <xf numFmtId="0" fontId="36" fillId="0" borderId="0" xfId="0" applyFont="1" applyFill="1" applyAlignment="1" applyProtection="1">
      <alignment horizontal="centerContinuous"/>
      <protection locked="0"/>
    </xf>
    <xf numFmtId="0" fontId="36" fillId="0" borderId="0" xfId="0" applyFont="1" applyFill="1" applyAlignment="1">
      <alignment horizontal="centerContinuous"/>
    </xf>
    <xf numFmtId="0" fontId="36" fillId="0" borderId="0" xfId="0" applyFont="1" applyFill="1" applyProtection="1">
      <protection locked="0"/>
    </xf>
    <xf numFmtId="0" fontId="36" fillId="0" borderId="0" xfId="0" applyFont="1" applyFill="1" applyAlignment="1">
      <alignment horizontal="center"/>
    </xf>
    <xf numFmtId="0" fontId="36" fillId="0" borderId="10" xfId="0" applyFont="1" applyFill="1" applyBorder="1" applyAlignment="1" applyProtection="1">
      <alignment horizontal="center"/>
      <protection locked="0"/>
    </xf>
    <xf numFmtId="0" fontId="36" fillId="0" borderId="1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left" vertical="center"/>
    </xf>
    <xf numFmtId="0" fontId="36" fillId="0" borderId="0" xfId="0" applyFont="1" applyFill="1" applyBorder="1" applyAlignment="1">
      <alignment horizontal="center"/>
    </xf>
    <xf numFmtId="0" fontId="36" fillId="0" borderId="10" xfId="0" applyFont="1" applyFill="1" applyBorder="1" applyProtection="1">
      <protection locked="0"/>
    </xf>
    <xf numFmtId="17" fontId="7" fillId="0" borderId="0" xfId="0" applyNumberFormat="1" applyFont="1" applyFill="1" applyBorder="1" applyAlignment="1">
      <alignment horizontal="left"/>
    </xf>
    <xf numFmtId="0" fontId="36" fillId="0" borderId="10" xfId="0" applyFont="1" applyFill="1" applyBorder="1" applyAlignment="1">
      <alignment horizontal="left"/>
    </xf>
    <xf numFmtId="167" fontId="7" fillId="0" borderId="0" xfId="0" applyNumberFormat="1" applyFont="1" applyFill="1"/>
    <xf numFmtId="5" fontId="7" fillId="0" borderId="0" xfId="108" applyNumberFormat="1" applyFont="1" applyFill="1" applyBorder="1"/>
    <xf numFmtId="10" fontId="7" fillId="0" borderId="0" xfId="0" applyNumberFormat="1" applyFont="1" applyFill="1" applyAlignment="1">
      <alignment horizontal="center"/>
    </xf>
    <xf numFmtId="37" fontId="7" fillId="0" borderId="10" xfId="86" applyNumberFormat="1" applyFont="1" applyFill="1" applyBorder="1"/>
    <xf numFmtId="0" fontId="0" fillId="0" borderId="0" xfId="0" applyBorder="1"/>
    <xf numFmtId="0" fontId="7" fillId="0" borderId="0" xfId="0" applyFont="1" applyFill="1" applyAlignment="1">
      <alignment vertical="center"/>
    </xf>
    <xf numFmtId="167" fontId="7" fillId="0" borderId="0" xfId="0" applyNumberFormat="1" applyFont="1" applyFill="1" applyAlignment="1">
      <alignment horizontal="center"/>
    </xf>
    <xf numFmtId="10" fontId="7" fillId="0" borderId="0" xfId="0" applyNumberFormat="1" applyFont="1" applyFill="1" applyBorder="1" applyAlignment="1">
      <alignment horizontal="center"/>
    </xf>
    <xf numFmtId="37" fontId="7" fillId="0" borderId="11" xfId="86" applyNumberFormat="1" applyFont="1" applyFill="1" applyBorder="1"/>
    <xf numFmtId="0" fontId="36" fillId="0" borderId="10" xfId="0" applyFont="1" applyFill="1" applyBorder="1" applyAlignment="1">
      <alignment horizontal="left" vertical="top"/>
    </xf>
    <xf numFmtId="0" fontId="7" fillId="0" borderId="0" xfId="0" applyFont="1" applyFill="1" applyAlignment="1">
      <alignment horizontal="center" vertical="top"/>
    </xf>
    <xf numFmtId="37" fontId="7" fillId="0" borderId="0" xfId="86" applyNumberFormat="1" applyFont="1" applyFill="1" applyAlignment="1">
      <alignment vertical="top"/>
    </xf>
    <xf numFmtId="15" fontId="7" fillId="0" borderId="0" xfId="0" applyNumberFormat="1" applyFont="1" applyFill="1"/>
    <xf numFmtId="0" fontId="7" fillId="0" borderId="0" xfId="0" applyFont="1" applyFill="1" applyAlignment="1">
      <alignment horizontal="center" vertical="center"/>
    </xf>
    <xf numFmtId="37" fontId="7" fillId="0" borderId="0" xfId="86" applyNumberFormat="1" applyFont="1" applyFill="1" applyAlignment="1" applyProtection="1">
      <alignment vertical="center"/>
      <protection locked="0"/>
    </xf>
    <xf numFmtId="37" fontId="7" fillId="0" borderId="0" xfId="86" applyNumberFormat="1" applyFont="1" applyFill="1" applyBorder="1" applyProtection="1">
      <protection locked="0"/>
    </xf>
    <xf numFmtId="5" fontId="36" fillId="0" borderId="6" xfId="108" applyNumberFormat="1" applyFont="1" applyFill="1" applyBorder="1"/>
    <xf numFmtId="44" fontId="7" fillId="0" borderId="0" xfId="108" applyFont="1" applyFill="1"/>
    <xf numFmtId="39" fontId="0" fillId="0" borderId="0" xfId="0" applyNumberFormat="1"/>
    <xf numFmtId="167" fontId="36" fillId="0" borderId="0" xfId="0" applyNumberFormat="1" applyFont="1" applyFill="1" applyAlignment="1"/>
    <xf numFmtId="167" fontId="36" fillId="0" borderId="10" xfId="0" applyNumberFormat="1" applyFont="1" applyFill="1" applyBorder="1" applyAlignment="1">
      <alignment horizontal="center"/>
    </xf>
    <xf numFmtId="0" fontId="36" fillId="0" borderId="10" xfId="0" quotePrefix="1" applyNumberFormat="1" applyFont="1" applyFill="1" applyBorder="1" applyAlignment="1" applyProtection="1">
      <alignment horizontal="center"/>
      <protection locked="0"/>
    </xf>
    <xf numFmtId="164" fontId="37" fillId="0" borderId="0" xfId="0" applyNumberFormat="1" applyFont="1" applyFill="1" applyBorder="1" applyAlignment="1">
      <alignment horizontal="left" wrapText="1"/>
    </xf>
    <xf numFmtId="42" fontId="7" fillId="0" borderId="0" xfId="5" applyNumberFormat="1" applyFont="1" applyFill="1" applyAlignment="1"/>
    <xf numFmtId="164" fontId="7" fillId="0" borderId="0" xfId="0" applyNumberFormat="1" applyFont="1" applyFill="1" applyAlignment="1">
      <alignment horizontal="left" wrapText="1"/>
    </xf>
    <xf numFmtId="42" fontId="7" fillId="0" borderId="11" xfId="0" applyNumberFormat="1" applyFont="1" applyFill="1" applyBorder="1" applyAlignment="1"/>
    <xf numFmtId="41" fontId="7" fillId="0" borderId="11" xfId="5" applyNumberFormat="1" applyFont="1" applyFill="1" applyBorder="1" applyAlignment="1"/>
    <xf numFmtId="3" fontId="3" fillId="0" borderId="0" xfId="5" applyNumberFormat="1" applyFont="1" applyFill="1" applyBorder="1"/>
    <xf numFmtId="37" fontId="3" fillId="0" borderId="10" xfId="5" applyNumberFormat="1" applyFont="1" applyBorder="1"/>
    <xf numFmtId="166" fontId="3" fillId="0" borderId="5" xfId="6" applyNumberFormat="1" applyFont="1" applyFill="1" applyBorder="1"/>
    <xf numFmtId="0" fontId="5" fillId="0" borderId="0" xfId="0" applyFont="1" applyFill="1" applyAlignment="1" applyProtection="1">
      <alignment horizontal="centerContinuous"/>
      <protection locked="0"/>
    </xf>
    <xf numFmtId="0" fontId="5" fillId="0" borderId="0" xfId="0" applyFont="1" applyFill="1" applyAlignment="1">
      <alignment horizontal="centerContinuous"/>
    </xf>
    <xf numFmtId="15" fontId="5" fillId="0" borderId="0" xfId="0" applyNumberFormat="1" applyFont="1" applyFill="1" applyAlignment="1">
      <alignment horizontal="centerContinuous"/>
    </xf>
    <xf numFmtId="18" fontId="5" fillId="0" borderId="0" xfId="0" applyNumberFormat="1" applyFont="1" applyFill="1" applyAlignment="1">
      <alignment horizontal="centerContinuous"/>
    </xf>
    <xf numFmtId="0" fontId="5" fillId="0" borderId="10" xfId="0" applyFont="1" applyFill="1" applyBorder="1" applyAlignment="1">
      <alignment horizontal="center"/>
    </xf>
    <xf numFmtId="0" fontId="5" fillId="0" borderId="10" xfId="0" applyFont="1" applyFill="1" applyBorder="1"/>
    <xf numFmtId="0" fontId="3" fillId="0" borderId="0" xfId="0" applyFont="1" applyFill="1" applyAlignment="1">
      <alignment horizontal="center"/>
    </xf>
    <xf numFmtId="166" fontId="3" fillId="0" borderId="0" xfId="108" applyNumberFormat="1" applyFont="1" applyFill="1" applyBorder="1"/>
    <xf numFmtId="0" fontId="35" fillId="0" borderId="0" xfId="0" applyFont="1" applyFill="1" applyBorder="1" applyAlignment="1">
      <alignment horizontal="left" indent="1"/>
    </xf>
    <xf numFmtId="0" fontId="3" fillId="0" borderId="0" xfId="0" applyFont="1" applyFill="1" applyAlignment="1">
      <alignment horizontal="left" indent="2"/>
    </xf>
    <xf numFmtId="42" fontId="3" fillId="0" borderId="0" xfId="86" applyNumberFormat="1" applyFont="1" applyFill="1"/>
    <xf numFmtId="42" fontId="3" fillId="0" borderId="0" xfId="86" applyNumberFormat="1" applyFont="1" applyFill="1" applyBorder="1"/>
    <xf numFmtId="41" fontId="3" fillId="0" borderId="0" xfId="86" applyNumberFormat="1" applyFont="1" applyFill="1"/>
    <xf numFmtId="41" fontId="3" fillId="0" borderId="0" xfId="86" applyNumberFormat="1" applyFont="1" applyFill="1" applyBorder="1"/>
    <xf numFmtId="41" fontId="3" fillId="0" borderId="10" xfId="86" applyNumberFormat="1" applyFont="1" applyFill="1" applyBorder="1"/>
    <xf numFmtId="42" fontId="3" fillId="0" borderId="5" xfId="0" applyNumberFormat="1" applyFont="1" applyFill="1" applyBorder="1"/>
    <xf numFmtId="42" fontId="3" fillId="0" borderId="0" xfId="0" applyNumberFormat="1" applyFont="1" applyFill="1" applyBorder="1"/>
    <xf numFmtId="41" fontId="3" fillId="0" borderId="0" xfId="0" applyNumberFormat="1" applyFont="1" applyFill="1" applyBorder="1"/>
    <xf numFmtId="5" fontId="3" fillId="0" borderId="0" xfId="0" applyNumberFormat="1" applyFont="1" applyFill="1" applyBorder="1" applyAlignment="1">
      <alignment horizontal="centerContinuous"/>
    </xf>
    <xf numFmtId="165" fontId="5" fillId="0" borderId="0" xfId="87" applyNumberFormat="1" applyFont="1" applyBorder="1" applyProtection="1"/>
    <xf numFmtId="42" fontId="3" fillId="0" borderId="11" xfId="86" applyNumberFormat="1" applyFont="1" applyFill="1" applyBorder="1"/>
    <xf numFmtId="9" fontId="3" fillId="0" borderId="0" xfId="0" applyNumberFormat="1" applyFont="1"/>
    <xf numFmtId="41" fontId="3" fillId="0" borderId="10" xfId="9" applyNumberFormat="1" applyFont="1" applyFill="1" applyBorder="1" applyAlignment="1" applyProtection="1">
      <protection locked="0"/>
    </xf>
    <xf numFmtId="166" fontId="3" fillId="0" borderId="4" xfId="9" applyNumberFormat="1" applyFont="1" applyFill="1" applyBorder="1" applyAlignment="1"/>
    <xf numFmtId="0" fontId="3" fillId="0" borderId="0" xfId="211" applyFont="1" applyFill="1" applyBorder="1"/>
    <xf numFmtId="164" fontId="9" fillId="0" borderId="0" xfId="9" applyFont="1" applyFill="1" applyAlignment="1">
      <alignment horizontal="centerContinuous"/>
    </xf>
    <xf numFmtId="0" fontId="3" fillId="0" borderId="0" xfId="0" applyNumberFormat="1" applyFont="1" applyFill="1" applyAlignment="1">
      <alignment horizontal="centerContinuous" vertical="center"/>
    </xf>
    <xf numFmtId="164" fontId="5" fillId="0" borderId="0" xfId="0" applyNumberFormat="1" applyFont="1" applyFill="1" applyAlignment="1">
      <alignment horizontal="centerContinuous"/>
    </xf>
    <xf numFmtId="0" fontId="3" fillId="0" borderId="0" xfId="0" applyNumberFormat="1" applyFont="1" applyFill="1" applyAlignment="1" applyProtection="1">
      <alignment horizontal="center"/>
      <protection locked="0"/>
    </xf>
    <xf numFmtId="0" fontId="3" fillId="0" borderId="10" xfId="0" applyNumberFormat="1" applyFont="1" applyFill="1" applyBorder="1" applyAlignment="1">
      <alignment horizontal="center"/>
    </xf>
    <xf numFmtId="0" fontId="3" fillId="0" borderId="10" xfId="0" applyNumberFormat="1" applyFont="1" applyFill="1" applyBorder="1" applyAlignment="1"/>
    <xf numFmtId="164" fontId="35" fillId="0" borderId="0" xfId="0" applyNumberFormat="1" applyFont="1" applyAlignment="1">
      <alignment horizontal="left"/>
    </xf>
    <xf numFmtId="42" fontId="3" fillId="0" borderId="0" xfId="0" applyNumberFormat="1" applyFont="1" applyFill="1" applyBorder="1" applyAlignment="1" applyProtection="1">
      <alignment horizontal="right"/>
      <protection locked="0"/>
    </xf>
    <xf numFmtId="164" fontId="3" fillId="0" borderId="0" xfId="0" applyNumberFormat="1" applyFont="1" applyAlignment="1">
      <alignment horizontal="left" indent="2"/>
    </xf>
    <xf numFmtId="42" fontId="3" fillId="0" borderId="0" xfId="1" applyNumberFormat="1" applyFont="1" applyFill="1" applyBorder="1"/>
    <xf numFmtId="41" fontId="3" fillId="0" borderId="0" xfId="0" applyNumberFormat="1" applyFont="1" applyFill="1" applyBorder="1" applyAlignment="1" applyProtection="1">
      <alignment horizontal="right"/>
      <protection locked="0"/>
    </xf>
    <xf numFmtId="41" fontId="3" fillId="0" borderId="0" xfId="1" applyNumberFormat="1" applyFont="1" applyFill="1" applyBorder="1"/>
    <xf numFmtId="41" fontId="3" fillId="0" borderId="10" xfId="0" applyNumberFormat="1" applyFont="1" applyFill="1" applyBorder="1" applyAlignment="1" applyProtection="1">
      <alignment horizontal="right"/>
      <protection locked="0"/>
    </xf>
    <xf numFmtId="41" fontId="3" fillId="0" borderId="10" xfId="1" applyNumberFormat="1" applyFont="1" applyFill="1" applyBorder="1"/>
    <xf numFmtId="164" fontId="3" fillId="0" borderId="0" xfId="0" applyNumberFormat="1" applyFont="1" applyAlignment="1">
      <alignment horizontal="left"/>
    </xf>
    <xf numFmtId="42" fontId="3" fillId="0" borderId="6" xfId="0" applyNumberFormat="1" applyFont="1" applyFill="1" applyBorder="1" applyAlignment="1" applyProtection="1">
      <alignment horizontal="right"/>
      <protection locked="0"/>
    </xf>
    <xf numFmtId="164" fontId="3" fillId="0" borderId="0" xfId="0" applyNumberFormat="1" applyFont="1" applyFill="1" applyAlignment="1">
      <alignment horizontal="left" wrapText="1"/>
    </xf>
    <xf numFmtId="164" fontId="3" fillId="0" borderId="0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vertical="center"/>
    </xf>
    <xf numFmtId="164" fontId="3" fillId="0" borderId="0" xfId="0" applyNumberFormat="1" applyFont="1" applyAlignment="1">
      <alignment horizontal="left" indent="1"/>
    </xf>
    <xf numFmtId="42" fontId="3" fillId="0" borderId="11" xfId="209" applyNumberFormat="1" applyFont="1" applyBorder="1"/>
    <xf numFmtId="164" fontId="3" fillId="0" borderId="0" xfId="0" applyNumberFormat="1" applyFont="1" applyFill="1" applyBorder="1" applyAlignment="1">
      <alignment horizontal="left" wrapText="1"/>
    </xf>
    <xf numFmtId="0" fontId="3" fillId="0" borderId="0" xfId="0" quotePrefix="1" applyNumberFormat="1" applyFont="1" applyFill="1" applyAlignment="1">
      <alignment horizontal="left"/>
    </xf>
    <xf numFmtId="41" fontId="3" fillId="0" borderId="0" xfId="1" applyNumberFormat="1" applyFont="1" applyFill="1" applyBorder="1" applyAlignment="1"/>
    <xf numFmtId="37" fontId="3" fillId="0" borderId="0" xfId="0" applyNumberFormat="1" applyFont="1" applyFill="1" applyAlignment="1"/>
    <xf numFmtId="37" fontId="3" fillId="0" borderId="0" xfId="0" applyNumberFormat="1" applyFont="1" applyFill="1" applyBorder="1" applyAlignment="1"/>
    <xf numFmtId="165" fontId="3" fillId="0" borderId="0" xfId="1" applyNumberFormat="1" applyFont="1" applyFill="1" applyBorder="1" applyAlignment="1"/>
    <xf numFmtId="0" fontId="42" fillId="0" borderId="0" xfId="0" applyNumberFormat="1" applyFont="1" applyAlignment="1" applyProtection="1"/>
    <xf numFmtId="165" fontId="3" fillId="0" borderId="0" xfId="1" applyNumberFormat="1" applyFont="1" applyProtection="1"/>
    <xf numFmtId="165" fontId="3" fillId="0" borderId="0" xfId="1" applyNumberFormat="1" applyFont="1"/>
    <xf numFmtId="0" fontId="42" fillId="0" borderId="0" xfId="0" applyNumberFormat="1" applyFont="1" applyFill="1" applyAlignment="1"/>
    <xf numFmtId="164" fontId="3" fillId="0" borderId="0" xfId="0" applyNumberFormat="1" applyFont="1" applyFill="1" applyAlignment="1" applyProtection="1">
      <alignment horizontal="centerContinuous"/>
      <protection locked="0"/>
    </xf>
    <xf numFmtId="164" fontId="3" fillId="0" borderId="0" xfId="0" applyNumberFormat="1" applyFont="1" applyFill="1" applyAlignment="1">
      <alignment horizontal="centerContinuous"/>
    </xf>
    <xf numFmtId="15" fontId="3" fillId="0" borderId="0" xfId="0" applyNumberFormat="1" applyFont="1" applyFill="1" applyAlignment="1">
      <alignment horizontal="centerContinuous"/>
    </xf>
    <xf numFmtId="18" fontId="3" fillId="0" borderId="0" xfId="0" applyNumberFormat="1" applyFont="1" applyFill="1" applyAlignment="1">
      <alignment horizontal="centerContinuous"/>
    </xf>
    <xf numFmtId="0" fontId="3" fillId="0" borderId="0" xfId="212" applyFont="1" applyFill="1"/>
    <xf numFmtId="164" fontId="43" fillId="0" borderId="0" xfId="9" applyNumberFormat="1" applyFont="1" applyFill="1" applyAlignment="1">
      <alignment horizontal="left"/>
    </xf>
    <xf numFmtId="0" fontId="3" fillId="0" borderId="0" xfId="212" applyFont="1" applyFill="1" applyAlignment="1">
      <alignment horizontal="center"/>
    </xf>
    <xf numFmtId="0" fontId="3" fillId="0" borderId="0" xfId="212" applyFont="1" applyFill="1" applyAlignment="1" applyProtection="1">
      <alignment horizontal="center"/>
      <protection locked="0"/>
    </xf>
    <xf numFmtId="0" fontId="3" fillId="0" borderId="10" xfId="212" applyFont="1" applyFill="1" applyBorder="1" applyAlignment="1">
      <alignment horizontal="center"/>
    </xf>
    <xf numFmtId="0" fontId="3" fillId="0" borderId="10" xfId="212" applyFont="1" applyFill="1" applyBorder="1"/>
    <xf numFmtId="164" fontId="35" fillId="0" borderId="0" xfId="9" applyNumberFormat="1" applyFont="1" applyAlignment="1">
      <alignment horizontal="left"/>
    </xf>
    <xf numFmtId="0" fontId="43" fillId="0" borderId="0" xfId="212" applyFont="1"/>
    <xf numFmtId="0" fontId="43" fillId="0" borderId="0" xfId="212" applyFont="1" applyFill="1"/>
    <xf numFmtId="164" fontId="3" fillId="0" borderId="0" xfId="9" applyNumberFormat="1" applyFont="1" applyFill="1" applyAlignment="1">
      <alignment horizontal="left" indent="2"/>
    </xf>
    <xf numFmtId="0" fontId="3" fillId="0" borderId="0" xfId="0" applyNumberFormat="1" applyFont="1" applyFill="1" applyAlignment="1">
      <alignment horizontal="left" indent="2"/>
    </xf>
    <xf numFmtId="42" fontId="3" fillId="0" borderId="0" xfId="212" applyNumberFormat="1" applyFont="1" applyFill="1" applyBorder="1"/>
    <xf numFmtId="41" fontId="3" fillId="0" borderId="0" xfId="212" applyNumberFormat="1" applyFont="1" applyFill="1" applyBorder="1"/>
    <xf numFmtId="42" fontId="3" fillId="0" borderId="0" xfId="0" applyNumberFormat="1" applyFont="1" applyFill="1" applyBorder="1" applyAlignment="1">
      <alignment horizontal="right"/>
    </xf>
    <xf numFmtId="164" fontId="3" fillId="0" borderId="0" xfId="9" applyNumberFormat="1" applyFont="1" applyFill="1" applyAlignment="1">
      <alignment horizontal="left"/>
    </xf>
    <xf numFmtId="42" fontId="3" fillId="0" borderId="6" xfId="212" applyNumberFormat="1" applyFont="1" applyFill="1" applyBorder="1"/>
    <xf numFmtId="0" fontId="35" fillId="0" borderId="0" xfId="0" applyNumberFormat="1" applyFont="1" applyFill="1" applyBorder="1" applyAlignment="1">
      <alignment horizontal="left" indent="1"/>
    </xf>
    <xf numFmtId="42" fontId="3" fillId="0" borderId="5" xfId="212" applyNumberFormat="1" applyFont="1" applyFill="1" applyBorder="1"/>
    <xf numFmtId="0" fontId="3" fillId="0" borderId="0" xfId="212" applyFont="1" applyFill="1" applyAlignment="1">
      <alignment horizontal="left" indent="2"/>
    </xf>
    <xf numFmtId="164" fontId="35" fillId="0" borderId="0" xfId="9" applyNumberFormat="1" applyFont="1" applyFill="1" applyAlignment="1">
      <alignment horizontal="left"/>
    </xf>
    <xf numFmtId="164" fontId="3" fillId="0" borderId="0" xfId="9" applyNumberFormat="1" applyFont="1" applyFill="1" applyAlignment="1">
      <alignment horizontal="left" indent="1"/>
    </xf>
    <xf numFmtId="164" fontId="3" fillId="0" borderId="0" xfId="9" quotePrefix="1" applyNumberFormat="1" applyFont="1" applyFill="1" applyAlignment="1">
      <alignment horizontal="left"/>
    </xf>
    <xf numFmtId="41" fontId="3" fillId="0" borderId="11" xfId="212" applyNumberFormat="1" applyFont="1" applyFill="1" applyBorder="1"/>
    <xf numFmtId="41" fontId="3" fillId="0" borderId="10" xfId="212" applyNumberFormat="1" applyFont="1" applyFill="1" applyBorder="1"/>
    <xf numFmtId="41" fontId="3" fillId="0" borderId="0" xfId="9" applyNumberFormat="1" applyFont="1" applyFill="1" applyBorder="1" applyAlignment="1" applyProtection="1">
      <protection locked="0"/>
    </xf>
    <xf numFmtId="166" fontId="3" fillId="0" borderId="6" xfId="9" applyNumberFormat="1" applyFont="1" applyFill="1" applyBorder="1" applyAlignment="1"/>
    <xf numFmtId="0" fontId="43" fillId="0" borderId="0" xfId="0" applyNumberFormat="1" applyFont="1" applyAlignment="1"/>
    <xf numFmtId="0" fontId="42" fillId="0" borderId="0" xfId="2" applyNumberFormat="1" applyFont="1" applyAlignment="1" applyProtection="1"/>
    <xf numFmtId="165" fontId="3" fillId="0" borderId="0" xfId="213" applyNumberFormat="1" applyFont="1" applyProtection="1"/>
    <xf numFmtId="165" fontId="3" fillId="0" borderId="0" xfId="213" applyNumberFormat="1" applyFont="1"/>
    <xf numFmtId="0" fontId="42" fillId="0" borderId="0" xfId="2" applyNumberFormat="1" applyFont="1" applyAlignment="1"/>
    <xf numFmtId="0" fontId="42" fillId="0" borderId="0" xfId="2" applyNumberFormat="1" applyFont="1" applyFill="1" applyAlignment="1"/>
    <xf numFmtId="10" fontId="3" fillId="0" borderId="0" xfId="214" applyNumberFormat="1" applyFont="1" applyFill="1"/>
    <xf numFmtId="0" fontId="3" fillId="0" borderId="0" xfId="2" applyNumberFormat="1" applyFont="1" applyFill="1" applyAlignment="1"/>
    <xf numFmtId="165" fontId="3" fillId="0" borderId="0" xfId="87" applyNumberFormat="1" applyFont="1" applyProtection="1"/>
    <xf numFmtId="165" fontId="5" fillId="0" borderId="0" xfId="87" applyNumberFormat="1" applyFont="1" applyProtection="1"/>
    <xf numFmtId="165" fontId="3" fillId="0" borderId="0" xfId="87" applyNumberFormat="1" applyFont="1"/>
    <xf numFmtId="165" fontId="5" fillId="0" borderId="0" xfId="87" applyNumberFormat="1" applyFont="1"/>
    <xf numFmtId="0" fontId="5" fillId="0" borderId="0" xfId="2" applyNumberFormat="1" applyFont="1" applyFill="1" applyAlignment="1"/>
    <xf numFmtId="164" fontId="5" fillId="0" borderId="0" xfId="0" applyNumberFormat="1" applyFont="1" applyFill="1" applyAlignment="1" applyProtection="1">
      <alignment horizontal="centerContinuous"/>
      <protection locked="0"/>
    </xf>
    <xf numFmtId="0" fontId="5" fillId="0" borderId="0" xfId="212" applyFont="1" applyFill="1"/>
    <xf numFmtId="164" fontId="3" fillId="0" borderId="0" xfId="0" applyNumberFormat="1" applyFont="1" applyFill="1" applyAlignment="1">
      <alignment horizontal="left"/>
    </xf>
    <xf numFmtId="0" fontId="5" fillId="0" borderId="0" xfId="212" applyFont="1" applyFill="1" applyAlignment="1" applyProtection="1">
      <alignment horizontal="center"/>
      <protection locked="0"/>
    </xf>
    <xf numFmtId="0" fontId="5" fillId="0" borderId="0" xfId="212" applyFont="1" applyFill="1" applyAlignment="1">
      <alignment horizontal="center"/>
    </xf>
    <xf numFmtId="0" fontId="5" fillId="0" borderId="10" xfId="212" applyFont="1" applyFill="1" applyBorder="1" applyAlignment="1">
      <alignment horizontal="center"/>
    </xf>
    <xf numFmtId="0" fontId="5" fillId="0" borderId="10" xfId="212" applyFont="1" applyFill="1" applyBorder="1"/>
    <xf numFmtId="0" fontId="3" fillId="0" borderId="0" xfId="212" applyFont="1"/>
    <xf numFmtId="42" fontId="3" fillId="0" borderId="0" xfId="10" applyNumberFormat="1" applyFont="1" applyFill="1"/>
    <xf numFmtId="42" fontId="3" fillId="0" borderId="0" xfId="10" applyNumberFormat="1" applyFont="1" applyFill="1" applyBorder="1"/>
    <xf numFmtId="41" fontId="3" fillId="0" borderId="0" xfId="10" applyNumberFormat="1" applyFont="1" applyFill="1"/>
    <xf numFmtId="41" fontId="3" fillId="0" borderId="0" xfId="10" applyNumberFormat="1" applyFont="1" applyFill="1" applyBorder="1"/>
    <xf numFmtId="0" fontId="35" fillId="0" borderId="0" xfId="210" applyFont="1" applyFill="1" applyBorder="1" applyAlignment="1">
      <alignment horizontal="left"/>
    </xf>
    <xf numFmtId="0" fontId="3" fillId="0" borderId="0" xfId="212" applyFont="1" applyBorder="1"/>
    <xf numFmtId="41" fontId="3" fillId="0" borderId="10" xfId="10" applyNumberFormat="1" applyFont="1" applyFill="1" applyBorder="1"/>
    <xf numFmtId="0" fontId="3" fillId="0" borderId="0" xfId="210" applyFont="1" applyFill="1" applyBorder="1" applyAlignment="1">
      <alignment horizontal="left"/>
    </xf>
    <xf numFmtId="165" fontId="3" fillId="0" borderId="0" xfId="86" applyNumberFormat="1" applyFont="1" applyFill="1" applyBorder="1" applyAlignment="1"/>
    <xf numFmtId="166" fontId="3" fillId="0" borderId="6" xfId="0" applyNumberFormat="1" applyFont="1" applyFill="1" applyBorder="1" applyAlignment="1"/>
    <xf numFmtId="165" fontId="5" fillId="0" borderId="0" xfId="213" applyNumberFormat="1" applyFont="1" applyProtection="1"/>
    <xf numFmtId="165" fontId="5" fillId="0" borderId="0" xfId="213" applyNumberFormat="1" applyFont="1"/>
    <xf numFmtId="9" fontId="5" fillId="0" borderId="10" xfId="0" applyNumberFormat="1" applyFont="1" applyFill="1" applyBorder="1" applyAlignment="1">
      <alignment horizontal="center"/>
    </xf>
    <xf numFmtId="0" fontId="35" fillId="0" borderId="0" xfId="0" applyNumberFormat="1" applyFont="1" applyFill="1" applyAlignment="1"/>
    <xf numFmtId="42" fontId="9" fillId="0" borderId="0" xfId="0" applyNumberFormat="1" applyFont="1" applyFill="1" applyAlignment="1"/>
    <xf numFmtId="41" fontId="9" fillId="0" borderId="0" xfId="0" applyNumberFormat="1" applyFont="1" applyFill="1" applyAlignment="1"/>
    <xf numFmtId="41" fontId="3" fillId="0" borderId="11" xfId="0" applyNumberFormat="1" applyFont="1" applyFill="1" applyBorder="1" applyAlignment="1"/>
    <xf numFmtId="41" fontId="9" fillId="0" borderId="11" xfId="0" applyNumberFormat="1" applyFont="1" applyFill="1" applyBorder="1" applyAlignment="1"/>
    <xf numFmtId="41" fontId="9" fillId="0" borderId="0" xfId="0" applyNumberFormat="1" applyFont="1" applyFill="1" applyBorder="1" applyAlignment="1"/>
    <xf numFmtId="41" fontId="3" fillId="0" borderId="10" xfId="0" applyNumberFormat="1" applyFont="1" applyFill="1" applyBorder="1" applyAlignment="1"/>
    <xf numFmtId="41" fontId="9" fillId="0" borderId="10" xfId="0" applyNumberFormat="1" applyFont="1" applyFill="1" applyBorder="1" applyAlignment="1"/>
    <xf numFmtId="0" fontId="9" fillId="0" borderId="0" xfId="0" applyNumberFormat="1" applyFont="1" applyFill="1" applyAlignment="1"/>
    <xf numFmtId="0" fontId="35" fillId="0" borderId="0" xfId="0" applyNumberFormat="1" applyFont="1" applyFill="1" applyBorder="1" applyAlignment="1">
      <alignment horizontal="left"/>
    </xf>
    <xf numFmtId="166" fontId="9" fillId="0" borderId="0" xfId="6" applyNumberFormat="1" applyFont="1" applyFill="1" applyBorder="1"/>
    <xf numFmtId="165" fontId="9" fillId="0" borderId="11" xfId="0" applyNumberFormat="1" applyFont="1" applyFill="1" applyBorder="1" applyAlignment="1">
      <alignment horizontal="left" wrapText="1"/>
    </xf>
    <xf numFmtId="0" fontId="4" fillId="0" borderId="0" xfId="0" applyNumberFormat="1" applyFont="1" applyFill="1" applyAlignment="1"/>
    <xf numFmtId="165" fontId="9" fillId="0" borderId="11" xfId="0" applyNumberFormat="1" applyFont="1" applyFill="1" applyBorder="1" applyAlignment="1"/>
    <xf numFmtId="165" fontId="4" fillId="0" borderId="0" xfId="0" applyNumberFormat="1" applyFont="1" applyFill="1" applyBorder="1" applyAlignment="1"/>
    <xf numFmtId="165" fontId="9" fillId="0" borderId="0" xfId="0" applyNumberFormat="1" applyFont="1" applyFill="1" applyBorder="1" applyAlignment="1"/>
    <xf numFmtId="3" fontId="9" fillId="0" borderId="0" xfId="5" applyNumberFormat="1" applyFont="1" applyFill="1" applyBorder="1"/>
    <xf numFmtId="42" fontId="9" fillId="0" borderId="6" xfId="0" applyNumberFormat="1" applyFont="1" applyFill="1" applyBorder="1" applyAlignment="1"/>
    <xf numFmtId="42" fontId="3" fillId="0" borderId="0" xfId="0" applyNumberFormat="1" applyFont="1" applyFill="1" applyAlignment="1" applyProtection="1">
      <protection locked="0"/>
    </xf>
    <xf numFmtId="42" fontId="44" fillId="0" borderId="0" xfId="0" applyNumberFormat="1" applyFont="1" applyFill="1" applyAlignment="1"/>
    <xf numFmtId="41" fontId="44" fillId="0" borderId="0" xfId="0" applyNumberFormat="1" applyFont="1" applyFill="1" applyBorder="1" applyAlignment="1"/>
    <xf numFmtId="41" fontId="45" fillId="0" borderId="0" xfId="0" applyNumberFormat="1" applyFont="1" applyFill="1" applyAlignment="1" applyProtection="1">
      <protection locked="0"/>
    </xf>
    <xf numFmtId="41" fontId="44" fillId="0" borderId="0" xfId="0" applyNumberFormat="1" applyFont="1" applyFill="1" applyAlignment="1"/>
    <xf numFmtId="41" fontId="44" fillId="0" borderId="11" xfId="0" applyNumberFormat="1" applyFont="1" applyFill="1" applyBorder="1" applyAlignment="1" applyProtection="1">
      <protection locked="0"/>
    </xf>
    <xf numFmtId="41" fontId="44" fillId="0" borderId="0" xfId="0" applyNumberFormat="1" applyFont="1" applyFill="1" applyBorder="1" applyAlignment="1">
      <alignment horizontal="center"/>
    </xf>
    <xf numFmtId="42" fontId="3" fillId="0" borderId="5" xfId="5" applyNumberFormat="1" applyFont="1" applyFill="1" applyBorder="1" applyAlignment="1"/>
    <xf numFmtId="42" fontId="9" fillId="0" borderId="5" xfId="5" applyNumberFormat="1" applyFont="1" applyFill="1" applyBorder="1" applyAlignment="1"/>
    <xf numFmtId="187" fontId="9" fillId="0" borderId="11" xfId="0" applyNumberFormat="1" applyFont="1" applyFill="1" applyBorder="1" applyAlignment="1"/>
    <xf numFmtId="188" fontId="9" fillId="0" borderId="11" xfId="0" applyNumberFormat="1" applyFont="1" applyFill="1" applyBorder="1" applyAlignment="1"/>
    <xf numFmtId="42" fontId="3" fillId="0" borderId="0" xfId="5" applyNumberFormat="1" applyFont="1" applyFill="1" applyBorder="1" applyAlignment="1"/>
    <xf numFmtId="42" fontId="9" fillId="0" borderId="0" xfId="5" applyNumberFormat="1" applyFont="1" applyFill="1" applyBorder="1" applyAlignment="1"/>
    <xf numFmtId="43" fontId="9" fillId="0" borderId="10" xfId="1" applyFont="1" applyFill="1" applyBorder="1" applyAlignment="1">
      <alignment horizontal="center"/>
    </xf>
    <xf numFmtId="0" fontId="5" fillId="0" borderId="0" xfId="0" applyFont="1" applyFill="1" applyAlignment="1" applyProtection="1">
      <alignment horizontal="center"/>
      <protection locked="0"/>
    </xf>
    <xf numFmtId="0" fontId="5" fillId="0" borderId="0" xfId="0" applyFont="1" applyFill="1" applyAlignment="1">
      <alignment horizontal="center"/>
    </xf>
    <xf numFmtId="0" fontId="47" fillId="0" borderId="0" xfId="0" applyFont="1"/>
    <xf numFmtId="0" fontId="5" fillId="0" borderId="0" xfId="0" applyFont="1"/>
    <xf numFmtId="0" fontId="47" fillId="0" borderId="1" xfId="0" applyFont="1" applyBorder="1" applyAlignment="1">
      <alignment horizontal="center"/>
    </xf>
    <xf numFmtId="0" fontId="47" fillId="0" borderId="7" xfId="0" applyFont="1" applyBorder="1" applyAlignment="1">
      <alignment horizontal="center"/>
    </xf>
    <xf numFmtId="0" fontId="47" fillId="0" borderId="2" xfId="0" applyFont="1" applyBorder="1" applyAlignment="1">
      <alignment horizontal="center"/>
    </xf>
    <xf numFmtId="0" fontId="47" fillId="0" borderId="8" xfId="0" quotePrefix="1" applyFont="1" applyBorder="1" applyAlignment="1">
      <alignment horizontal="center"/>
    </xf>
    <xf numFmtId="0" fontId="47" fillId="0" borderId="2" xfId="0" quotePrefix="1" applyFont="1" applyBorder="1" applyAlignment="1">
      <alignment horizontal="center"/>
    </xf>
    <xf numFmtId="0" fontId="47" fillId="0" borderId="3" xfId="0" applyFont="1" applyBorder="1" applyAlignment="1">
      <alignment horizontal="center"/>
    </xf>
    <xf numFmtId="0" fontId="47" fillId="0" borderId="9" xfId="0" applyFont="1" applyBorder="1" applyAlignment="1">
      <alignment horizontal="center"/>
    </xf>
    <xf numFmtId="0" fontId="48" fillId="0" borderId="0" xfId="0" applyFont="1"/>
    <xf numFmtId="165" fontId="47" fillId="0" borderId="4" xfId="1" applyNumberFormat="1" applyFont="1" applyBorder="1"/>
    <xf numFmtId="165" fontId="42" fillId="0" borderId="4" xfId="1" applyNumberFormat="1" applyFont="1" applyFill="1" applyBorder="1" applyAlignment="1"/>
    <xf numFmtId="165" fontId="47" fillId="0" borderId="4" xfId="0" applyNumberFormat="1" applyFont="1" applyBorder="1"/>
    <xf numFmtId="43" fontId="47" fillId="0" borderId="0" xfId="1" applyFont="1"/>
    <xf numFmtId="165" fontId="47" fillId="0" borderId="0" xfId="1" applyNumberFormat="1" applyFont="1"/>
    <xf numFmtId="165" fontId="42" fillId="0" borderId="0" xfId="1" applyNumberFormat="1" applyFont="1" applyFill="1" applyAlignment="1"/>
    <xf numFmtId="165" fontId="47" fillId="0" borderId="0" xfId="0" applyNumberFormat="1" applyFont="1"/>
    <xf numFmtId="168" fontId="38" fillId="0" borderId="0" xfId="244" applyNumberFormat="1" applyFont="1" applyBorder="1"/>
    <xf numFmtId="168" fontId="5" fillId="0" borderId="0" xfId="3" applyNumberFormat="1" applyFont="1" applyFill="1" applyBorder="1"/>
    <xf numFmtId="0" fontId="3" fillId="0" borderId="0" xfId="0" applyFont="1" applyFill="1" applyBorder="1"/>
    <xf numFmtId="0" fontId="57" fillId="0" borderId="7" xfId="0" applyFont="1" applyBorder="1"/>
    <xf numFmtId="0" fontId="4" fillId="0" borderId="27" xfId="0" applyFont="1" applyBorder="1" applyAlignment="1">
      <alignment horizontal="center"/>
    </xf>
    <xf numFmtId="0" fontId="38" fillId="0" borderId="8" xfId="0" applyFont="1" applyBorder="1" applyAlignment="1"/>
    <xf numFmtId="10" fontId="3" fillId="0" borderId="23" xfId="245" applyNumberFormat="1" applyFont="1" applyFill="1" applyBorder="1" applyAlignment="1"/>
    <xf numFmtId="0" fontId="3" fillId="0" borderId="8" xfId="0" applyFont="1" applyBorder="1" applyAlignment="1"/>
    <xf numFmtId="0" fontId="38" fillId="0" borderId="8" xfId="0" applyFont="1" applyBorder="1" applyAlignment="1" applyProtection="1"/>
    <xf numFmtId="0" fontId="3" fillId="0" borderId="8" xfId="0" applyFont="1" applyFill="1" applyBorder="1" applyAlignment="1"/>
    <xf numFmtId="168" fontId="5" fillId="0" borderId="23" xfId="3" applyNumberFormat="1" applyFont="1" applyFill="1" applyBorder="1"/>
    <xf numFmtId="0" fontId="3" fillId="0" borderId="23" xfId="0" applyFont="1" applyFill="1" applyBorder="1"/>
    <xf numFmtId="0" fontId="3" fillId="0" borderId="9" xfId="0" applyFont="1" applyFill="1" applyBorder="1" applyAlignment="1"/>
    <xf numFmtId="0" fontId="3" fillId="0" borderId="10" xfId="0" applyFont="1" applyFill="1" applyBorder="1"/>
    <xf numFmtId="0" fontId="3" fillId="0" borderId="28" xfId="0" applyFont="1" applyFill="1" applyBorder="1"/>
    <xf numFmtId="0" fontId="4" fillId="0" borderId="9" xfId="0" applyFont="1" applyBorder="1" applyAlignment="1">
      <alignment horizontal="center"/>
    </xf>
    <xf numFmtId="0" fontId="39" fillId="0" borderId="0" xfId="0" applyFont="1"/>
    <xf numFmtId="165" fontId="4" fillId="0" borderId="4" xfId="1" applyNumberFormat="1" applyFont="1" applyBorder="1"/>
    <xf numFmtId="165" fontId="4" fillId="0" borderId="4" xfId="0" applyNumberFormat="1" applyFont="1" applyBorder="1"/>
    <xf numFmtId="43" fontId="4" fillId="0" borderId="0" xfId="1" applyFont="1"/>
    <xf numFmtId="165" fontId="4" fillId="0" borderId="0" xfId="0" applyNumberFormat="1" applyFont="1"/>
    <xf numFmtId="165" fontId="4" fillId="0" borderId="10" xfId="1" applyNumberFormat="1" applyFont="1" applyBorder="1"/>
    <xf numFmtId="165" fontId="39" fillId="0" borderId="12" xfId="1" applyNumberFormat="1" applyFont="1" applyBorder="1"/>
    <xf numFmtId="42" fontId="3" fillId="0" borderId="0" xfId="86" applyNumberFormat="1" applyFont="1" applyFill="1" applyAlignment="1">
      <alignment horizontal="centerContinuous"/>
    </xf>
    <xf numFmtId="5" fontId="3" fillId="0" borderId="0" xfId="86" applyNumberFormat="1" applyFont="1" applyFill="1"/>
    <xf numFmtId="5" fontId="3" fillId="0" borderId="0" xfId="86" applyNumberFormat="1" applyFont="1" applyFill="1" applyBorder="1"/>
    <xf numFmtId="9" fontId="3" fillId="0" borderId="0" xfId="244" applyNumberFormat="1" applyFont="1" applyFill="1"/>
    <xf numFmtId="166" fontId="3" fillId="0" borderId="5" xfId="9" applyNumberFormat="1" applyFont="1" applyFill="1" applyBorder="1" applyAlignment="1"/>
    <xf numFmtId="41" fontId="3" fillId="0" borderId="4" xfId="0" applyNumberFormat="1" applyFont="1" applyFill="1" applyBorder="1" applyAlignment="1" applyProtection="1">
      <protection locked="0"/>
    </xf>
    <xf numFmtId="41" fontId="3" fillId="0" borderId="4" xfId="0" applyNumberFormat="1" applyFont="1" applyFill="1" applyBorder="1" applyAlignment="1"/>
    <xf numFmtId="165" fontId="3" fillId="0" borderId="4" xfId="1" applyNumberFormat="1" applyFont="1" applyFill="1" applyBorder="1" applyAlignment="1"/>
    <xf numFmtId="165" fontId="3" fillId="0" borderId="4" xfId="1" quotePrefix="1" applyNumberFormat="1" applyFont="1" applyFill="1" applyBorder="1" applyAlignment="1">
      <alignment horizontal="right"/>
    </xf>
    <xf numFmtId="165" fontId="3" fillId="0" borderId="4" xfId="1" applyNumberFormat="1" applyFont="1" applyFill="1" applyBorder="1" applyAlignment="1" applyProtection="1">
      <protection locked="0"/>
    </xf>
    <xf numFmtId="0" fontId="5" fillId="0" borderId="0" xfId="0" applyFont="1" applyFill="1" applyAlignment="1" applyProtection="1">
      <alignment horizontal="center"/>
      <protection locked="0"/>
    </xf>
    <xf numFmtId="0" fontId="5" fillId="0" borderId="0" xfId="0" applyFont="1" applyFill="1" applyAlignment="1">
      <alignment horizontal="center"/>
    </xf>
    <xf numFmtId="165" fontId="48" fillId="0" borderId="4" xfId="1" applyNumberFormat="1" applyFont="1" applyBorder="1"/>
    <xf numFmtId="165" fontId="4" fillId="0" borderId="0" xfId="1" applyNumberFormat="1" applyFont="1" applyFill="1" applyBorder="1"/>
    <xf numFmtId="42" fontId="4" fillId="0" borderId="4" xfId="0" applyNumberFormat="1" applyFont="1" applyFill="1" applyBorder="1"/>
    <xf numFmtId="165" fontId="4" fillId="0" borderId="0" xfId="1" applyNumberFormat="1" applyFont="1" applyFill="1"/>
    <xf numFmtId="42" fontId="4" fillId="0" borderId="6" xfId="1" applyNumberFormat="1" applyFont="1" applyFill="1" applyBorder="1"/>
    <xf numFmtId="42" fontId="4" fillId="0" borderId="0" xfId="1" applyNumberFormat="1" applyFont="1" applyFill="1" applyBorder="1"/>
    <xf numFmtId="3" fontId="5" fillId="0" borderId="0" xfId="5" applyNumberFormat="1" applyFont="1" applyFill="1" applyAlignment="1">
      <alignment horizontal="centerContinuous"/>
    </xf>
    <xf numFmtId="3" fontId="5" fillId="0" borderId="0" xfId="5" applyNumberFormat="1" applyFont="1" applyFill="1" applyAlignment="1"/>
    <xf numFmtId="3" fontId="5" fillId="0" borderId="0" xfId="0" applyNumberFormat="1" applyFont="1" applyFill="1" applyAlignment="1">
      <alignment horizontal="center"/>
    </xf>
    <xf numFmtId="3" fontId="5" fillId="0" borderId="10" xfId="5" applyNumberFormat="1" applyFont="1" applyFill="1" applyBorder="1" applyAlignment="1">
      <alignment horizontal="center"/>
    </xf>
    <xf numFmtId="184" fontId="3" fillId="0" borderId="0" xfId="0" applyNumberFormat="1" applyFont="1" applyFill="1" applyAlignment="1">
      <alignment horizontal="right"/>
    </xf>
    <xf numFmtId="37" fontId="3" fillId="0" borderId="0" xfId="5" applyNumberFormat="1" applyFont="1" applyFill="1" applyAlignment="1"/>
    <xf numFmtId="41" fontId="3" fillId="0" borderId="10" xfId="5" applyNumberFormat="1" applyFont="1" applyFill="1" applyBorder="1" applyAlignment="1" applyProtection="1">
      <protection locked="0"/>
    </xf>
    <xf numFmtId="42" fontId="3" fillId="0" borderId="0" xfId="5" applyNumberFormat="1" applyFont="1" applyFill="1" applyAlignment="1" applyProtection="1">
      <protection locked="0"/>
    </xf>
    <xf numFmtId="41" fontId="3" fillId="0" borderId="0" xfId="5" applyNumberFormat="1" applyFont="1" applyFill="1" applyAlignment="1" applyProtection="1">
      <protection locked="0"/>
    </xf>
    <xf numFmtId="42" fontId="3" fillId="0" borderId="10" xfId="5" applyNumberFormat="1" applyFont="1" applyFill="1" applyBorder="1" applyAlignment="1" applyProtection="1">
      <protection locked="0"/>
    </xf>
    <xf numFmtId="41" fontId="3" fillId="0" borderId="0" xfId="0" applyNumberFormat="1" applyFont="1" applyFill="1" applyAlignment="1">
      <alignment horizontal="left"/>
    </xf>
    <xf numFmtId="41" fontId="3" fillId="0" borderId="0" xfId="5" applyNumberFormat="1" applyFont="1" applyFill="1" applyBorder="1" applyAlignment="1" applyProtection="1">
      <protection locked="0"/>
    </xf>
    <xf numFmtId="42" fontId="3" fillId="0" borderId="6" xfId="5" applyNumberFormat="1" applyFont="1" applyFill="1" applyBorder="1" applyAlignment="1"/>
    <xf numFmtId="15" fontId="59" fillId="0" borderId="0" xfId="0" applyNumberFormat="1" applyFont="1" applyFill="1" applyAlignment="1">
      <alignment horizontal="centerContinuous"/>
    </xf>
    <xf numFmtId="37" fontId="3" fillId="0" borderId="0" xfId="0" applyNumberFormat="1" applyFont="1" applyFill="1" applyAlignment="1">
      <alignment horizontal="right"/>
    </xf>
    <xf numFmtId="0" fontId="3" fillId="0" borderId="0" xfId="0" quotePrefix="1" applyNumberFormat="1" applyFont="1" applyFill="1" applyAlignment="1">
      <alignment horizontal="center"/>
    </xf>
    <xf numFmtId="37" fontId="3" fillId="0" borderId="0" xfId="0" applyNumberFormat="1" applyFont="1" applyFill="1" applyBorder="1" applyAlignment="1">
      <alignment horizontal="center"/>
    </xf>
    <xf numFmtId="0" fontId="35" fillId="0" borderId="0" xfId="0" quotePrefix="1" applyNumberFormat="1" applyFont="1" applyFill="1" applyAlignment="1">
      <alignment horizontal="center"/>
    </xf>
    <xf numFmtId="0" fontId="35" fillId="0" borderId="0" xfId="0" applyNumberFormat="1" applyFont="1" applyFill="1" applyBorder="1" applyAlignment="1">
      <alignment horizontal="center"/>
    </xf>
    <xf numFmtId="37" fontId="35" fillId="0" borderId="0" xfId="0" applyNumberFormat="1" applyFont="1" applyFill="1" applyBorder="1" applyAlignment="1">
      <alignment horizontal="center"/>
    </xf>
    <xf numFmtId="10" fontId="35" fillId="0" borderId="0" xfId="0" applyNumberFormat="1" applyFont="1" applyFill="1" applyAlignment="1">
      <alignment horizontal="center"/>
    </xf>
    <xf numFmtId="17" fontId="3" fillId="0" borderId="0" xfId="0" applyNumberFormat="1" applyFont="1" applyFill="1" applyAlignment="1"/>
    <xf numFmtId="165" fontId="3" fillId="0" borderId="0" xfId="5" applyNumberFormat="1" applyFont="1" applyFill="1" applyBorder="1" applyAlignment="1"/>
    <xf numFmtId="165" fontId="3" fillId="0" borderId="10" xfId="5" applyNumberFormat="1" applyFont="1" applyFill="1" applyBorder="1" applyAlignment="1"/>
    <xf numFmtId="37" fontId="3" fillId="0" borderId="10" xfId="0" applyNumberFormat="1" applyFont="1" applyFill="1" applyBorder="1" applyAlignment="1">
      <alignment horizontal="right"/>
    </xf>
    <xf numFmtId="41" fontId="3" fillId="0" borderId="0" xfId="6" applyNumberFormat="1" applyFont="1" applyFill="1" applyAlignment="1"/>
    <xf numFmtId="0" fontId="35" fillId="0" borderId="0" xfId="0" applyNumberFormat="1" applyFont="1" applyFill="1" applyAlignment="1">
      <alignment horizontal="left"/>
    </xf>
    <xf numFmtId="41" fontId="3" fillId="0" borderId="0" xfId="5" applyNumberFormat="1" applyFont="1" applyFill="1" applyBorder="1" applyAlignment="1"/>
    <xf numFmtId="41" fontId="3" fillId="0" borderId="10" xfId="5" applyNumberFormat="1" applyFont="1" applyFill="1" applyBorder="1" applyAlignment="1"/>
    <xf numFmtId="37" fontId="3" fillId="0" borderId="0" xfId="5" applyNumberFormat="1" applyFont="1" applyFill="1" applyBorder="1" applyAlignment="1"/>
    <xf numFmtId="172" fontId="3" fillId="0" borderId="0" xfId="0" applyNumberFormat="1" applyFont="1" applyFill="1" applyAlignment="1"/>
    <xf numFmtId="41" fontId="3" fillId="0" borderId="10" xfId="0" applyNumberFormat="1" applyFont="1" applyFill="1" applyBorder="1" applyAlignment="1">
      <alignment horizontal="right"/>
    </xf>
    <xf numFmtId="42" fontId="3" fillId="0" borderId="10" xfId="6" applyNumberFormat="1" applyFont="1" applyFill="1" applyBorder="1" applyAlignment="1"/>
    <xf numFmtId="41" fontId="3" fillId="0" borderId="10" xfId="6" applyNumberFormat="1" applyFont="1" applyFill="1" applyBorder="1" applyAlignment="1"/>
    <xf numFmtId="9" fontId="3" fillId="0" borderId="0" xfId="0" applyNumberFormat="1" applyFont="1" applyFill="1" applyAlignment="1">
      <alignment horizontal="right"/>
    </xf>
    <xf numFmtId="42" fontId="3" fillId="0" borderId="6" xfId="0" applyNumberFormat="1" applyFont="1" applyFill="1" applyBorder="1" applyAlignment="1" applyProtection="1">
      <protection locked="0"/>
    </xf>
    <xf numFmtId="164" fontId="60" fillId="0" borderId="0" xfId="0" applyNumberFormat="1" applyFont="1" applyFill="1" applyAlignment="1">
      <alignment horizontal="centerContinuous"/>
    </xf>
    <xf numFmtId="164" fontId="5" fillId="0" borderId="0" xfId="0" applyNumberFormat="1" applyFont="1" applyFill="1" applyAlignment="1">
      <alignment horizontal="centerContinuous" wrapText="1"/>
    </xf>
    <xf numFmtId="164" fontId="5" fillId="0" borderId="0" xfId="0" applyNumberFormat="1" applyFont="1" applyAlignment="1">
      <alignment horizontal="center"/>
    </xf>
    <xf numFmtId="164" fontId="5" fillId="0" borderId="0" xfId="0" applyNumberFormat="1" applyFont="1" applyAlignment="1" applyProtection="1">
      <alignment horizontal="left" wrapText="1"/>
      <protection locked="0"/>
    </xf>
    <xf numFmtId="164" fontId="5" fillId="0" borderId="0" xfId="0" applyNumberFormat="1" applyFont="1" applyFill="1" applyAlignment="1" applyProtection="1">
      <alignment horizontal="center"/>
      <protection locked="0"/>
    </xf>
    <xf numFmtId="164" fontId="5" fillId="0" borderId="10" xfId="0" applyNumberFormat="1" applyFont="1" applyBorder="1" applyAlignment="1">
      <alignment horizontal="center"/>
    </xf>
    <xf numFmtId="164" fontId="5" fillId="0" borderId="10" xfId="0" applyNumberFormat="1" applyFont="1" applyBorder="1" applyAlignment="1" applyProtection="1">
      <alignment horizontal="left" wrapText="1"/>
      <protection locked="0"/>
    </xf>
    <xf numFmtId="164" fontId="5" fillId="0" borderId="10" xfId="0" applyNumberFormat="1" applyFont="1" applyFill="1" applyBorder="1" applyAlignment="1" applyProtection="1">
      <alignment horizontal="center"/>
      <protection locked="0"/>
    </xf>
    <xf numFmtId="164" fontId="5" fillId="0" borderId="10" xfId="0" applyNumberFormat="1" applyFont="1" applyFill="1" applyBorder="1" applyAlignment="1">
      <alignment horizontal="center"/>
    </xf>
    <xf numFmtId="167" fontId="35" fillId="0" borderId="0" xfId="0" applyNumberFormat="1" applyFont="1" applyFill="1" applyBorder="1" applyAlignment="1"/>
    <xf numFmtId="41" fontId="3" fillId="0" borderId="0" xfId="5" applyNumberFormat="1" applyFont="1"/>
    <xf numFmtId="164" fontId="3" fillId="0" borderId="0" xfId="0" applyNumberFormat="1" applyFont="1" applyFill="1" applyAlignment="1">
      <alignment horizontal="center"/>
    </xf>
    <xf numFmtId="41" fontId="3" fillId="0" borderId="0" xfId="5" applyNumberFormat="1" applyFont="1" applyFill="1"/>
    <xf numFmtId="42" fontId="3" fillId="0" borderId="0" xfId="5" applyNumberFormat="1" applyFont="1"/>
    <xf numFmtId="42" fontId="3" fillId="0" borderId="4" xfId="5" applyNumberFormat="1" applyFont="1" applyBorder="1"/>
    <xf numFmtId="42" fontId="3" fillId="0" borderId="6" xfId="5" applyNumberFormat="1" applyFont="1" applyBorder="1"/>
    <xf numFmtId="165" fontId="3" fillId="0" borderId="0" xfId="1" applyNumberFormat="1" applyFont="1" applyFill="1" applyAlignment="1"/>
    <xf numFmtId="164" fontId="5" fillId="0" borderId="0" xfId="0" applyNumberFormat="1" applyFont="1" applyFill="1" applyAlignment="1">
      <alignment horizontal="left" wrapText="1"/>
    </xf>
    <xf numFmtId="164" fontId="5" fillId="0" borderId="0" xfId="0" applyNumberFormat="1" applyFont="1" applyFill="1" applyAlignment="1">
      <alignment horizontal="center"/>
    </xf>
    <xf numFmtId="164" fontId="5" fillId="0" borderId="10" xfId="0" applyNumberFormat="1" applyFont="1" applyFill="1" applyBorder="1" applyAlignment="1">
      <alignment horizontal="left" wrapText="1"/>
    </xf>
    <xf numFmtId="42" fontId="3" fillId="0" borderId="0" xfId="213" applyNumberFormat="1" applyFont="1"/>
    <xf numFmtId="42" fontId="3" fillId="0" borderId="0" xfId="213" applyNumberFormat="1" applyFont="1" applyFill="1" applyBorder="1"/>
    <xf numFmtId="41" fontId="3" fillId="0" borderId="0" xfId="213" applyNumberFormat="1" applyFont="1"/>
    <xf numFmtId="41" fontId="3" fillId="0" borderId="0" xfId="213" applyNumberFormat="1" applyFont="1" applyFill="1" applyBorder="1"/>
    <xf numFmtId="41" fontId="3" fillId="0" borderId="10" xfId="213" applyNumberFormat="1" applyFont="1" applyBorder="1"/>
    <xf numFmtId="42" fontId="3" fillId="0" borderId="6" xfId="108" applyNumberFormat="1" applyFont="1" applyBorder="1"/>
    <xf numFmtId="41" fontId="3" fillId="0" borderId="0" xfId="0" applyNumberFormat="1" applyFont="1" applyBorder="1" applyAlignment="1">
      <alignment horizontal="left" wrapText="1"/>
    </xf>
    <xf numFmtId="41" fontId="3" fillId="0" borderId="10" xfId="0" applyNumberFormat="1" applyFont="1" applyBorder="1" applyAlignment="1">
      <alignment horizontal="left" wrapText="1"/>
    </xf>
    <xf numFmtId="41" fontId="3" fillId="0" borderId="10" xfId="213" applyNumberFormat="1" applyFont="1" applyFill="1" applyBorder="1"/>
    <xf numFmtId="42" fontId="3" fillId="0" borderId="11" xfId="0" applyNumberFormat="1" applyFont="1" applyBorder="1" applyAlignment="1">
      <alignment horizontal="left" wrapText="1"/>
    </xf>
    <xf numFmtId="41" fontId="3" fillId="0" borderId="0" xfId="213" applyNumberFormat="1" applyFont="1" applyFill="1" applyBorder="1" applyAlignment="1"/>
    <xf numFmtId="165" fontId="3" fillId="0" borderId="0" xfId="213" applyNumberFormat="1" applyFont="1" applyFill="1" applyBorder="1" applyAlignment="1"/>
    <xf numFmtId="42" fontId="3" fillId="0" borderId="0" xfId="213" applyNumberFormat="1" applyFont="1" applyProtection="1"/>
    <xf numFmtId="42" fontId="3" fillId="0" borderId="21" xfId="213" applyNumberFormat="1" applyFont="1" applyBorder="1" applyProtection="1"/>
    <xf numFmtId="42" fontId="3" fillId="0" borderId="20" xfId="213" applyNumberFormat="1" applyFont="1" applyBorder="1" applyProtection="1"/>
    <xf numFmtId="42" fontId="5" fillId="0" borderId="10" xfId="213" applyNumberFormat="1" applyFont="1" applyBorder="1" applyProtection="1"/>
    <xf numFmtId="42" fontId="5" fillId="0" borderId="21" xfId="213" applyNumberFormat="1" applyFont="1" applyBorder="1" applyProtection="1"/>
    <xf numFmtId="42" fontId="3" fillId="0" borderId="10" xfId="213" applyNumberFormat="1" applyFont="1" applyBorder="1" applyProtection="1"/>
    <xf numFmtId="42" fontId="3" fillId="0" borderId="0" xfId="87" applyNumberFormat="1" applyFont="1" applyProtection="1"/>
    <xf numFmtId="42" fontId="3" fillId="0" borderId="20" xfId="87" applyNumberFormat="1" applyFont="1" applyBorder="1" applyProtection="1"/>
    <xf numFmtId="42" fontId="5" fillId="0" borderId="10" xfId="87" applyNumberFormat="1" applyFont="1" applyBorder="1" applyProtection="1"/>
    <xf numFmtId="42" fontId="3" fillId="0" borderId="21" xfId="87" applyNumberFormat="1" applyFont="1" applyBorder="1" applyProtection="1"/>
    <xf numFmtId="42" fontId="5" fillId="0" borderId="21" xfId="87" applyNumberFormat="1" applyFont="1" applyBorder="1" applyProtection="1"/>
    <xf numFmtId="42" fontId="3" fillId="0" borderId="0" xfId="1" applyNumberFormat="1" applyFont="1" applyProtection="1"/>
    <xf numFmtId="42" fontId="3" fillId="0" borderId="20" xfId="1" applyNumberFormat="1" applyFont="1" applyBorder="1" applyProtection="1"/>
    <xf numFmtId="42" fontId="3" fillId="0" borderId="10" xfId="1" applyNumberFormat="1" applyFont="1" applyBorder="1" applyProtection="1"/>
    <xf numFmtId="42" fontId="3" fillId="0" borderId="21" xfId="1" applyNumberFormat="1" applyFont="1" applyBorder="1" applyProtection="1"/>
    <xf numFmtId="0" fontId="5" fillId="0" borderId="0" xfId="0" applyNumberFormat="1" applyFont="1" applyFill="1" applyAlignment="1" applyProtection="1">
      <alignment horizontal="right"/>
      <protection locked="0"/>
    </xf>
    <xf numFmtId="164" fontId="59" fillId="0" borderId="0" xfId="0" applyNumberFormat="1" applyFont="1" applyFill="1" applyAlignment="1"/>
    <xf numFmtId="164" fontId="3" fillId="0" borderId="0" xfId="0" applyNumberFormat="1" applyFont="1" applyFill="1" applyAlignment="1"/>
    <xf numFmtId="42" fontId="3" fillId="0" borderId="0" xfId="6" applyNumberFormat="1" applyFont="1" applyFill="1" applyBorder="1"/>
    <xf numFmtId="41" fontId="3" fillId="0" borderId="10" xfId="5" quotePrefix="1" applyNumberFormat="1" applyFont="1" applyFill="1" applyBorder="1" applyAlignment="1">
      <alignment horizontal="centerContinuous"/>
    </xf>
    <xf numFmtId="41" fontId="3" fillId="0" borderId="10" xfId="5" applyNumberFormat="1" applyFont="1" applyFill="1" applyBorder="1" applyAlignment="1">
      <alignment horizontal="centerContinuous"/>
    </xf>
    <xf numFmtId="42" fontId="3" fillId="0" borderId="4" xfId="0" applyNumberFormat="1" applyFont="1" applyFill="1" applyBorder="1" applyAlignment="1"/>
    <xf numFmtId="165" fontId="3" fillId="0" borderId="0" xfId="5" applyNumberFormat="1" applyFont="1" applyFill="1" applyBorder="1" applyAlignment="1" applyProtection="1">
      <protection locked="0"/>
    </xf>
    <xf numFmtId="165" fontId="3" fillId="0" borderId="0" xfId="5" applyNumberFormat="1" applyFont="1" applyFill="1" applyAlignment="1" applyProtection="1">
      <protection locked="0"/>
    </xf>
    <xf numFmtId="165" fontId="3" fillId="0" borderId="10" xfId="5" applyNumberFormat="1" applyFont="1" applyFill="1" applyBorder="1" applyAlignment="1" applyProtection="1">
      <protection locked="0"/>
    </xf>
    <xf numFmtId="165" fontId="3" fillId="0" borderId="11" xfId="5" applyNumberFormat="1" applyFont="1" applyFill="1" applyBorder="1" applyAlignment="1" applyProtection="1">
      <protection locked="0"/>
    </xf>
    <xf numFmtId="166" fontId="3" fillId="0" borderId="0" xfId="6" applyNumberFormat="1" applyFont="1" applyFill="1" applyBorder="1" applyAlignment="1" applyProtection="1">
      <protection locked="0"/>
    </xf>
    <xf numFmtId="0" fontId="3" fillId="0" borderId="0" xfId="210" applyFont="1" applyFill="1"/>
    <xf numFmtId="0" fontId="5" fillId="0" borderId="0" xfId="0" applyFont="1" applyFill="1" applyProtection="1">
      <protection locked="0"/>
    </xf>
    <xf numFmtId="0" fontId="5" fillId="0" borderId="10" xfId="0" applyFont="1" applyFill="1" applyBorder="1" applyAlignment="1" applyProtection="1">
      <alignment horizontal="center"/>
      <protection locked="0"/>
    </xf>
    <xf numFmtId="167" fontId="3" fillId="0" borderId="0" xfId="0" applyNumberFormat="1" applyFont="1" applyFill="1" applyProtection="1">
      <protection locked="0"/>
    </xf>
    <xf numFmtId="167" fontId="3" fillId="0" borderId="0" xfId="0" applyNumberFormat="1" applyFont="1" applyFill="1" applyAlignment="1" applyProtection="1">
      <alignment horizontal="center"/>
      <protection locked="0"/>
    </xf>
    <xf numFmtId="0" fontId="3" fillId="0" borderId="0" xfId="0" applyFont="1" applyFill="1" applyAlignment="1">
      <alignment horizontal="left" indent="1"/>
    </xf>
    <xf numFmtId="166" fontId="3" fillId="0" borderId="0" xfId="108" applyNumberFormat="1" applyFont="1" applyFill="1" applyProtection="1">
      <protection locked="0"/>
    </xf>
    <xf numFmtId="165" fontId="3" fillId="0" borderId="0" xfId="86" applyNumberFormat="1" applyFont="1" applyFill="1" applyProtection="1">
      <protection locked="0"/>
    </xf>
    <xf numFmtId="41" fontId="3" fillId="0" borderId="0" xfId="108" applyNumberFormat="1" applyFont="1" applyFill="1" applyProtection="1">
      <protection locked="0"/>
    </xf>
    <xf numFmtId="165" fontId="3" fillId="0" borderId="10" xfId="86" applyNumberFormat="1" applyFont="1" applyFill="1" applyBorder="1" applyProtection="1">
      <protection locked="0"/>
    </xf>
    <xf numFmtId="41" fontId="3" fillId="0" borderId="10" xfId="108" applyNumberFormat="1" applyFont="1" applyFill="1" applyBorder="1" applyProtection="1">
      <protection locked="0"/>
    </xf>
    <xf numFmtId="10" fontId="3" fillId="0" borderId="0" xfId="168" applyNumberFormat="1" applyFont="1" applyFill="1" applyAlignment="1">
      <alignment horizontal="left"/>
    </xf>
    <xf numFmtId="166" fontId="3" fillId="0" borderId="11" xfId="108" applyNumberFormat="1" applyFont="1" applyFill="1" applyBorder="1" applyProtection="1">
      <protection locked="0"/>
    </xf>
    <xf numFmtId="0" fontId="3" fillId="0" borderId="0" xfId="0" applyFont="1" applyFill="1" applyAlignment="1">
      <alignment horizontal="left" vertical="center"/>
    </xf>
    <xf numFmtId="167" fontId="3" fillId="0" borderId="0" xfId="0" applyNumberFormat="1" applyFont="1" applyFill="1" applyAlignment="1" applyProtection="1">
      <alignment vertical="center"/>
      <protection locked="0"/>
    </xf>
    <xf numFmtId="166" fontId="3" fillId="0" borderId="0" xfId="108" applyNumberFormat="1" applyFont="1" applyFill="1" applyAlignment="1" applyProtection="1">
      <alignment vertical="center"/>
      <protection locked="0"/>
    </xf>
    <xf numFmtId="166" fontId="5" fillId="0" borderId="6" xfId="108" applyNumberFormat="1" applyFont="1" applyFill="1" applyBorder="1"/>
    <xf numFmtId="0" fontId="58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0" fillId="0" borderId="0" xfId="0" applyAlignment="1"/>
    <xf numFmtId="0" fontId="4" fillId="0" borderId="10" xfId="0" applyFont="1" applyBorder="1" applyAlignment="1">
      <alignment horizontal="center"/>
    </xf>
    <xf numFmtId="0" fontId="0" fillId="0" borderId="10" xfId="0" applyBorder="1" applyAlignment="1"/>
    <xf numFmtId="15" fontId="5" fillId="0" borderId="0" xfId="4" applyNumberFormat="1" applyFont="1" applyFill="1" applyAlignment="1">
      <alignment horizontal="center"/>
    </xf>
    <xf numFmtId="0" fontId="58" fillId="0" borderId="0" xfId="0" applyFont="1" applyAlignment="1"/>
    <xf numFmtId="0" fontId="5" fillId="0" borderId="0" xfId="0" applyFont="1" applyFill="1" applyAlignment="1" applyProtection="1">
      <alignment horizontal="center"/>
      <protection locked="0"/>
    </xf>
    <xf numFmtId="0" fontId="5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3" fillId="0" borderId="0" xfId="155" applyFont="1" applyFill="1" applyAlignment="1">
      <alignment horizontal="left"/>
    </xf>
    <xf numFmtId="0" fontId="4" fillId="0" borderId="25" xfId="0" applyFont="1" applyBorder="1" applyAlignment="1">
      <alignment horizontal="center"/>
    </xf>
    <xf numFmtId="0" fontId="46" fillId="0" borderId="4" xfId="0" applyFont="1" applyBorder="1"/>
    <xf numFmtId="0" fontId="46" fillId="0" borderId="26" xfId="0" applyFont="1" applyBorder="1"/>
    <xf numFmtId="0" fontId="46" fillId="0" borderId="4" xfId="0" applyFont="1" applyBorder="1" applyAlignment="1">
      <alignment horizontal="center"/>
    </xf>
    <xf numFmtId="0" fontId="46" fillId="0" borderId="2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5" fillId="0" borderId="0" xfId="211" applyFont="1" applyFill="1" applyAlignment="1" applyProtection="1">
      <alignment horizontal="centerContinuous"/>
      <protection locked="0"/>
    </xf>
    <xf numFmtId="0" fontId="5" fillId="0" borderId="0" xfId="211" applyFont="1" applyFill="1" applyAlignment="1">
      <alignment horizontal="centerContinuous"/>
    </xf>
    <xf numFmtId="15" fontId="5" fillId="0" borderId="0" xfId="211" applyNumberFormat="1" applyFont="1" applyFill="1" applyAlignment="1">
      <alignment horizontal="centerContinuous"/>
    </xf>
    <xf numFmtId="18" fontId="5" fillId="0" borderId="0" xfId="211" applyNumberFormat="1" applyFont="1" applyFill="1" applyAlignment="1">
      <alignment horizontal="centerContinuous"/>
    </xf>
    <xf numFmtId="0" fontId="5" fillId="0" borderId="0" xfId="211" applyFont="1" applyFill="1"/>
    <xf numFmtId="0" fontId="3" fillId="0" borderId="0" xfId="211" applyFont="1" applyFill="1"/>
    <xf numFmtId="0" fontId="3" fillId="0" borderId="0" xfId="211" applyFont="1" applyFill="1" applyAlignment="1">
      <alignment horizontal="center"/>
    </xf>
    <xf numFmtId="0" fontId="5" fillId="0" borderId="0" xfId="211" applyFont="1" applyFill="1" applyAlignment="1" applyProtection="1">
      <alignment horizontal="center"/>
      <protection locked="0"/>
    </xf>
    <xf numFmtId="0" fontId="5" fillId="0" borderId="0" xfId="211" applyFont="1" applyFill="1" applyAlignment="1">
      <alignment horizontal="center"/>
    </xf>
    <xf numFmtId="0" fontId="5" fillId="0" borderId="10" xfId="211" applyFont="1" applyFill="1" applyBorder="1" applyAlignment="1">
      <alignment horizontal="center"/>
    </xf>
    <xf numFmtId="0" fontId="5" fillId="0" borderId="10" xfId="211" applyFont="1" applyFill="1" applyBorder="1"/>
    <xf numFmtId="0" fontId="59" fillId="0" borderId="0" xfId="211" applyFont="1" applyFill="1"/>
    <xf numFmtId="166" fontId="3" fillId="0" borderId="0" xfId="215" applyNumberFormat="1" applyFont="1" applyFill="1" applyBorder="1"/>
    <xf numFmtId="166" fontId="3" fillId="0" borderId="10" xfId="215" applyNumberFormat="1" applyFont="1" applyFill="1" applyBorder="1"/>
    <xf numFmtId="0" fontId="3" fillId="0" borderId="0" xfId="211" applyFont="1" applyFill="1" applyAlignment="1">
      <alignment horizontal="left"/>
    </xf>
    <xf numFmtId="165" fontId="3" fillId="0" borderId="11" xfId="211" applyNumberFormat="1" applyFont="1" applyFill="1" applyBorder="1"/>
    <xf numFmtId="165" fontId="3" fillId="0" borderId="0" xfId="211" applyNumberFormat="1" applyFont="1" applyFill="1" applyBorder="1"/>
    <xf numFmtId="41" fontId="3" fillId="0" borderId="0" xfId="216" applyNumberFormat="1" applyFont="1" applyFill="1" applyBorder="1" applyAlignment="1"/>
    <xf numFmtId="165" fontId="3" fillId="0" borderId="10" xfId="211" applyNumberFormat="1" applyFont="1" applyFill="1" applyBorder="1"/>
    <xf numFmtId="165" fontId="3" fillId="0" borderId="6" xfId="211" applyNumberFormat="1" applyFont="1" applyFill="1" applyBorder="1"/>
    <xf numFmtId="0" fontId="3" fillId="0" borderId="0" xfId="211" applyFont="1" applyFill="1" applyBorder="1" applyAlignment="1">
      <alignment horizontal="left"/>
    </xf>
    <xf numFmtId="165" fontId="5" fillId="0" borderId="0" xfId="211" applyNumberFormat="1" applyFont="1" applyFill="1" applyBorder="1"/>
    <xf numFmtId="0" fontId="59" fillId="0" borderId="0" xfId="211" applyFont="1" applyFill="1" applyBorder="1" applyAlignment="1">
      <alignment horizontal="left"/>
    </xf>
    <xf numFmtId="5" fontId="3" fillId="0" borderId="0" xfId="217" applyNumberFormat="1" applyFont="1" applyFill="1" applyBorder="1"/>
    <xf numFmtId="5" fontId="3" fillId="0" borderId="10" xfId="217" applyNumberFormat="1" applyFont="1" applyFill="1" applyBorder="1"/>
    <xf numFmtId="42" fontId="3" fillId="0" borderId="6" xfId="217" applyNumberFormat="1" applyFont="1" applyFill="1" applyBorder="1"/>
    <xf numFmtId="165" fontId="3" fillId="0" borderId="6" xfId="217" applyNumberFormat="1" applyFont="1" applyFill="1" applyBorder="1"/>
    <xf numFmtId="164" fontId="5" fillId="0" borderId="0" xfId="9" applyFont="1" applyFill="1" applyAlignment="1" applyProtection="1">
      <alignment horizontal="centerContinuous"/>
      <protection locked="0"/>
    </xf>
    <xf numFmtId="164" fontId="60" fillId="0" borderId="0" xfId="9" applyFont="1" applyFill="1" applyAlignment="1">
      <alignment horizontal="centerContinuous"/>
    </xf>
    <xf numFmtId="164" fontId="5" fillId="0" borderId="0" xfId="9" applyFont="1" applyFill="1" applyAlignment="1">
      <alignment horizontal="centerContinuous" wrapText="1"/>
    </xf>
    <xf numFmtId="164" fontId="5" fillId="0" borderId="0" xfId="9" applyFont="1" applyFill="1" applyAlignment="1">
      <alignment horizontal="centerContinuous"/>
    </xf>
    <xf numFmtId="164" fontId="5" fillId="0" borderId="0" xfId="9" applyFont="1" applyFill="1" applyAlignment="1"/>
    <xf numFmtId="164" fontId="5" fillId="0" borderId="0" xfId="9" applyFont="1" applyFill="1" applyAlignment="1">
      <alignment horizontal="center"/>
    </xf>
    <xf numFmtId="164" fontId="5" fillId="0" borderId="0" xfId="9" applyFont="1" applyFill="1">
      <alignment horizontal="left" wrapText="1"/>
    </xf>
    <xf numFmtId="164" fontId="5" fillId="0" borderId="10" xfId="9" applyFont="1" applyFill="1" applyBorder="1" applyAlignment="1">
      <alignment horizontal="center"/>
    </xf>
    <xf numFmtId="164" fontId="5" fillId="0" borderId="10" xfId="9" applyFont="1" applyFill="1" applyBorder="1">
      <alignment horizontal="left" wrapText="1"/>
    </xf>
    <xf numFmtId="164" fontId="35" fillId="0" borderId="0" xfId="9" applyFont="1" applyAlignment="1">
      <alignment horizontal="left"/>
    </xf>
    <xf numFmtId="164" fontId="3" fillId="0" borderId="0" xfId="9" applyFont="1" applyAlignment="1">
      <alignment horizontal="left" indent="2"/>
    </xf>
    <xf numFmtId="42" fontId="3" fillId="0" borderId="0" xfId="1" applyNumberFormat="1" applyFont="1"/>
    <xf numFmtId="41" fontId="3" fillId="0" borderId="0" xfId="1" applyNumberFormat="1" applyFont="1"/>
    <xf numFmtId="164" fontId="3" fillId="0" borderId="0" xfId="9" applyFont="1" applyAlignment="1">
      <alignment horizontal="left"/>
    </xf>
    <xf numFmtId="41" fontId="43" fillId="0" borderId="11" xfId="9" applyNumberFormat="1" applyFont="1" applyBorder="1">
      <alignment horizontal="left" wrapText="1"/>
    </xf>
    <xf numFmtId="41" fontId="62" fillId="0" borderId="11" xfId="9" applyNumberFormat="1" applyFont="1" applyBorder="1">
      <alignment horizontal="left" wrapText="1"/>
    </xf>
    <xf numFmtId="41" fontId="9" fillId="0" borderId="11" xfId="1" applyNumberFormat="1" applyFont="1" applyFill="1" applyBorder="1"/>
    <xf numFmtId="41" fontId="43" fillId="0" borderId="0" xfId="9" applyNumberFormat="1" applyFont="1" applyBorder="1">
      <alignment horizontal="left" wrapText="1"/>
    </xf>
    <xf numFmtId="41" fontId="62" fillId="0" borderId="0" xfId="9" applyNumberFormat="1" applyFont="1" applyBorder="1">
      <alignment horizontal="left" wrapText="1"/>
    </xf>
    <xf numFmtId="41" fontId="9" fillId="0" borderId="0" xfId="1" applyNumberFormat="1" applyFont="1" applyFill="1" applyBorder="1"/>
    <xf numFmtId="41" fontId="3" fillId="0" borderId="0" xfId="9" applyNumberFormat="1" applyFont="1" applyBorder="1">
      <alignment horizontal="left" wrapText="1"/>
    </xf>
    <xf numFmtId="41" fontId="3" fillId="0" borderId="10" xfId="0" applyNumberFormat="1" applyFont="1" applyFill="1" applyBorder="1"/>
    <xf numFmtId="42" fontId="3" fillId="0" borderId="11" xfId="9" applyNumberFormat="1" applyFont="1" applyBorder="1">
      <alignment horizontal="left" wrapText="1"/>
    </xf>
    <xf numFmtId="42" fontId="3" fillId="0" borderId="4" xfId="9" applyNumberFormat="1" applyFont="1" applyBorder="1">
      <alignment horizontal="left" wrapText="1"/>
    </xf>
    <xf numFmtId="164" fontId="3" fillId="0" borderId="0" xfId="9" applyFont="1" applyFill="1" applyAlignment="1"/>
    <xf numFmtId="164" fontId="3" fillId="0" borderId="11" xfId="9" applyFont="1" applyFill="1" applyBorder="1" applyAlignment="1"/>
    <xf numFmtId="164" fontId="63" fillId="0" borderId="0" xfId="9" applyFont="1" applyAlignment="1"/>
    <xf numFmtId="164" fontId="3" fillId="0" borderId="0" xfId="9" quotePrefix="1" applyFont="1" applyFill="1" applyAlignment="1">
      <alignment horizontal="left"/>
    </xf>
    <xf numFmtId="166" fontId="3" fillId="0" borderId="0" xfId="209" applyNumberFormat="1" applyFont="1" applyFill="1" applyBorder="1" applyAlignment="1"/>
    <xf numFmtId="37" fontId="3" fillId="0" borderId="0" xfId="9" applyNumberFormat="1" applyFont="1" applyFill="1" applyAlignment="1"/>
    <xf numFmtId="37" fontId="3" fillId="0" borderId="0" xfId="9" applyNumberFormat="1" applyFont="1" applyFill="1" applyBorder="1" applyAlignment="1"/>
    <xf numFmtId="42" fontId="3" fillId="0" borderId="0" xfId="9" applyNumberFormat="1" applyFont="1" applyFill="1" applyBorder="1" applyAlignment="1"/>
    <xf numFmtId="9" fontId="3" fillId="0" borderId="0" xfId="9" applyNumberFormat="1" applyFont="1" applyFill="1" applyBorder="1" applyAlignment="1"/>
    <xf numFmtId="164" fontId="3" fillId="0" borderId="0" xfId="9" applyFont="1" applyFill="1" applyBorder="1" applyAlignment="1"/>
    <xf numFmtId="167" fontId="5" fillId="0" borderId="0" xfId="0" applyNumberFormat="1" applyFont="1" applyFill="1" applyAlignment="1"/>
    <xf numFmtId="167" fontId="5" fillId="0" borderId="10" xfId="0" applyNumberFormat="1" applyFont="1" applyFill="1" applyBorder="1" applyAlignment="1">
      <alignment horizontal="center"/>
    </xf>
    <xf numFmtId="164" fontId="35" fillId="0" borderId="0" xfId="0" applyNumberFormat="1" applyFont="1" applyFill="1" applyBorder="1" applyAlignment="1">
      <alignment horizontal="left" indent="1"/>
    </xf>
    <xf numFmtId="6" fontId="64" fillId="0" borderId="0" xfId="0" applyNumberFormat="1" applyFont="1" applyBorder="1" applyAlignment="1">
      <alignment horizontal="left" wrapText="1"/>
    </xf>
    <xf numFmtId="41" fontId="3" fillId="0" borderId="0" xfId="0" applyNumberFormat="1" applyFont="1" applyFill="1" applyBorder="1" applyAlignment="1">
      <alignment horizontal="left" wrapText="1"/>
    </xf>
    <xf numFmtId="164" fontId="3" fillId="0" borderId="0" xfId="0" applyNumberFormat="1" applyFont="1" applyFill="1" applyAlignment="1">
      <alignment horizontal="left" indent="2"/>
    </xf>
    <xf numFmtId="165" fontId="64" fillId="0" borderId="0" xfId="5" applyNumberFormat="1" applyFont="1"/>
    <xf numFmtId="42" fontId="3" fillId="0" borderId="0" xfId="5" applyNumberFormat="1" applyFont="1" applyFill="1"/>
    <xf numFmtId="41" fontId="3" fillId="0" borderId="10" xfId="5" applyNumberFormat="1" applyFont="1" applyFill="1" applyBorder="1"/>
    <xf numFmtId="42" fontId="3" fillId="0" borderId="11" xfId="5" applyNumberFormat="1" applyFont="1" applyFill="1" applyBorder="1"/>
    <xf numFmtId="42" fontId="3" fillId="0" borderId="0" xfId="5" applyNumberFormat="1" applyFont="1" applyFill="1" applyBorder="1"/>
    <xf numFmtId="41" fontId="3" fillId="0" borderId="0" xfId="7" applyNumberFormat="1" applyFont="1" applyFill="1" applyBorder="1" applyAlignment="1" applyProtection="1">
      <protection locked="0"/>
    </xf>
    <xf numFmtId="166" fontId="3" fillId="0" borderId="0" xfId="7" applyNumberFormat="1" applyFont="1" applyFill="1" applyBorder="1" applyAlignment="1"/>
    <xf numFmtId="41" fontId="3" fillId="0" borderId="10" xfId="7" applyNumberFormat="1" applyFont="1" applyFill="1" applyBorder="1" applyAlignment="1" applyProtection="1">
      <protection locked="0"/>
    </xf>
    <xf numFmtId="166" fontId="3" fillId="0" borderId="4" xfId="7" applyNumberFormat="1" applyFont="1" applyFill="1" applyBorder="1" applyAlignment="1"/>
    <xf numFmtId="42" fontId="3" fillId="0" borderId="5" xfId="0" applyNumberFormat="1" applyFont="1" applyFill="1" applyBorder="1" applyAlignment="1">
      <alignment horizontal="left" wrapText="1"/>
    </xf>
    <xf numFmtId="0" fontId="3" fillId="0" borderId="11" xfId="0" applyNumberFormat="1" applyFont="1" applyFill="1" applyBorder="1" applyAlignment="1" applyProtection="1">
      <alignment horizontal="left"/>
      <protection locked="0"/>
    </xf>
    <xf numFmtId="3" fontId="3" fillId="0" borderId="0" xfId="0" applyNumberFormat="1" applyFont="1" applyFill="1" applyBorder="1" applyAlignment="1" applyProtection="1">
      <protection locked="0"/>
    </xf>
    <xf numFmtId="42" fontId="3" fillId="0" borderId="0" xfId="5" applyNumberFormat="1" applyFont="1" applyFill="1" applyAlignment="1" applyProtection="1">
      <alignment horizontal="right"/>
      <protection locked="0"/>
    </xf>
    <xf numFmtId="42" fontId="3" fillId="0" borderId="0" xfId="0" applyNumberFormat="1" applyFont="1" applyFill="1" applyAlignment="1" applyProtection="1">
      <alignment horizontal="right"/>
      <protection locked="0"/>
    </xf>
    <xf numFmtId="41" fontId="3" fillId="0" borderId="0" xfId="5" applyNumberFormat="1" applyFont="1" applyFill="1" applyAlignment="1" applyProtection="1">
      <alignment horizontal="right"/>
      <protection locked="0"/>
    </xf>
    <xf numFmtId="41" fontId="3" fillId="0" borderId="0" xfId="0" applyNumberFormat="1" applyFont="1" applyFill="1" applyAlignment="1" applyProtection="1">
      <alignment horizontal="right"/>
      <protection locked="0"/>
    </xf>
    <xf numFmtId="1" fontId="3" fillId="0" borderId="0" xfId="0" applyNumberFormat="1" applyFont="1" applyFill="1" applyAlignment="1">
      <alignment horizontal="left"/>
    </xf>
    <xf numFmtId="41" fontId="3" fillId="0" borderId="11" xfId="0" applyNumberFormat="1" applyFont="1" applyFill="1" applyBorder="1" applyAlignment="1" applyProtection="1">
      <alignment horizontal="right"/>
      <protection locked="0"/>
    </xf>
    <xf numFmtId="164" fontId="3" fillId="0" borderId="0" xfId="0" quotePrefix="1" applyNumberFormat="1" applyFont="1" applyFill="1" applyAlignment="1"/>
    <xf numFmtId="1" fontId="3" fillId="0" borderId="0" xfId="0" quotePrefix="1" applyNumberFormat="1" applyFont="1" applyFill="1" applyAlignment="1">
      <alignment horizontal="left"/>
    </xf>
    <xf numFmtId="41" fontId="3" fillId="0" borderId="10" xfId="0" applyNumberFormat="1" applyFont="1" applyFill="1" applyBorder="1" applyAlignment="1">
      <alignment horizontal="center"/>
    </xf>
    <xf numFmtId="41" fontId="3" fillId="0" borderId="0" xfId="0" applyNumberFormat="1" applyFont="1" applyFill="1" applyBorder="1" applyAlignment="1" applyProtection="1">
      <alignment horizontal="left"/>
      <protection locked="0"/>
    </xf>
    <xf numFmtId="164" fontId="3" fillId="0" borderId="0" xfId="0" applyNumberFormat="1" applyFont="1" applyFill="1" applyAlignment="1">
      <alignment horizontal="left" indent="1"/>
    </xf>
    <xf numFmtId="0" fontId="3" fillId="0" borderId="0" xfId="0" applyNumberFormat="1" applyFont="1" applyFill="1" applyAlignment="1">
      <alignment horizontal="left" indent="1"/>
    </xf>
    <xf numFmtId="164" fontId="3" fillId="0" borderId="11" xfId="0" applyNumberFormat="1" applyFont="1" applyFill="1" applyBorder="1" applyAlignment="1"/>
    <xf numFmtId="43" fontId="3" fillId="0" borderId="0" xfId="0" applyNumberFormat="1" applyFont="1" applyFill="1" applyAlignment="1"/>
    <xf numFmtId="42" fontId="3" fillId="0" borderId="5" xfId="0" applyNumberFormat="1" applyFont="1" applyFill="1" applyBorder="1" applyAlignment="1"/>
    <xf numFmtId="1" fontId="3" fillId="0" borderId="0" xfId="0" quotePrefix="1" applyNumberFormat="1" applyFont="1" applyFill="1" applyBorder="1" applyAlignment="1">
      <alignment horizontal="left"/>
    </xf>
    <xf numFmtId="41" fontId="3" fillId="0" borderId="0" xfId="0" quotePrefix="1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164" fontId="5" fillId="0" borderId="0" xfId="0" applyNumberFormat="1" applyFont="1" applyAlignment="1" applyProtection="1">
      <alignment horizontal="centerContinuous"/>
      <protection locked="0"/>
    </xf>
    <xf numFmtId="164" fontId="5" fillId="0" borderId="0" xfId="0" applyNumberFormat="1" applyFont="1" applyAlignment="1">
      <alignment horizontal="centerContinuous"/>
    </xf>
    <xf numFmtId="164" fontId="5" fillId="0" borderId="0" xfId="0" applyNumberFormat="1" applyFont="1" applyFill="1" applyAlignment="1" applyProtection="1">
      <alignment horizontal="right"/>
      <protection locked="0"/>
    </xf>
    <xf numFmtId="164" fontId="5" fillId="0" borderId="0" xfId="0" applyNumberFormat="1" applyFont="1" applyFill="1" applyAlignment="1" applyProtection="1">
      <protection locked="0"/>
    </xf>
    <xf numFmtId="164" fontId="5" fillId="0" borderId="0" xfId="0" applyNumberFormat="1" applyFont="1" applyFill="1" applyAlignment="1"/>
    <xf numFmtId="164" fontId="5" fillId="0" borderId="10" xfId="0" applyNumberFormat="1" applyFont="1" applyFill="1" applyBorder="1" applyAlignment="1"/>
    <xf numFmtId="1" fontId="3" fillId="0" borderId="0" xfId="0" applyNumberFormat="1" applyFont="1" applyFill="1" applyAlignment="1">
      <alignment horizontal="center"/>
    </xf>
    <xf numFmtId="164" fontId="35" fillId="0" borderId="0" xfId="0" applyNumberFormat="1" applyFont="1" applyFill="1" applyAlignment="1"/>
    <xf numFmtId="164" fontId="35" fillId="0" borderId="0" xfId="0" applyNumberFormat="1" applyFont="1" applyFill="1" applyBorder="1" applyAlignment="1">
      <alignment horizontal="center"/>
    </xf>
    <xf numFmtId="42" fontId="3" fillId="0" borderId="0" xfId="108" applyNumberFormat="1" applyFont="1" applyFill="1" applyAlignment="1"/>
    <xf numFmtId="15" fontId="3" fillId="0" borderId="0" xfId="0" applyNumberFormat="1" applyFont="1" applyFill="1" applyAlignment="1"/>
    <xf numFmtId="164" fontId="3" fillId="0" borderId="0" xfId="0" quotePrefix="1" applyNumberFormat="1" applyFont="1" applyFill="1" applyAlignment="1">
      <alignment horizontal="left"/>
    </xf>
    <xf numFmtId="164" fontId="43" fillId="0" borderId="0" xfId="0" applyNumberFormat="1" applyFont="1" applyAlignment="1">
      <alignment horizontal="left" wrapText="1"/>
    </xf>
    <xf numFmtId="0" fontId="5" fillId="0" borderId="0" xfId="0" quotePrefix="1" applyNumberFormat="1" applyFont="1" applyFill="1" applyAlignment="1">
      <alignment horizontal="centerContinuous"/>
    </xf>
    <xf numFmtId="15" fontId="5" fillId="0" borderId="0" xfId="0" quotePrefix="1" applyNumberFormat="1" applyFont="1" applyFill="1" applyAlignment="1">
      <alignment horizontal="centerContinuous"/>
    </xf>
    <xf numFmtId="18" fontId="5" fillId="0" borderId="0" xfId="0" quotePrefix="1" applyNumberFormat="1" applyFont="1" applyFill="1" applyAlignment="1">
      <alignment horizontal="centerContinuous"/>
    </xf>
    <xf numFmtId="0" fontId="5" fillId="0" borderId="10" xfId="0" applyNumberFormat="1" applyFont="1" applyFill="1" applyBorder="1" applyAlignment="1">
      <alignment horizontal="left"/>
    </xf>
    <xf numFmtId="0" fontId="5" fillId="0" borderId="10" xfId="0" applyNumberFormat="1" applyFont="1" applyFill="1" applyBorder="1" applyAlignment="1" applyProtection="1">
      <alignment horizontal="right"/>
      <protection locked="0"/>
    </xf>
    <xf numFmtId="41" fontId="3" fillId="0" borderId="0" xfId="6" applyNumberFormat="1" applyFont="1" applyFill="1" applyAlignment="1" applyProtection="1">
      <protection locked="0"/>
    </xf>
    <xf numFmtId="166" fontId="3" fillId="0" borderId="11" xfId="0" applyNumberFormat="1" applyFont="1" applyFill="1" applyBorder="1" applyAlignment="1"/>
    <xf numFmtId="37" fontId="3" fillId="0" borderId="11" xfId="0" applyNumberFormat="1" applyFont="1" applyFill="1" applyBorder="1" applyAlignment="1"/>
    <xf numFmtId="166" fontId="3" fillId="0" borderId="5" xfId="0" applyNumberFormat="1" applyFont="1" applyFill="1" applyBorder="1" applyAlignment="1"/>
    <xf numFmtId="0" fontId="5" fillId="0" borderId="0" xfId="0" applyNumberFormat="1" applyFont="1" applyFill="1" applyAlignment="1">
      <alignment horizontal="left"/>
    </xf>
    <xf numFmtId="164" fontId="3" fillId="0" borderId="0" xfId="0" applyNumberFormat="1" applyFont="1" applyFill="1" applyBorder="1" applyAlignment="1">
      <alignment horizontal="right"/>
    </xf>
    <xf numFmtId="37" fontId="3" fillId="0" borderId="0" xfId="5" applyNumberFormat="1" applyFont="1" applyFill="1" applyBorder="1"/>
    <xf numFmtId="42" fontId="3" fillId="0" borderId="5" xfId="0" applyNumberFormat="1" applyFont="1" applyFill="1" applyBorder="1" applyAlignment="1" applyProtection="1">
      <alignment horizontal="left" wrapText="1"/>
      <protection locked="0"/>
    </xf>
    <xf numFmtId="164" fontId="3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horizontal="left" vertical="center" indent="2"/>
    </xf>
    <xf numFmtId="41" fontId="3" fillId="0" borderId="0" xfId="6" applyNumberFormat="1" applyFont="1" applyFill="1" applyBorder="1" applyAlignment="1">
      <alignment vertical="center"/>
    </xf>
    <xf numFmtId="41" fontId="3" fillId="0" borderId="0" xfId="0" applyNumberFormat="1" applyFont="1" applyFill="1" applyAlignment="1">
      <alignment horizontal="left" wrapText="1"/>
    </xf>
    <xf numFmtId="41" fontId="3" fillId="0" borderId="10" xfId="6" applyNumberFormat="1" applyFont="1" applyFill="1" applyBorder="1" applyProtection="1">
      <protection locked="0"/>
    </xf>
    <xf numFmtId="37" fontId="3" fillId="0" borderId="0" xfId="0" applyNumberFormat="1" applyFont="1" applyFill="1" applyBorder="1" applyAlignment="1" applyProtection="1">
      <alignment horizontal="left" wrapText="1"/>
      <protection locked="0"/>
    </xf>
    <xf numFmtId="42" fontId="3" fillId="0" borderId="0" xfId="0" applyNumberFormat="1" applyFont="1" applyFill="1" applyBorder="1" applyAlignment="1" applyProtection="1">
      <alignment horizontal="left" wrapText="1"/>
      <protection locked="0"/>
    </xf>
    <xf numFmtId="0" fontId="3" fillId="0" borderId="0" xfId="0" applyNumberFormat="1" applyFont="1" applyFill="1" applyAlignment="1">
      <alignment horizontal="left" wrapText="1"/>
    </xf>
    <xf numFmtId="37" fontId="3" fillId="0" borderId="0" xfId="0" applyNumberFormat="1" applyFont="1" applyFill="1" applyBorder="1" applyAlignment="1">
      <alignment horizontal="left" wrapText="1"/>
    </xf>
    <xf numFmtId="9" fontId="3" fillId="0" borderId="0" xfId="0" applyNumberFormat="1" applyFont="1" applyFill="1" applyBorder="1" applyAlignment="1">
      <alignment horizontal="left" wrapText="1"/>
    </xf>
    <xf numFmtId="41" fontId="3" fillId="0" borderId="10" xfId="0" applyNumberFormat="1" applyFont="1" applyFill="1" applyBorder="1" applyAlignment="1">
      <alignment wrapText="1"/>
    </xf>
    <xf numFmtId="166" fontId="3" fillId="0" borderId="6" xfId="6" applyNumberFormat="1" applyFont="1" applyFill="1" applyBorder="1" applyAlignment="1" applyProtection="1">
      <protection locked="0"/>
    </xf>
    <xf numFmtId="10" fontId="5" fillId="0" borderId="0" xfId="0" applyNumberFormat="1" applyFont="1" applyFill="1" applyAlignment="1">
      <alignment horizontal="center"/>
    </xf>
    <xf numFmtId="0" fontId="5" fillId="0" borderId="10" xfId="0" quotePrefix="1" applyNumberFormat="1" applyFont="1" applyFill="1" applyBorder="1" applyAlignment="1">
      <alignment horizontal="center"/>
    </xf>
    <xf numFmtId="167" fontId="3" fillId="0" borderId="0" xfId="0" applyNumberFormat="1" applyFont="1" applyFill="1" applyAlignment="1" applyProtection="1">
      <alignment horizontal="left"/>
      <protection locked="0"/>
    </xf>
    <xf numFmtId="167" fontId="3" fillId="0" borderId="0" xfId="0" applyNumberFormat="1" applyFont="1" applyFill="1" applyBorder="1" applyAlignment="1" applyProtection="1">
      <alignment horizontal="right"/>
      <protection locked="0"/>
    </xf>
    <xf numFmtId="42" fontId="3" fillId="0" borderId="11" xfId="0" applyNumberFormat="1" applyFont="1" applyFill="1" applyBorder="1" applyAlignment="1">
      <alignment horizontal="right"/>
    </xf>
    <xf numFmtId="0" fontId="3" fillId="0" borderId="0" xfId="0" applyNumberFormat="1" applyFont="1" applyFill="1" applyAlignment="1">
      <alignment horizontal="right"/>
    </xf>
    <xf numFmtId="164" fontId="60" fillId="0" borderId="0" xfId="0" applyNumberFormat="1" applyFont="1" applyFill="1" applyBorder="1" applyAlignment="1">
      <alignment horizontal="centerContinuous"/>
    </xf>
    <xf numFmtId="0" fontId="3" fillId="0" borderId="0" xfId="0" applyNumberFormat="1" applyFont="1" applyFill="1" applyBorder="1" applyAlignment="1">
      <alignment horizontal="right"/>
    </xf>
    <xf numFmtId="3" fontId="3" fillId="0" borderId="0" xfId="5" applyNumberFormat="1" applyFont="1" applyFill="1" applyAlignment="1" applyProtection="1">
      <protection locked="0"/>
    </xf>
    <xf numFmtId="186" fontId="3" fillId="0" borderId="10" xfId="6" applyNumberFormat="1" applyFont="1" applyFill="1" applyBorder="1" applyAlignment="1" applyProtection="1">
      <protection locked="0"/>
    </xf>
    <xf numFmtId="167" fontId="3" fillId="0" borderId="0" xfId="0" applyNumberFormat="1" applyFont="1" applyFill="1" applyBorder="1" applyAlignment="1" applyProtection="1">
      <alignment horizontal="center"/>
      <protection locked="0"/>
    </xf>
    <xf numFmtId="167" fontId="3" fillId="0" borderId="0" xfId="0" applyNumberFormat="1" applyFont="1" applyFill="1" applyAlignment="1" applyProtection="1">
      <alignment horizontal="right"/>
      <protection locked="0"/>
    </xf>
    <xf numFmtId="165" fontId="4" fillId="0" borderId="0" xfId="10" applyNumberFormat="1" applyFont="1" applyFill="1"/>
    <xf numFmtId="0" fontId="5" fillId="0" borderId="0" xfId="155" applyFont="1" applyAlignment="1">
      <alignment horizontal="center"/>
    </xf>
    <xf numFmtId="0" fontId="61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5" fillId="0" borderId="0" xfId="160" applyFont="1" applyAlignment="1">
      <alignment horizontal="center"/>
    </xf>
    <xf numFmtId="0" fontId="65" fillId="0" borderId="0" xfId="0" applyFont="1" applyAlignment="1">
      <alignment horizontal="center"/>
    </xf>
    <xf numFmtId="0" fontId="5" fillId="0" borderId="0" xfId="160" applyFont="1" applyAlignment="1">
      <alignment horizontal="center"/>
    </xf>
    <xf numFmtId="0" fontId="5" fillId="0" borderId="0" xfId="160" applyFont="1"/>
    <xf numFmtId="0" fontId="5" fillId="0" borderId="10" xfId="160" applyFont="1" applyBorder="1" applyAlignment="1">
      <alignment horizontal="center"/>
    </xf>
    <xf numFmtId="0" fontId="5" fillId="0" borderId="10" xfId="160" applyFont="1" applyBorder="1" applyProtection="1">
      <protection locked="0"/>
    </xf>
    <xf numFmtId="0" fontId="5" fillId="0" borderId="10" xfId="160" applyFont="1" applyBorder="1" applyAlignment="1">
      <alignment horizontal="right"/>
    </xf>
    <xf numFmtId="0" fontId="3" fillId="0" borderId="0" xfId="160" applyFont="1"/>
    <xf numFmtId="0" fontId="3" fillId="0" borderId="0" xfId="160" applyFont="1" applyAlignment="1">
      <alignment horizontal="center"/>
    </xf>
    <xf numFmtId="184" fontId="3" fillId="0" borderId="0" xfId="160" applyNumberFormat="1" applyFont="1" applyAlignment="1">
      <alignment horizontal="left"/>
    </xf>
    <xf numFmtId="42" fontId="3" fillId="0" borderId="0" xfId="160" applyNumberFormat="1" applyFont="1" applyFill="1" applyProtection="1">
      <protection locked="0"/>
    </xf>
    <xf numFmtId="0" fontId="3" fillId="0" borderId="0" xfId="160" applyFont="1" applyAlignment="1">
      <alignment horizontal="left"/>
    </xf>
    <xf numFmtId="41" fontId="3" fillId="0" borderId="10" xfId="160" applyNumberFormat="1" applyFont="1" applyBorder="1" applyProtection="1">
      <protection locked="0"/>
    </xf>
    <xf numFmtId="42" fontId="3" fillId="0" borderId="0" xfId="160" applyNumberFormat="1" applyFont="1" applyProtection="1">
      <protection locked="0"/>
    </xf>
    <xf numFmtId="167" fontId="3" fillId="0" borderId="0" xfId="160" quotePrefix="1" applyNumberFormat="1" applyFont="1" applyAlignment="1">
      <alignment horizontal="left"/>
    </xf>
    <xf numFmtId="42" fontId="3" fillId="0" borderId="0" xfId="160" applyNumberFormat="1" applyFont="1"/>
    <xf numFmtId="167" fontId="3" fillId="0" borderId="0" xfId="160" applyNumberFormat="1" applyFont="1" applyBorder="1"/>
    <xf numFmtId="9" fontId="3" fillId="0" borderId="0" xfId="160" applyNumberFormat="1" applyFont="1" applyAlignment="1">
      <alignment horizontal="center"/>
    </xf>
    <xf numFmtId="167" fontId="3" fillId="0" borderId="0" xfId="160" applyNumberFormat="1" applyFont="1"/>
    <xf numFmtId="42" fontId="3" fillId="0" borderId="12" xfId="160" applyNumberFormat="1" applyFont="1" applyBorder="1"/>
    <xf numFmtId="0" fontId="3" fillId="0" borderId="0" xfId="160" applyFont="1" applyAlignment="1">
      <alignment vertical="center"/>
    </xf>
    <xf numFmtId="42" fontId="3" fillId="0" borderId="0" xfId="0" applyNumberFormat="1" applyFont="1"/>
    <xf numFmtId="0" fontId="3" fillId="0" borderId="0" xfId="0" applyFont="1" applyFill="1" applyBorder="1" applyAlignment="1">
      <alignment wrapText="1"/>
    </xf>
    <xf numFmtId="0" fontId="5" fillId="0" borderId="0" xfId="0" applyFont="1" applyAlignment="1">
      <alignment horizontal="center"/>
    </xf>
  </cellXfs>
  <cellStyles count="246">
    <cellStyle name="_x0013_" xfId="11"/>
    <cellStyle name="_09GRC Gas Transport For Review" xfId="12"/>
    <cellStyle name="_4.06E Pass Throughs" xfId="13"/>
    <cellStyle name="_4.06E Pass Throughs_04 07E Wild Horse Wind Expansion (C) (2)" xfId="14"/>
    <cellStyle name="_4.06E Pass Throughs_Book9" xfId="15"/>
    <cellStyle name="_4.13E Montana Energy Tax" xfId="16"/>
    <cellStyle name="_4.13E Montana Energy Tax_04 07E Wild Horse Wind Expansion (C) (2)" xfId="17"/>
    <cellStyle name="_4.13E Montana Energy Tax_Book9" xfId="18"/>
    <cellStyle name="_AURORA WIP" xfId="19"/>
    <cellStyle name="_Book1" xfId="20"/>
    <cellStyle name="_Book1 (2)" xfId="21"/>
    <cellStyle name="_Book1 (2)_04 07E Wild Horse Wind Expansion (C) (2)" xfId="22"/>
    <cellStyle name="_Book1 (2)_Book9" xfId="23"/>
    <cellStyle name="_Book1_Book9" xfId="24"/>
    <cellStyle name="_Book2" xfId="25"/>
    <cellStyle name="_Book2_04 07E Wild Horse Wind Expansion (C) (2)" xfId="26"/>
    <cellStyle name="_Book2_Book9" xfId="27"/>
    <cellStyle name="_Book3" xfId="28"/>
    <cellStyle name="_Book5" xfId="29"/>
    <cellStyle name="_Chelan Debt Forecast 12.19.05" xfId="30"/>
    <cellStyle name="_Chelan Debt Forecast 12.19.05_Book9" xfId="31"/>
    <cellStyle name="_Costs not in AURORA 06GRC" xfId="32"/>
    <cellStyle name="_Costs not in AURORA 06GRC_04 07E Wild Horse Wind Expansion (C) (2)" xfId="33"/>
    <cellStyle name="_Costs not in AURORA 06GRC_Book9" xfId="34"/>
    <cellStyle name="_Costs not in AURORA 2006GRC 6.15.06" xfId="35"/>
    <cellStyle name="_Costs not in AURORA 2006GRC 6.15.06_04 07E Wild Horse Wind Expansion (C) (2)" xfId="36"/>
    <cellStyle name="_Costs not in AURORA 2006GRC 6.15.06_Book9" xfId="37"/>
    <cellStyle name="_Costs not in AURORA 2006GRC w gas price updated" xfId="38"/>
    <cellStyle name="_Costs not in AURORA 2007 Rate Case" xfId="39"/>
    <cellStyle name="_Costs not in AURORA 2007 Rate Case_Book9" xfId="40"/>
    <cellStyle name="_Costs not in KWI3000 '06Budget" xfId="41"/>
    <cellStyle name="_Costs not in KWI3000 '06Budget_Book9" xfId="42"/>
    <cellStyle name="_DEM-WP (C) Power Cost 2006GRC Order" xfId="43"/>
    <cellStyle name="_DEM-WP (C) Power Cost 2006GRC Order_04 07E Wild Horse Wind Expansion (C) (2)" xfId="44"/>
    <cellStyle name="_DEM-WP (C) Power Cost 2006GRC Order_Book9" xfId="45"/>
    <cellStyle name="_DEM-WP Revised (HC) Wild Horse 2006GRC" xfId="46"/>
    <cellStyle name="_DEM-WP(C) Costs not in AURORA 2006GRC" xfId="47"/>
    <cellStyle name="_DEM-WP(C) Costs not in AURORA 2006GRC_Book9" xfId="48"/>
    <cellStyle name="_DEM-WP(C) Costs not in AURORA 2007GRC" xfId="49"/>
    <cellStyle name="_DEM-WP(C) Costs not in AURORA 2007PCORC-5.07Update" xfId="50"/>
    <cellStyle name="_DEM-WP(C) Sumas Proforma 11.5.07" xfId="51"/>
    <cellStyle name="_DEM-WP(C) Westside Hydro Data_051007" xfId="52"/>
    <cellStyle name="_Fixed Gas Transport 1 19 09" xfId="53"/>
    <cellStyle name="_Fuel Prices 4-14" xfId="54"/>
    <cellStyle name="_Fuel Prices 4-14_04 07E Wild Horse Wind Expansion (C) (2)" xfId="55"/>
    <cellStyle name="_Fuel Prices 4-14_Book9" xfId="56"/>
    <cellStyle name="_Gas Transportation Charges_2009GRC_120308" xfId="57"/>
    <cellStyle name="_NIM 06 Base Case Current Trends" xfId="58"/>
    <cellStyle name="_Portfolio SPlan Base Case.xls Chart 1" xfId="59"/>
    <cellStyle name="_Portfolio SPlan Base Case.xls Chart 2" xfId="60"/>
    <cellStyle name="_Portfolio SPlan Base Case.xls Chart 3" xfId="61"/>
    <cellStyle name="_Power Cost Value Copy 11.30.05 gas 1.09.06 AURORA at 1.10.06" xfId="62"/>
    <cellStyle name="_Power Cost Value Copy 11.30.05 gas 1.09.06 AURORA at 1.10.06_04 07E Wild Horse Wind Expansion (C) (2)" xfId="63"/>
    <cellStyle name="_Power Cost Value Copy 11.30.05 gas 1.09.06 AURORA at 1.10.06_Book9" xfId="64"/>
    <cellStyle name="_Recon to Darrin's 5.11.05 proforma" xfId="65"/>
    <cellStyle name="_Recon to Darrin's 5.11.05 proforma_Book9" xfId="66"/>
    <cellStyle name="_Sumas Proforma - 11-09-07" xfId="67"/>
    <cellStyle name="_Sumas Property Taxes v1" xfId="68"/>
    <cellStyle name="_Tenaska Comparison" xfId="69"/>
    <cellStyle name="_Tenaska Comparison_Book9" xfId="70"/>
    <cellStyle name="_Value Copy 11 30 05 gas 12 09 05 AURORA at 12 14 05" xfId="71"/>
    <cellStyle name="_Value Copy 11 30 05 gas 12 09 05 AURORA at 12 14 05_04 07E Wild Horse Wind Expansion (C) (2)" xfId="72"/>
    <cellStyle name="_Value Copy 11 30 05 gas 12 09 05 AURORA at 12 14 05_Book9" xfId="73"/>
    <cellStyle name="_VC 6.15.06 update on 06GRC power costs.xls Chart 1" xfId="74"/>
    <cellStyle name="_VC 6.15.06 update on 06GRC power costs.xls Chart 1_04 07E Wild Horse Wind Expansion (C) (2)" xfId="75"/>
    <cellStyle name="_VC 6.15.06 update on 06GRC power costs.xls Chart 1_Book9" xfId="76"/>
    <cellStyle name="_VC 6.15.06 update on 06GRC power costs.xls Chart 2" xfId="77"/>
    <cellStyle name="_VC 6.15.06 update on 06GRC power costs.xls Chart 2_04 07E Wild Horse Wind Expansion (C) (2)" xfId="78"/>
    <cellStyle name="_VC 6.15.06 update on 06GRC power costs.xls Chart 2_Book9" xfId="79"/>
    <cellStyle name="_VC 6.15.06 update on 06GRC power costs.xls Chart 3" xfId="80"/>
    <cellStyle name="_VC 6.15.06 update on 06GRC power costs.xls Chart 3_04 07E Wild Horse Wind Expansion (C) (2)" xfId="81"/>
    <cellStyle name="_VC 6.15.06 update on 06GRC power costs.xls Chart 3_Book9" xfId="82"/>
    <cellStyle name="0,0_x000d__x000a_NA_x000d__x000a_" xfId="83"/>
    <cellStyle name="Calc Currency (0)" xfId="84"/>
    <cellStyle name="CheckCell" xfId="85"/>
    <cellStyle name="Comma" xfId="1" builtinId="3"/>
    <cellStyle name="Comma 10" xfId="86"/>
    <cellStyle name="Comma 11" xfId="87"/>
    <cellStyle name="Comma 11 2" xfId="213"/>
    <cellStyle name="Comma 2" xfId="5"/>
    <cellStyle name="Comma 2 2" xfId="10"/>
    <cellStyle name="Comma 3" xfId="88"/>
    <cellStyle name="Comma 4 2" xfId="89"/>
    <cellStyle name="Comma 7" xfId="90"/>
    <cellStyle name="Comma 8" xfId="91"/>
    <cellStyle name="Comma 9" xfId="92"/>
    <cellStyle name="Comma_Amort Mint Farm Deferral" xfId="216"/>
    <cellStyle name="Comma0" xfId="93"/>
    <cellStyle name="Comma0 - Style2" xfId="94"/>
    <cellStyle name="Comma0 - Style4" xfId="95"/>
    <cellStyle name="Comma0 - Style5" xfId="96"/>
    <cellStyle name="Comma0 2" xfId="97"/>
    <cellStyle name="Comma0 3" xfId="98"/>
    <cellStyle name="Comma0 4" xfId="99"/>
    <cellStyle name="Comma0_00COS Ind Allocators" xfId="100"/>
    <cellStyle name="Comma1 - Style1" xfId="101"/>
    <cellStyle name="Copied" xfId="102"/>
    <cellStyle name="COST1" xfId="103"/>
    <cellStyle name="Curren - Style1" xfId="104"/>
    <cellStyle name="Curren - Style2" xfId="105"/>
    <cellStyle name="Curren - Style5" xfId="106"/>
    <cellStyle name="Curren - Style6" xfId="107"/>
    <cellStyle name="Currency" xfId="209" builtinId="4"/>
    <cellStyle name="Currency 10" xfId="108"/>
    <cellStyle name="Currency 2" xfId="6"/>
    <cellStyle name="Currency 3" xfId="109"/>
    <cellStyle name="Currency 4" xfId="208"/>
    <cellStyle name="Currency 7" xfId="110"/>
    <cellStyle name="Currency 8" xfId="111"/>
    <cellStyle name="Currency 9" xfId="112"/>
    <cellStyle name="Currency_2.26E Regulatory Assets &amp; Liabilities" xfId="215"/>
    <cellStyle name="Currency_Amort Mint Farm Deferral" xfId="217"/>
    <cellStyle name="Currency0" xfId="113"/>
    <cellStyle name="Custom - Style1" xfId="218"/>
    <cellStyle name="Custom - Style8" xfId="219"/>
    <cellStyle name="Data   - Style2" xfId="220"/>
    <cellStyle name="Date" xfId="114"/>
    <cellStyle name="Date 2" xfId="115"/>
    <cellStyle name="Date 3" xfId="116"/>
    <cellStyle name="Date 4" xfId="117"/>
    <cellStyle name="Entered" xfId="118"/>
    <cellStyle name="Euro" xfId="119"/>
    <cellStyle name="Fixed" xfId="120"/>
    <cellStyle name="Fixed3 - Style3" xfId="121"/>
    <cellStyle name="Grey" xfId="122"/>
    <cellStyle name="Grey 2" xfId="123"/>
    <cellStyle name="Grey 3" xfId="124"/>
    <cellStyle name="Grey 4" xfId="125"/>
    <cellStyle name="Header1" xfId="126"/>
    <cellStyle name="Header2" xfId="127"/>
    <cellStyle name="Heading1" xfId="128"/>
    <cellStyle name="Heading2" xfId="129"/>
    <cellStyle name="Input [yellow]" xfId="130"/>
    <cellStyle name="Input [yellow] 2" xfId="131"/>
    <cellStyle name="Input [yellow] 3" xfId="132"/>
    <cellStyle name="Input [yellow] 4" xfId="133"/>
    <cellStyle name="Input Cells" xfId="134"/>
    <cellStyle name="Input Cells Percent" xfId="135"/>
    <cellStyle name="Input Cells_Book9" xfId="136"/>
    <cellStyle name="Labels - Style3" xfId="221"/>
    <cellStyle name="Lines" xfId="137"/>
    <cellStyle name="LINKED" xfId="138"/>
    <cellStyle name="modified border" xfId="139"/>
    <cellStyle name="modified border 2" xfId="140"/>
    <cellStyle name="modified border 3" xfId="141"/>
    <cellStyle name="modified border 4" xfId="142"/>
    <cellStyle name="modified border1" xfId="143"/>
    <cellStyle name="modified border1 2" xfId="144"/>
    <cellStyle name="modified border1 3" xfId="145"/>
    <cellStyle name="modified border1 4" xfId="146"/>
    <cellStyle name="no dec" xfId="147"/>
    <cellStyle name="Normal" xfId="0" builtinId="0"/>
    <cellStyle name="Normal - Style1" xfId="148"/>
    <cellStyle name="Normal - Style1 2" xfId="149"/>
    <cellStyle name="Normal - Style1 3" xfId="150"/>
    <cellStyle name="Normal - Style1 4" xfId="151"/>
    <cellStyle name="Normal - Style2" xfId="222"/>
    <cellStyle name="Normal - Style3" xfId="223"/>
    <cellStyle name="Normal - Style4" xfId="224"/>
    <cellStyle name="Normal - Style5" xfId="225"/>
    <cellStyle name="Normal - Style6" xfId="226"/>
    <cellStyle name="Normal - Style7" xfId="227"/>
    <cellStyle name="Normal - Style8" xfId="228"/>
    <cellStyle name="Normal 10" xfId="152"/>
    <cellStyle name="Normal 11" xfId="153"/>
    <cellStyle name="Normal 12" xfId="154"/>
    <cellStyle name="Normal 13" xfId="2"/>
    <cellStyle name="Normal 2" xfId="4"/>
    <cellStyle name="Normal 2 2" xfId="155"/>
    <cellStyle name="Normal 2 3" xfId="156"/>
    <cellStyle name="Normal 2 4" xfId="157"/>
    <cellStyle name="Normal 2 5" xfId="158"/>
    <cellStyle name="Normal 2 6" xfId="245"/>
    <cellStyle name="Normal 4 2" xfId="159"/>
    <cellStyle name="Normal 6" xfId="160"/>
    <cellStyle name="Normal 7" xfId="161"/>
    <cellStyle name="Normal 8" xfId="162"/>
    <cellStyle name="Normal 9" xfId="163"/>
    <cellStyle name="Normal_2.26E Regulatory Assets &amp; Liabilities" xfId="211"/>
    <cellStyle name="Normal_Hopkins Ridge" xfId="212"/>
    <cellStyle name="Normal_Wild Horse 2006 GRC" xfId="210"/>
    <cellStyle name="Output Amounts" xfId="229"/>
    <cellStyle name="Output Column Headings" xfId="230"/>
    <cellStyle name="Output Line Items" xfId="231"/>
    <cellStyle name="Output Report Heading" xfId="232"/>
    <cellStyle name="Output Report Title" xfId="233"/>
    <cellStyle name="Percen - Style1" xfId="164"/>
    <cellStyle name="Percen - Style2" xfId="165"/>
    <cellStyle name="Percen - Style3" xfId="166"/>
    <cellStyle name="Percent" xfId="3" builtinId="5"/>
    <cellStyle name="Percent [2]" xfId="167"/>
    <cellStyle name="Percent 2" xfId="8"/>
    <cellStyle name="Percent 2 2" xfId="244"/>
    <cellStyle name="Percent 3" xfId="168"/>
    <cellStyle name="Percent 4 2" xfId="169"/>
    <cellStyle name="Percent 4 3" xfId="214"/>
    <cellStyle name="Processing" xfId="170"/>
    <cellStyle name="PSChar" xfId="171"/>
    <cellStyle name="PSDate" xfId="172"/>
    <cellStyle name="PSDec" xfId="173"/>
    <cellStyle name="PSHeading" xfId="174"/>
    <cellStyle name="PSInt" xfId="175"/>
    <cellStyle name="PSSpacer" xfId="176"/>
    <cellStyle name="purple - Style8" xfId="177"/>
    <cellStyle name="RED" xfId="178"/>
    <cellStyle name="Red - Style7" xfId="179"/>
    <cellStyle name="RED_04 07E Wild Horse Wind Expansion (C) (2)" xfId="180"/>
    <cellStyle name="Report" xfId="181"/>
    <cellStyle name="Report Bar" xfId="182"/>
    <cellStyle name="Report Heading" xfId="183"/>
    <cellStyle name="Report Percent" xfId="184"/>
    <cellStyle name="Report Unit Cost" xfId="185"/>
    <cellStyle name="Reports" xfId="186"/>
    <cellStyle name="Reports Total" xfId="187"/>
    <cellStyle name="Reports Unit Cost Total" xfId="188"/>
    <cellStyle name="Reports_Book9" xfId="189"/>
    <cellStyle name="Reset  - Style4" xfId="234"/>
    <cellStyle name="Reset  - Style7" xfId="235"/>
    <cellStyle name="RevList" xfId="190"/>
    <cellStyle name="round100" xfId="191"/>
    <cellStyle name="shade" xfId="192"/>
    <cellStyle name="StmtTtl1" xfId="193"/>
    <cellStyle name="StmtTtl1 2" xfId="194"/>
    <cellStyle name="StmtTtl1 3" xfId="195"/>
    <cellStyle name="StmtTtl1 4" xfId="196"/>
    <cellStyle name="StmtTtl2" xfId="197"/>
    <cellStyle name="STYL1 - Style1" xfId="198"/>
    <cellStyle name="Style 1" xfId="7"/>
    <cellStyle name="Style 1 2" xfId="9"/>
    <cellStyle name="Style 1 3" xfId="199"/>
    <cellStyle name="Style 1 4" xfId="200"/>
    <cellStyle name="Style 1_Book9" xfId="201"/>
    <cellStyle name="Subtotal" xfId="202"/>
    <cellStyle name="Sub-total" xfId="203"/>
    <cellStyle name="Table  - Style5" xfId="236"/>
    <cellStyle name="Table  - Style6" xfId="237"/>
    <cellStyle name="Title  - Style1" xfId="238"/>
    <cellStyle name="Title  - Style6" xfId="239"/>
    <cellStyle name="Title: Major" xfId="204"/>
    <cellStyle name="Title: Minor" xfId="205"/>
    <cellStyle name="Title: Worksheet" xfId="206"/>
    <cellStyle name="Total4 - Style4" xfId="207"/>
    <cellStyle name="TotCol - Style5" xfId="240"/>
    <cellStyle name="TotCol - Style7" xfId="241"/>
    <cellStyle name="TotRow - Style4" xfId="242"/>
    <cellStyle name="TotRow - Style8" xfId="243"/>
  </cellStyles>
  <dxfs count="0"/>
  <tableStyles count="0" defaultTableStyle="TableStyleMedium9" defaultPivotStyle="PivotStyleLight16"/>
  <colors>
    <mruColors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externalLink" Target="externalLinks/externalLink11.xml"/><Relationship Id="rId6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externalLink" Target="externalLinks/externalLink1.xml"/><Relationship Id="rId58" Type="http://schemas.openxmlformats.org/officeDocument/2006/relationships/externalLink" Target="externalLinks/externalLink6.xml"/><Relationship Id="rId66" Type="http://schemas.openxmlformats.org/officeDocument/2006/relationships/externalLink" Target="externalLinks/externalLink14.xml"/><Relationship Id="rId7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9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externalLink" Target="externalLinks/externalLink4.xml"/><Relationship Id="rId64" Type="http://schemas.openxmlformats.org/officeDocument/2006/relationships/externalLink" Target="externalLinks/externalLink12.xml"/><Relationship Id="rId69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externalLink" Target="externalLinks/externalLink7.xml"/><Relationship Id="rId67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2.xml"/><Relationship Id="rId62" Type="http://schemas.openxmlformats.org/officeDocument/2006/relationships/externalLink" Target="externalLinks/externalLink10.xml"/><Relationship Id="rId7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externalLink" Target="externalLinks/externalLink8.xml"/><Relationship Id="rId65" Type="http://schemas.openxmlformats.org/officeDocument/2006/relationships/externalLink" Target="externalLinks/externalLink13.xml"/><Relationship Id="rId73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71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PPE%2013%20month%20by%20su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rc\Rate%20Case\Rate%20Case%20Info\RATE%20CASE%2096\SUPMENT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us_intg\Rate%20Case_01\MSFR_Wps%20&amp;%20Scheds%20to%20file\RATECAS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Revenue%20Requirements\Energas\Amarillo\DefStudyMay01\Exhibits%20May%2001%20Amarillo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rc\Rate%20Case\Rate%20Case%20Info\RATE%20CASE%2096\SUPLMEN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kbreda\My%20Documents\PSE%20UE090704\10.33%20Fredonia\Adj%2010.33E%20Fredonia%20Power%20Plant%20Staf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buchanan\My%20Documents\bbfiles\Colorado\CO%202005-06%20GCA\AppendixA%202005-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Cash%20Working%20Capital\Cash%20Working%20Capit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bfiles\Colorado\Study%201202\AppendixA2002-12%20fin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Revenue%20Requirements\Greeley\Kansas\Study%203-31-01\Kansas%20Study%203-31-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Revenue%20Requirements\Mid-States\VIRGINIA\2003%20AIF\2003%2009%20AIF\REVISED%202003%2009%20FILED%20AI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Missouri%20Study%20ending%209-30-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sl\My%20Documents\My%20TAI\PPL%20Electric\PPL%20Schedule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ASES\TAI\06%20Cases\0636%20%20UNS%20Gas\UNS%20Gas%20Schedul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1"/>
      <sheetName val="Jun 99"/>
      <sheetName val="Jul 99"/>
      <sheetName val="Aug 99"/>
      <sheetName val="Sep 99"/>
      <sheetName val="Oct 99"/>
      <sheetName val="Nov 99"/>
      <sheetName val="Dec 99"/>
      <sheetName val="Jan 00"/>
      <sheetName val="Feb 00"/>
      <sheetName val="Mar 00"/>
      <sheetName val="Apr 00"/>
      <sheetName val="May 00"/>
      <sheetName val="Jun-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SECT_G"/>
      <sheetName val="WP_G6"/>
      <sheetName val="WP_G14"/>
      <sheetName val="WP_G15"/>
      <sheetName val="WP_G-16"/>
      <sheetName val="WP_G-17"/>
      <sheetName val="WP_G-18a"/>
      <sheetName val="WP_G-18b"/>
      <sheetName val="WP_H1"/>
      <sheetName val="WP_H1.1"/>
      <sheetName val="WP_H1.2"/>
      <sheetName val="WP_H3"/>
      <sheetName val="WP_H3-1"/>
      <sheetName val="WP_H4"/>
      <sheetName val="WP_H4.1"/>
      <sheetName val="WP_H4.2"/>
      <sheetName val="WP_H4.3"/>
      <sheetName val="WP_H4.4"/>
      <sheetName val="WP_H4.5"/>
      <sheetName val="WP_H4.6"/>
      <sheetName val="WP_H5"/>
      <sheetName val="WP_H6"/>
      <sheetName val="WP_H7"/>
      <sheetName val="WP_H8"/>
      <sheetName val="WP_H8.1"/>
      <sheetName val="WP_H8.2"/>
      <sheetName val="WP_H9"/>
      <sheetName val="WP_H9.1"/>
      <sheetName val="WP_H9.2"/>
      <sheetName val="WP_H10"/>
      <sheetName val="WP_H10.1"/>
      <sheetName val="WP_H10.2"/>
      <sheetName val="WP_H11"/>
      <sheetName val="WP_H12"/>
      <sheetName val="WP_H13"/>
      <sheetName val="WP_H14"/>
      <sheetName val="WP_H15"/>
      <sheetName val="WP_H16"/>
      <sheetName val="WP_H17"/>
      <sheetName val="WP_H18"/>
      <sheetName val="WP_H19"/>
      <sheetName val="WP_H20"/>
      <sheetName val="WP_H21"/>
      <sheetName val="WP_H22"/>
      <sheetName val="WP_I1"/>
      <sheetName val="WP_I2"/>
      <sheetName val="WP_I3"/>
      <sheetName val="WP_J1"/>
      <sheetName val="WP_J2"/>
      <sheetName val="WP_J3"/>
      <sheetName val="WP_J4"/>
      <sheetName val="WP_J5"/>
      <sheetName val="WP_J6"/>
      <sheetName val="SECT_K"/>
      <sheetName val="SECT_L"/>
      <sheetName val="SECT_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2">
          <cell r="B2" t="str">
            <v>Section H - Operating Income Statement</v>
          </cell>
        </row>
        <row r="3">
          <cell r="B3" t="str">
            <v>W/P H-9</v>
          </cell>
        </row>
        <row r="4">
          <cell r="A4" t="str">
            <v>OKLAHOMA GAS AND ELECTRIC SERVICES</v>
          </cell>
        </row>
        <row r="5">
          <cell r="A5" t="str">
            <v>DIRECTORS' FEES &amp; EXECUTIVE SALARIES &amp; EXPENSES</v>
          </cell>
        </row>
        <row r="6">
          <cell r="A6" t="str">
            <v>TEST YEAR ENDING DECEMBER 31, 1995</v>
          </cell>
        </row>
        <row r="7">
          <cell r="A7" t="str">
            <v>CAUSE NO. PUD  960000116</v>
          </cell>
        </row>
        <row r="10">
          <cell r="B10" t="str">
            <v>Line</v>
          </cell>
          <cell r="F10" t="str">
            <v>Fees &amp;</v>
          </cell>
          <cell r="H10" t="str">
            <v>Incentive</v>
          </cell>
          <cell r="J10" t="str">
            <v>Restricted</v>
          </cell>
        </row>
        <row r="11">
          <cell r="B11" t="str">
            <v>No.</v>
          </cell>
          <cell r="D11" t="str">
            <v>Description</v>
          </cell>
          <cell r="F11" t="str">
            <v>Salaries</v>
          </cell>
          <cell r="H11" t="str">
            <v>Compensation</v>
          </cell>
          <cell r="J11" t="str">
            <v>Stock</v>
          </cell>
          <cell r="L11" t="str">
            <v>Expenses</v>
          </cell>
        </row>
        <row r="13">
          <cell r="B13" t="str">
            <v>1.</v>
          </cell>
          <cell r="D13" t="str">
            <v>Herbert H Champlin</v>
          </cell>
          <cell r="F13">
            <v>34000</v>
          </cell>
          <cell r="L13">
            <v>1495</v>
          </cell>
        </row>
        <row r="14">
          <cell r="D14" t="str">
            <v>William E Durrett</v>
          </cell>
          <cell r="F14">
            <v>35000</v>
          </cell>
        </row>
        <row r="15">
          <cell r="D15" t="str">
            <v>Martha W Griffin</v>
          </cell>
          <cell r="F15">
            <v>34000</v>
          </cell>
          <cell r="L15">
            <v>1740</v>
          </cell>
        </row>
        <row r="16">
          <cell r="D16" t="str">
            <v>Hugh Hembree</v>
          </cell>
          <cell r="F16">
            <v>30000</v>
          </cell>
          <cell r="L16">
            <v>2074</v>
          </cell>
        </row>
        <row r="17">
          <cell r="D17" t="str">
            <v>Donald S Kennedy</v>
          </cell>
          <cell r="F17">
            <v>8000</v>
          </cell>
        </row>
        <row r="18">
          <cell r="D18" t="str">
            <v>Wayne A Parker</v>
          </cell>
          <cell r="F18">
            <v>24000</v>
          </cell>
        </row>
        <row r="19">
          <cell r="D19" t="str">
            <v>John F Snodgrass</v>
          </cell>
          <cell r="F19">
            <v>31000</v>
          </cell>
          <cell r="L19">
            <v>1329</v>
          </cell>
        </row>
        <row r="20">
          <cell r="D20" t="str">
            <v>John A Taylor</v>
          </cell>
          <cell r="F20">
            <v>35000</v>
          </cell>
          <cell r="L20">
            <v>407</v>
          </cell>
        </row>
        <row r="21">
          <cell r="D21" t="str">
            <v>Ronald White</v>
          </cell>
          <cell r="F21">
            <v>31000</v>
          </cell>
        </row>
        <row r="24">
          <cell r="D24" t="str">
            <v>J G Harlow jr</v>
          </cell>
          <cell r="F24">
            <v>500000</v>
          </cell>
          <cell r="H24">
            <v>183000</v>
          </cell>
          <cell r="J24">
            <v>149972</v>
          </cell>
          <cell r="L24">
            <v>6850</v>
          </cell>
        </row>
        <row r="25">
          <cell r="D25" t="str">
            <v>Patrick J Ryan</v>
          </cell>
          <cell r="F25">
            <v>295000</v>
          </cell>
          <cell r="H25">
            <v>63130</v>
          </cell>
          <cell r="J25">
            <v>58968</v>
          </cell>
          <cell r="L25">
            <v>5218</v>
          </cell>
        </row>
        <row r="26">
          <cell r="D26" t="str">
            <v>S E Moore</v>
          </cell>
          <cell r="F26">
            <v>212000</v>
          </cell>
          <cell r="H26">
            <v>58591</v>
          </cell>
          <cell r="J26">
            <v>52974</v>
          </cell>
          <cell r="L26">
            <v>1912</v>
          </cell>
        </row>
        <row r="27">
          <cell r="D27" t="str">
            <v>A M Strecker</v>
          </cell>
          <cell r="F27">
            <v>200000</v>
          </cell>
          <cell r="H27">
            <v>46800</v>
          </cell>
          <cell r="J27">
            <v>39974</v>
          </cell>
          <cell r="L27">
            <v>602</v>
          </cell>
        </row>
        <row r="28">
          <cell r="D28" t="str">
            <v>J T Coffman</v>
          </cell>
          <cell r="F28">
            <v>127500</v>
          </cell>
          <cell r="H28">
            <v>31720</v>
          </cell>
          <cell r="J28">
            <v>25475</v>
          </cell>
          <cell r="L28">
            <v>3758</v>
          </cell>
        </row>
        <row r="29">
          <cell r="D29" t="str">
            <v>J R Hatfield</v>
          </cell>
          <cell r="F29">
            <v>127500</v>
          </cell>
          <cell r="H29">
            <v>29835</v>
          </cell>
          <cell r="J29">
            <v>25475</v>
          </cell>
          <cell r="L29">
            <v>1902</v>
          </cell>
        </row>
        <row r="30">
          <cell r="D30" t="str">
            <v>D L Young</v>
          </cell>
          <cell r="F30">
            <v>120000</v>
          </cell>
          <cell r="H30">
            <v>25894</v>
          </cell>
          <cell r="J30">
            <v>23976</v>
          </cell>
          <cell r="L30">
            <v>2050</v>
          </cell>
        </row>
        <row r="31">
          <cell r="D31" t="str">
            <v>M D Bowen jr</v>
          </cell>
          <cell r="F31">
            <v>119167</v>
          </cell>
          <cell r="H31">
            <v>28548</v>
          </cell>
          <cell r="J31">
            <v>23814</v>
          </cell>
          <cell r="L31">
            <v>3474</v>
          </cell>
        </row>
        <row r="32">
          <cell r="D32" t="str">
            <v>M G Davis</v>
          </cell>
          <cell r="F32">
            <v>118000</v>
          </cell>
          <cell r="H32">
            <v>25680</v>
          </cell>
          <cell r="J32">
            <v>23571</v>
          </cell>
        </row>
        <row r="33">
          <cell r="D33" t="str">
            <v>D R Rowlett</v>
          </cell>
          <cell r="F33">
            <v>94167</v>
          </cell>
          <cell r="H33">
            <v>15960</v>
          </cell>
          <cell r="J33">
            <v>18833</v>
          </cell>
          <cell r="L33">
            <v>1053</v>
          </cell>
        </row>
        <row r="34">
          <cell r="D34" t="str">
            <v>I B Elliott</v>
          </cell>
          <cell r="F34">
            <v>94333</v>
          </cell>
          <cell r="H34">
            <v>16128</v>
          </cell>
          <cell r="J34">
            <v>9396</v>
          </cell>
          <cell r="L34">
            <v>763</v>
          </cell>
        </row>
        <row r="37">
          <cell r="D37" t="str">
            <v>B G Anthony</v>
          </cell>
          <cell r="F37">
            <v>104772</v>
          </cell>
          <cell r="J37">
            <v>8384</v>
          </cell>
          <cell r="L37">
            <v>7579</v>
          </cell>
        </row>
        <row r="38">
          <cell r="D38" t="str">
            <v>T C Vincent</v>
          </cell>
          <cell r="F38">
            <v>104472</v>
          </cell>
          <cell r="J38">
            <v>8384</v>
          </cell>
          <cell r="L38">
            <v>1091</v>
          </cell>
        </row>
        <row r="39">
          <cell r="D39" t="str">
            <v>W L Wylie</v>
          </cell>
          <cell r="F39">
            <v>104472</v>
          </cell>
          <cell r="J39">
            <v>8384</v>
          </cell>
          <cell r="L39">
            <v>5126</v>
          </cell>
        </row>
        <row r="40">
          <cell r="D40" t="str">
            <v>P M Dean</v>
          </cell>
          <cell r="F40">
            <v>104472</v>
          </cell>
          <cell r="J40">
            <v>6278</v>
          </cell>
          <cell r="L40">
            <v>7328</v>
          </cell>
        </row>
        <row r="41">
          <cell r="D41" t="str">
            <v>O W Beasley</v>
          </cell>
          <cell r="F41">
            <v>103712</v>
          </cell>
          <cell r="J41">
            <v>5184</v>
          </cell>
          <cell r="L41">
            <v>3143</v>
          </cell>
        </row>
        <row r="42">
          <cell r="D42" t="str">
            <v>T L Henry</v>
          </cell>
          <cell r="F42">
            <v>102340</v>
          </cell>
          <cell r="J42">
            <v>5103</v>
          </cell>
          <cell r="L42">
            <v>3483</v>
          </cell>
        </row>
        <row r="43">
          <cell r="D43" t="str">
            <v>J R Helton</v>
          </cell>
          <cell r="F43">
            <v>101980</v>
          </cell>
          <cell r="J43">
            <v>5103</v>
          </cell>
          <cell r="L43">
            <v>8777</v>
          </cell>
        </row>
        <row r="44">
          <cell r="D44" t="str">
            <v>R P Schmid</v>
          </cell>
          <cell r="F44">
            <v>95820</v>
          </cell>
          <cell r="J44">
            <v>9599</v>
          </cell>
          <cell r="L44">
            <v>4449</v>
          </cell>
        </row>
        <row r="45">
          <cell r="D45" t="str">
            <v>J E Wilson *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Gen Info_Factors &amp; Rates"/>
      <sheetName val="Index"/>
      <sheetName val="SCH_B1"/>
      <sheetName val="SCH_B2"/>
      <sheetName val="SCH_B2.1"/>
      <sheetName val="SCH_B2.2"/>
      <sheetName val="SCH_B2.3"/>
      <sheetName val="SCH_B2.4"/>
      <sheetName val="SCH_B3"/>
      <sheetName val="SCH_B4_P forma Adjs list"/>
      <sheetName val="SCH_C1"/>
      <sheetName val="SCH_C2"/>
      <sheetName val="SCH_C2.1"/>
      <sheetName val="SCH_D1A"/>
      <sheetName val="SCH_D2"/>
      <sheetName val="SCH_D2.1"/>
      <sheetName val="SCH_E1"/>
      <sheetName val="SCH_F1"/>
      <sheetName val="SCH_F-2"/>
      <sheetName val="SCH_F-3"/>
      <sheetName val="SCH_G"/>
      <sheetName val="SCH_H1"/>
      <sheetName val="SCH_H2"/>
      <sheetName val="SCH_H3"/>
      <sheetName val="SCH_I1"/>
      <sheetName val="SCH_I1_1"/>
      <sheetName val="SCH_J1 &amp; J2"/>
      <sheetName val="SCH_J3"/>
      <sheetName val="SCH_J4"/>
      <sheetName val="SCH_B4_Adjs list"/>
      <sheetName val="SCH_C3 Adjs List"/>
      <sheetName val="SCH_D1"/>
      <sheetName val="SCH_D3 Adjs list"/>
      <sheetName val="Sheet1"/>
      <sheetName val="SCH_B3.1"/>
      <sheetName val="SCH_C1-a"/>
      <sheetName val="SCH_I1a"/>
      <sheetName val="SCH_J1"/>
    </sheetNames>
    <sheetDataSet>
      <sheetData sheetId="0" refreshError="1"/>
      <sheetData sheetId="1" refreshError="1"/>
      <sheetData sheetId="2" refreshError="1">
        <row r="2">
          <cell r="B2" t="str">
            <v>SCHEDULE B - 1</v>
          </cell>
        </row>
        <row r="4">
          <cell r="B4" t="str">
            <v>OKLAHOMA GAS AND ELECTRIC SERVICES</v>
          </cell>
        </row>
        <row r="5">
          <cell r="B5" t="str">
            <v>REVENUE REQUIREMENT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0">
          <cell r="B10" t="str">
            <v>Line</v>
          </cell>
        </row>
        <row r="11">
          <cell r="B11" t="str">
            <v>No.</v>
          </cell>
          <cell r="D11" t="str">
            <v>Description</v>
          </cell>
          <cell r="F11" t="str">
            <v>Reference</v>
          </cell>
        </row>
        <row r="13">
          <cell r="B13" t="str">
            <v>1.</v>
          </cell>
          <cell r="D13" t="str">
            <v>Pro Forma Rate Base</v>
          </cell>
          <cell r="F13" t="str">
            <v>Sch B-2</v>
          </cell>
        </row>
        <row r="15">
          <cell r="B15" t="str">
            <v>2.</v>
          </cell>
          <cell r="D15" t="str">
            <v>Rate of Return</v>
          </cell>
          <cell r="F15" t="str">
            <v>Sch F-1</v>
          </cell>
        </row>
        <row r="17">
          <cell r="B17" t="str">
            <v>3.</v>
          </cell>
          <cell r="D17" t="str">
            <v>Return on Rate Base</v>
          </cell>
          <cell r="F17" t="str">
            <v>1 times 2</v>
          </cell>
        </row>
        <row r="19">
          <cell r="B19" t="str">
            <v>4.</v>
          </cell>
          <cell r="D19" t="str">
            <v>Operating Efficiency Allowance</v>
          </cell>
          <cell r="F19" t="str">
            <v>1 times .383</v>
          </cell>
        </row>
        <row r="21">
          <cell r="B21" t="str">
            <v>5.</v>
          </cell>
          <cell r="D21" t="str">
            <v>Operating Income Required</v>
          </cell>
          <cell r="F21" t="str">
            <v>3 plus 4</v>
          </cell>
        </row>
        <row r="23">
          <cell r="B23" t="str">
            <v>6.</v>
          </cell>
          <cell r="D23" t="str">
            <v>Pro Forma Operating Income</v>
          </cell>
          <cell r="F23" t="str">
            <v>Sch H-1</v>
          </cell>
        </row>
        <row r="25">
          <cell r="B25" t="str">
            <v>7.</v>
          </cell>
          <cell r="D25" t="str">
            <v>Difference</v>
          </cell>
          <cell r="F25" t="str">
            <v>5 minus 6</v>
          </cell>
        </row>
        <row r="27">
          <cell r="B27" t="str">
            <v>8.</v>
          </cell>
          <cell r="D27" t="str">
            <v>Income Tax Gross Up Factor</v>
          </cell>
        </row>
        <row r="29">
          <cell r="B29" t="str">
            <v>9.</v>
          </cell>
          <cell r="D29" t="str">
            <v>Revenue Change</v>
          </cell>
          <cell r="F29" t="str">
            <v>7 times 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B2" t="str">
            <v>SCHEDULE   B - 3</v>
          </cell>
        </row>
        <row r="4">
          <cell r="B4" t="str">
            <v>OKLAHOMA GAS AND ELECTRIC SERVICES</v>
          </cell>
        </row>
        <row r="5">
          <cell r="B5" t="str">
            <v>ADJUSTMENTS TO RATE BASE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1">
          <cell r="B11" t="str">
            <v>Line</v>
          </cell>
        </row>
        <row r="12">
          <cell r="B12" t="str">
            <v>No.</v>
          </cell>
          <cell r="D12" t="str">
            <v>Description</v>
          </cell>
          <cell r="F12" t="str">
            <v>Ref.</v>
          </cell>
        </row>
        <row r="14">
          <cell r="D14" t="str">
            <v>Plant in Service</v>
          </cell>
        </row>
        <row r="15">
          <cell r="B15" t="str">
            <v>1.</v>
          </cell>
          <cell r="D15" t="str">
            <v>Utility Plant</v>
          </cell>
          <cell r="F15" t="str">
            <v>Sch C-1</v>
          </cell>
        </row>
        <row r="17">
          <cell r="B17" t="str">
            <v>2.</v>
          </cell>
          <cell r="D17" t="str">
            <v>Accumulated Depreciation</v>
          </cell>
          <cell r="F17" t="str">
            <v>Sch D-1</v>
          </cell>
        </row>
        <row r="19">
          <cell r="B19" t="str">
            <v>3.</v>
          </cell>
          <cell r="D19" t="str">
            <v>Plant held for future use</v>
          </cell>
          <cell r="F19" t="str">
            <v>Sch C-1</v>
          </cell>
        </row>
        <row r="21">
          <cell r="B21" t="str">
            <v>4.</v>
          </cell>
          <cell r="D21" t="str">
            <v>Net Plant</v>
          </cell>
        </row>
        <row r="23">
          <cell r="B23" t="str">
            <v>5.</v>
          </cell>
          <cell r="D23" t="str">
            <v>Other Rate Base Investment</v>
          </cell>
        </row>
        <row r="24">
          <cell r="D24" t="str">
            <v>Cash Working Capital</v>
          </cell>
          <cell r="F24" t="str">
            <v>Sch E-1</v>
          </cell>
        </row>
        <row r="26">
          <cell r="B26" t="str">
            <v>6.</v>
          </cell>
          <cell r="D26" t="str">
            <v>Prepayments</v>
          </cell>
          <cell r="F26" t="str">
            <v>Sch B 2-1</v>
          </cell>
        </row>
        <row r="28">
          <cell r="B28" t="str">
            <v>7.</v>
          </cell>
          <cell r="D28" t="str">
            <v>Material &amp; Supplies</v>
          </cell>
          <cell r="F28" t="str">
            <v>Sch B 2-1</v>
          </cell>
        </row>
        <row r="30">
          <cell r="B30" t="str">
            <v>8.</v>
          </cell>
          <cell r="D30" t="str">
            <v>Fuel Inventories</v>
          </cell>
          <cell r="F30" t="str">
            <v>Sch B 2-1</v>
          </cell>
        </row>
        <row r="32">
          <cell r="B32" t="str">
            <v>9.</v>
          </cell>
          <cell r="D32" t="str">
            <v>Gas in Storage</v>
          </cell>
          <cell r="F32" t="str">
            <v>Sch B 2-1</v>
          </cell>
        </row>
        <row r="34">
          <cell r="B34" t="str">
            <v>10.</v>
          </cell>
          <cell r="D34" t="str">
            <v>Other</v>
          </cell>
        </row>
        <row r="36">
          <cell r="B36" t="str">
            <v>11.</v>
          </cell>
          <cell r="D36" t="str">
            <v>Rate Base Additions &amp; Reductions</v>
          </cell>
        </row>
        <row r="37">
          <cell r="D37" t="str">
            <v>Accum Deferred Inc Taxes</v>
          </cell>
          <cell r="F37" t="str">
            <v>Sch B 2-2</v>
          </cell>
        </row>
        <row r="39">
          <cell r="B39" t="str">
            <v>13.</v>
          </cell>
          <cell r="D39" t="str">
            <v>Regulatory Assets</v>
          </cell>
          <cell r="F39" t="str">
            <v>Sch B 2-4</v>
          </cell>
        </row>
        <row r="41">
          <cell r="B41" t="str">
            <v>14.</v>
          </cell>
          <cell r="D41" t="str">
            <v>Regulatory Liabilities</v>
          </cell>
          <cell r="F41" t="str">
            <v>Sch B 2-4</v>
          </cell>
        </row>
      </sheetData>
      <sheetData sheetId="9" refreshError="1"/>
      <sheetData sheetId="10" refreshError="1"/>
      <sheetData sheetId="11" refreshError="1">
        <row r="2">
          <cell r="B2" t="str">
            <v>SCHEDULE   C - 2</v>
          </cell>
        </row>
        <row r="4">
          <cell r="A4" t="str">
            <v>OKLAHOMA GAS AND ELECTRIC SERVICES</v>
          </cell>
        </row>
        <row r="5">
          <cell r="A5" t="str">
            <v>ADJUSTMENTS TO PLANT IN SERVICE</v>
          </cell>
        </row>
        <row r="6">
          <cell r="A6" t="str">
            <v>TEST YEAR ENDING SEPTEMBER 30, 2001</v>
          </cell>
        </row>
        <row r="7">
          <cell r="A7" t="str">
            <v>CAUSE NO. PUD  200100455</v>
          </cell>
        </row>
        <row r="8">
          <cell r="D8" t="str">
            <v xml:space="preserve">   &lt;&lt;&lt;</v>
          </cell>
          <cell r="E8" t="str">
            <v xml:space="preserve">  shows where data was entered in last rate case ….  Fyi only</v>
          </cell>
        </row>
        <row r="12">
          <cell r="B12" t="str">
            <v>Line</v>
          </cell>
        </row>
        <row r="13">
          <cell r="B13" t="str">
            <v>No.</v>
          </cell>
          <cell r="D13" t="str">
            <v>Account</v>
          </cell>
          <cell r="F13" t="str">
            <v xml:space="preserve">Plant </v>
          </cell>
        </row>
        <row r="14">
          <cell r="F14" t="str">
            <v xml:space="preserve">            INTANGIBLE PLANT</v>
          </cell>
        </row>
        <row r="15">
          <cell r="B15" t="str">
            <v>1.</v>
          </cell>
          <cell r="D15">
            <v>301</v>
          </cell>
          <cell r="F15" t="str">
            <v xml:space="preserve">Organization </v>
          </cell>
        </row>
        <row r="16">
          <cell r="B16" t="str">
            <v>2.</v>
          </cell>
          <cell r="D16">
            <v>302</v>
          </cell>
          <cell r="F16" t="str">
            <v>Franchise and Consents</v>
          </cell>
        </row>
        <row r="17">
          <cell r="B17" t="str">
            <v>3.</v>
          </cell>
          <cell r="D17">
            <v>303</v>
          </cell>
          <cell r="F17" t="str">
            <v>Miscellaneous Intangible Plant</v>
          </cell>
        </row>
        <row r="18">
          <cell r="B18" t="str">
            <v>4.</v>
          </cell>
          <cell r="F18" t="str">
            <v>CWIP</v>
          </cell>
        </row>
        <row r="19">
          <cell r="B19" t="str">
            <v>5.</v>
          </cell>
          <cell r="F19" t="str">
            <v>TOTAL INTANGIBLE PLANT</v>
          </cell>
        </row>
        <row r="21">
          <cell r="F21" t="str">
            <v xml:space="preserve">            PRODUCTION PLANT</v>
          </cell>
        </row>
        <row r="22">
          <cell r="F22" t="str">
            <v xml:space="preserve">   STEAM PRODUCTION</v>
          </cell>
        </row>
        <row r="23">
          <cell r="B23" t="str">
            <v>6.</v>
          </cell>
          <cell r="D23">
            <v>310</v>
          </cell>
          <cell r="F23" t="str">
            <v>Land and Land Rights</v>
          </cell>
        </row>
        <row r="24">
          <cell r="B24" t="str">
            <v>7.</v>
          </cell>
          <cell r="D24">
            <v>311</v>
          </cell>
          <cell r="F24" t="str">
            <v>Structures and Improvements</v>
          </cell>
        </row>
        <row r="25">
          <cell r="B25" t="str">
            <v>8.</v>
          </cell>
          <cell r="D25">
            <v>312</v>
          </cell>
          <cell r="F25" t="str">
            <v>Boiler Plant Equipment</v>
          </cell>
        </row>
        <row r="26">
          <cell r="B26" t="str">
            <v>9.</v>
          </cell>
          <cell r="D26">
            <v>313</v>
          </cell>
          <cell r="F26" t="str">
            <v>Engines and Engine-Driven Generators</v>
          </cell>
        </row>
        <row r="27">
          <cell r="B27" t="str">
            <v>10.</v>
          </cell>
          <cell r="D27">
            <v>314</v>
          </cell>
          <cell r="F27" t="str">
            <v>Turbogenerator Units</v>
          </cell>
        </row>
        <row r="28">
          <cell r="B28" t="str">
            <v>11.</v>
          </cell>
          <cell r="D28">
            <v>315</v>
          </cell>
          <cell r="F28" t="str">
            <v>Accessory Electric Equipment</v>
          </cell>
        </row>
        <row r="29">
          <cell r="B29" t="str">
            <v>12.</v>
          </cell>
          <cell r="D29">
            <v>316</v>
          </cell>
          <cell r="F29" t="str">
            <v>Miscellaneous Power Plant Equipment</v>
          </cell>
        </row>
        <row r="30">
          <cell r="B30" t="str">
            <v>13.</v>
          </cell>
          <cell r="F30" t="str">
            <v>TOTAL STEAM PRODUCTION</v>
          </cell>
        </row>
        <row r="32">
          <cell r="F32" t="str">
            <v xml:space="preserve">   OTHER PRODUCTION</v>
          </cell>
        </row>
        <row r="33">
          <cell r="B33" t="str">
            <v>14.</v>
          </cell>
          <cell r="D33">
            <v>340</v>
          </cell>
          <cell r="F33" t="str">
            <v>Land and Land Rights</v>
          </cell>
        </row>
        <row r="34">
          <cell r="B34" t="str">
            <v>15.</v>
          </cell>
          <cell r="D34">
            <v>341</v>
          </cell>
          <cell r="F34" t="str">
            <v>Structures and Improvements</v>
          </cell>
        </row>
        <row r="35">
          <cell r="B35" t="str">
            <v>16.</v>
          </cell>
          <cell r="D35">
            <v>342</v>
          </cell>
          <cell r="F35" t="str">
            <v>Fuel Holders, Producers and Accessories</v>
          </cell>
        </row>
        <row r="36">
          <cell r="B36" t="str">
            <v>17.</v>
          </cell>
          <cell r="D36">
            <v>343</v>
          </cell>
          <cell r="F36" t="str">
            <v>Prime movers</v>
          </cell>
        </row>
        <row r="37">
          <cell r="B37" t="str">
            <v>18.</v>
          </cell>
          <cell r="D37">
            <v>344</v>
          </cell>
          <cell r="F37" t="str">
            <v>Generators</v>
          </cell>
        </row>
        <row r="38">
          <cell r="B38" t="str">
            <v>19.</v>
          </cell>
          <cell r="D38">
            <v>345</v>
          </cell>
          <cell r="F38" t="str">
            <v>Accessory Electric Equipment</v>
          </cell>
        </row>
        <row r="39">
          <cell r="B39" t="str">
            <v>20.</v>
          </cell>
          <cell r="D39">
            <v>346</v>
          </cell>
          <cell r="F39" t="str">
            <v>Miscellaneous Power Plant Equipment</v>
          </cell>
        </row>
        <row r="40">
          <cell r="B40" t="str">
            <v>21.</v>
          </cell>
          <cell r="F40" t="str">
            <v>TOTAL OTHER PRODUCTION</v>
          </cell>
        </row>
        <row r="42">
          <cell r="B42" t="str">
            <v>22.</v>
          </cell>
          <cell r="F42" t="str">
            <v>CWIP</v>
          </cell>
        </row>
      </sheetData>
      <sheetData sheetId="12" refreshError="1"/>
      <sheetData sheetId="13" refreshError="1"/>
      <sheetData sheetId="14" refreshError="1">
        <row r="2">
          <cell r="B2" t="str">
            <v>SCHEDULE   D - 2</v>
          </cell>
        </row>
        <row r="4">
          <cell r="A4" t="str">
            <v>OKLAHOMA GAS AND ELECTRIC SERVICES</v>
          </cell>
        </row>
        <row r="5">
          <cell r="A5" t="str">
            <v>ADJUSTMENTS TO ACCUMULATED PROVISION FOR DEPRECIATION, AMORTIZATION AND DEPLETION</v>
          </cell>
        </row>
        <row r="6">
          <cell r="A6" t="str">
            <v>TEST YEAR ENDING SEPTEMBER 30, 2001</v>
          </cell>
        </row>
        <row r="7">
          <cell r="A7" t="str">
            <v>CAUSE NO. PUD  200100455</v>
          </cell>
        </row>
        <row r="12">
          <cell r="B12" t="str">
            <v>Line</v>
          </cell>
        </row>
        <row r="13">
          <cell r="B13" t="str">
            <v>No.</v>
          </cell>
          <cell r="D13" t="str">
            <v>Account</v>
          </cell>
          <cell r="F13" t="str">
            <v xml:space="preserve">Plant </v>
          </cell>
        </row>
        <row r="14">
          <cell r="F14" t="str">
            <v xml:space="preserve">            INTANGIBLE PLANT</v>
          </cell>
        </row>
        <row r="15">
          <cell r="B15" t="str">
            <v>1.</v>
          </cell>
          <cell r="D15">
            <v>301</v>
          </cell>
          <cell r="F15" t="str">
            <v xml:space="preserve">Organization </v>
          </cell>
        </row>
        <row r="16">
          <cell r="B16" t="str">
            <v>2.</v>
          </cell>
          <cell r="D16">
            <v>302</v>
          </cell>
          <cell r="F16" t="str">
            <v>Franchise and Consents</v>
          </cell>
        </row>
        <row r="17">
          <cell r="B17" t="str">
            <v>3.</v>
          </cell>
          <cell r="D17">
            <v>303</v>
          </cell>
          <cell r="F17" t="str">
            <v>Miscellaneous Intangible Plant</v>
          </cell>
        </row>
        <row r="18">
          <cell r="B18" t="str">
            <v>4.</v>
          </cell>
          <cell r="F18" t="str">
            <v>TOTAL INTANGIBLE PLANT</v>
          </cell>
        </row>
        <row r="20">
          <cell r="F20" t="str">
            <v xml:space="preserve">            PRODUCTION PLANT</v>
          </cell>
        </row>
        <row r="21">
          <cell r="F21" t="str">
            <v xml:space="preserve">   STEAM PRODUCTION</v>
          </cell>
        </row>
        <row r="22">
          <cell r="B22" t="str">
            <v>5.</v>
          </cell>
          <cell r="D22">
            <v>310</v>
          </cell>
          <cell r="F22" t="str">
            <v>Land and Land Rights</v>
          </cell>
        </row>
        <row r="23">
          <cell r="B23" t="str">
            <v>6.</v>
          </cell>
          <cell r="D23">
            <v>311</v>
          </cell>
          <cell r="F23" t="str">
            <v>Structures and Improvements</v>
          </cell>
        </row>
        <row r="24">
          <cell r="B24" t="str">
            <v>7.</v>
          </cell>
          <cell r="D24">
            <v>312</v>
          </cell>
          <cell r="F24" t="str">
            <v>Boiler Plant Equipment</v>
          </cell>
        </row>
        <row r="25">
          <cell r="B25" t="str">
            <v>8.</v>
          </cell>
          <cell r="D25">
            <v>313</v>
          </cell>
          <cell r="F25" t="str">
            <v>Engines and Engine-Driven Generators</v>
          </cell>
        </row>
        <row r="26">
          <cell r="B26" t="str">
            <v>9.</v>
          </cell>
          <cell r="D26">
            <v>314</v>
          </cell>
          <cell r="F26" t="str">
            <v>Turbogenerator Units</v>
          </cell>
        </row>
        <row r="27">
          <cell r="B27" t="str">
            <v>10.</v>
          </cell>
          <cell r="D27">
            <v>315</v>
          </cell>
          <cell r="F27" t="str">
            <v>Accessory Electric Equipment</v>
          </cell>
        </row>
        <row r="28">
          <cell r="B28" t="str">
            <v>11.</v>
          </cell>
          <cell r="D28">
            <v>316</v>
          </cell>
          <cell r="F28" t="str">
            <v>Miscellaneous Power Plant Equipment</v>
          </cell>
        </row>
        <row r="29">
          <cell r="B29" t="str">
            <v>12.</v>
          </cell>
          <cell r="F29" t="str">
            <v>TOTAL STEAM PRODUCTION</v>
          </cell>
        </row>
        <row r="31">
          <cell r="F31" t="str">
            <v xml:space="preserve">   OTHER PRODUCTION</v>
          </cell>
        </row>
        <row r="32">
          <cell r="B32" t="str">
            <v>13.</v>
          </cell>
          <cell r="D32">
            <v>340</v>
          </cell>
          <cell r="F32" t="str">
            <v>Land and Land Rights</v>
          </cell>
        </row>
        <row r="33">
          <cell r="B33" t="str">
            <v>14.</v>
          </cell>
          <cell r="D33">
            <v>341</v>
          </cell>
          <cell r="F33" t="str">
            <v>Structures and Improvements</v>
          </cell>
        </row>
        <row r="34">
          <cell r="B34" t="str">
            <v>15.</v>
          </cell>
          <cell r="D34">
            <v>342</v>
          </cell>
          <cell r="F34" t="str">
            <v>Fuel Holders, Producers and Accessories</v>
          </cell>
        </row>
        <row r="35">
          <cell r="B35" t="str">
            <v>16.</v>
          </cell>
          <cell r="D35">
            <v>343</v>
          </cell>
          <cell r="F35" t="str">
            <v>Prime movers</v>
          </cell>
        </row>
        <row r="36">
          <cell r="B36" t="str">
            <v>17.</v>
          </cell>
          <cell r="D36">
            <v>344</v>
          </cell>
          <cell r="F36" t="str">
            <v>Generators</v>
          </cell>
        </row>
        <row r="37">
          <cell r="B37" t="str">
            <v>18.</v>
          </cell>
          <cell r="D37">
            <v>345</v>
          </cell>
          <cell r="F37" t="str">
            <v>Accessory Electric Equipment</v>
          </cell>
        </row>
        <row r="38">
          <cell r="B38" t="str">
            <v>19.</v>
          </cell>
          <cell r="D38">
            <v>346</v>
          </cell>
          <cell r="F38" t="str">
            <v>Miscellaneous Power Plant Equipment</v>
          </cell>
        </row>
        <row r="39">
          <cell r="B39" t="str">
            <v>20.</v>
          </cell>
          <cell r="F39" t="str">
            <v>TOTAL OTHER PRODUCTION</v>
          </cell>
        </row>
        <row r="41">
          <cell r="B41" t="str">
            <v>21.</v>
          </cell>
          <cell r="F41" t="str">
            <v>TOTAL PRODUCTION PLANT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2">
          <cell r="B2" t="str">
            <v>SCHEDULE  H - 2</v>
          </cell>
        </row>
        <row r="4">
          <cell r="B4" t="str">
            <v>OKLAHOMA GAS AND ELECTRIC SERVICES</v>
          </cell>
        </row>
        <row r="5">
          <cell r="B5" t="str">
            <v>OPERATING INCOME PRO FORMA ADJUSTMENTS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1">
          <cell r="F11" t="str">
            <v>Total</v>
          </cell>
        </row>
        <row r="12">
          <cell r="B12" t="str">
            <v>Line</v>
          </cell>
          <cell r="F12" t="str">
            <v>Company</v>
          </cell>
        </row>
        <row r="13">
          <cell r="B13" t="str">
            <v>No.</v>
          </cell>
          <cell r="D13" t="str">
            <v>Description</v>
          </cell>
          <cell r="F13" t="str">
            <v>Per Books</v>
          </cell>
        </row>
        <row r="15">
          <cell r="B15" t="str">
            <v>1.</v>
          </cell>
          <cell r="D15" t="str">
            <v>Operating Revenue:</v>
          </cell>
        </row>
        <row r="16">
          <cell r="B16" t="str">
            <v>2.</v>
          </cell>
          <cell r="D16" t="str">
            <v xml:space="preserve">     Electric </v>
          </cell>
          <cell r="F16">
            <v>1149203275</v>
          </cell>
        </row>
        <row r="17">
          <cell r="B17" t="str">
            <v>3.</v>
          </cell>
          <cell r="D17" t="str">
            <v xml:space="preserve">     Other</v>
          </cell>
          <cell r="F17">
            <v>19083683</v>
          </cell>
        </row>
        <row r="19">
          <cell r="B19" t="str">
            <v>4.</v>
          </cell>
          <cell r="D19" t="str">
            <v>Total Operating Revenue</v>
          </cell>
          <cell r="F19">
            <v>0</v>
          </cell>
        </row>
        <row r="21">
          <cell r="B21" t="str">
            <v>5.</v>
          </cell>
          <cell r="D21" t="str">
            <v>Operating Expenses:</v>
          </cell>
        </row>
        <row r="22">
          <cell r="B22" t="str">
            <v>6.</v>
          </cell>
          <cell r="D22" t="str">
            <v xml:space="preserve">     Fuel</v>
          </cell>
          <cell r="F22">
            <v>304775108</v>
          </cell>
        </row>
        <row r="23">
          <cell r="B23" t="str">
            <v>7.</v>
          </cell>
          <cell r="D23" t="str">
            <v xml:space="preserve">     Purchased Power</v>
          </cell>
          <cell r="F23">
            <v>216597409</v>
          </cell>
        </row>
        <row r="24">
          <cell r="B24" t="str">
            <v>8.</v>
          </cell>
          <cell r="D24" t="str">
            <v xml:space="preserve">     Other O&amp;M</v>
          </cell>
          <cell r="F24">
            <v>249872967</v>
          </cell>
        </row>
        <row r="25">
          <cell r="B25" t="str">
            <v>9.</v>
          </cell>
          <cell r="D25" t="str">
            <v xml:space="preserve">     Depreciation</v>
          </cell>
          <cell r="F25">
            <v>110718649</v>
          </cell>
        </row>
        <row r="26">
          <cell r="B26" t="str">
            <v>10.</v>
          </cell>
          <cell r="D26" t="str">
            <v xml:space="preserve">     Misc. Taxes</v>
          </cell>
          <cell r="F26">
            <v>101895</v>
          </cell>
        </row>
        <row r="27">
          <cell r="B27" t="str">
            <v>11.</v>
          </cell>
          <cell r="D27" t="str">
            <v xml:space="preserve">     Property Taxes</v>
          </cell>
          <cell r="F27">
            <v>33272491</v>
          </cell>
        </row>
        <row r="28">
          <cell r="B28" t="str">
            <v>12.</v>
          </cell>
          <cell r="D28" t="str">
            <v xml:space="preserve">     Payroll Taxes</v>
          </cell>
          <cell r="F28">
            <v>6615366</v>
          </cell>
        </row>
        <row r="30">
          <cell r="B30" t="str">
            <v>13.</v>
          </cell>
          <cell r="D30" t="str">
            <v>Total Operating Expenses</v>
          </cell>
          <cell r="F30">
            <v>0</v>
          </cell>
        </row>
        <row r="32">
          <cell r="B32" t="str">
            <v>14.</v>
          </cell>
          <cell r="D32" t="str">
            <v>Operating Income Before Income Tax</v>
          </cell>
          <cell r="F32">
            <v>0</v>
          </cell>
        </row>
        <row r="34">
          <cell r="B34" t="str">
            <v>15.</v>
          </cell>
          <cell r="D34" t="str">
            <v>Less: Income Tax</v>
          </cell>
          <cell r="F34">
            <v>0</v>
          </cell>
        </row>
        <row r="36">
          <cell r="B36" t="str">
            <v>16.</v>
          </cell>
          <cell r="D36" t="str">
            <v>Operating Income</v>
          </cell>
          <cell r="F36">
            <v>0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Inputs"/>
      <sheetName val="Exh 1"/>
      <sheetName val="Wp 1-1"/>
      <sheetName val="Exh 2"/>
      <sheetName val="Wp 2-1"/>
      <sheetName val="Wp 2-2 Res"/>
      <sheetName val="Wp 2-2 Com"/>
      <sheetName val="Wp 2-2 Ind"/>
      <sheetName val="Wp 2-3 Res"/>
      <sheetName val="Wp 2-3 Com"/>
      <sheetName val="Wp 2-3 Ind"/>
      <sheetName val="Wp 2-4"/>
      <sheetName val="Wp 2-5"/>
      <sheetName val="WP 2-6"/>
      <sheetName val="WP 2-6-2"/>
      <sheetName val="WP2-6-3"/>
      <sheetName val="Exh 3"/>
      <sheetName val="Exh 4"/>
      <sheetName val="Wp 4-1"/>
      <sheetName val="Wp 4-2"/>
      <sheetName val="Wp 4-3"/>
      <sheetName val="Wp 4-4"/>
      <sheetName val="Wp 4-5"/>
      <sheetName val="Wp 4-6"/>
      <sheetName val="Wp 4-7"/>
      <sheetName val="Exh 5"/>
      <sheetName val="Wp 5-1"/>
      <sheetName val="Wp 5-2"/>
      <sheetName val="Wp 5-3"/>
      <sheetName val="wp 5-4"/>
      <sheetName val="Exh 6"/>
      <sheetName val="Wp 6-1"/>
      <sheetName val="Wp 6-2"/>
      <sheetName val="Wp 6-3"/>
      <sheetName val="Wp 6-4"/>
      <sheetName val="Exh 7"/>
      <sheetName val="Wp 7-1"/>
      <sheetName val="Wp 7-1-1"/>
      <sheetName val="Wp 7-1-2"/>
      <sheetName val="Wp 7-2"/>
      <sheetName val="Wp 7-2-1"/>
      <sheetName val="Wp 7-2-2"/>
      <sheetName val="Wp 7-3"/>
      <sheetName val="Wp 7-4"/>
      <sheetName val="Wp 7-5"/>
      <sheetName val="Wp 7-6"/>
      <sheetName val="Wp 7-7"/>
      <sheetName val="Exh 8"/>
      <sheetName val="Exh 9"/>
      <sheetName val="Wp 9-1"/>
      <sheetName val="Module1"/>
    </sheetNames>
    <sheetDataSet>
      <sheetData sheetId="0" refreshError="1">
        <row r="20">
          <cell r="D20">
            <v>37042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Index"/>
      <sheetName val="SECT_A"/>
      <sheetName val="WP_B1"/>
      <sheetName val="WP_B2"/>
      <sheetName val="WP_B4"/>
      <sheetName val="WP_B5"/>
      <sheetName val="WP_B6"/>
      <sheetName val="WP_B6.1"/>
      <sheetName val="WP_B6.2"/>
      <sheetName val="WP_B7"/>
      <sheetName val="WP_B8"/>
      <sheetName val="WP_B9"/>
      <sheetName val="WP_C1"/>
      <sheetName val="WP_C1.1"/>
      <sheetName val="WP_C1.2"/>
      <sheetName val="WP_C2"/>
      <sheetName val="WP_C3"/>
      <sheetName val="WP_C4"/>
      <sheetName val="WP_C4a"/>
      <sheetName val="WP_C4.1"/>
      <sheetName val="WP_C4.2"/>
      <sheetName val="WP_C4.3"/>
      <sheetName val="WP_C5"/>
      <sheetName val="WP_C6"/>
      <sheetName val="WP_C7"/>
      <sheetName val="WP_C8"/>
      <sheetName val="WP_C9"/>
      <sheetName val="WP_C10"/>
      <sheetName val="WP_C11"/>
      <sheetName val="WP_C12"/>
      <sheetName val="WP_C13"/>
      <sheetName val="WP_C14"/>
      <sheetName val="WP_D1"/>
      <sheetName val="WP_D2"/>
      <sheetName val="WP_E1 "/>
      <sheetName val="WP_E1.1"/>
      <sheetName val="WP_E2"/>
      <sheetName val="WP_E3"/>
      <sheetName val="WP_E4"/>
      <sheetName val="WP_E5"/>
      <sheetName val="WP_F1"/>
      <sheetName val="WP_F-2"/>
      <sheetName val="WP_F-2-1"/>
      <sheetName val="WP_F-2-2"/>
      <sheetName val="WP_F-3"/>
      <sheetName val="WP_F-3-1"/>
      <sheetName val="WP_F-3-2"/>
      <sheetName val="WP_F-4"/>
      <sheetName val="WP_F-4.1"/>
      <sheetName val="WP_F-4.2"/>
      <sheetName val="WP_F-5"/>
      <sheetName val="WP_F-6"/>
      <sheetName val="WP_F-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4">
          <cell r="B14" t="str">
            <v>1.</v>
          </cell>
          <cell r="D14" t="str">
            <v>December 1994</v>
          </cell>
          <cell r="F14">
            <v>24941476.600000001</v>
          </cell>
          <cell r="H14">
            <v>1866801.99</v>
          </cell>
          <cell r="J14">
            <v>26808278.59</v>
          </cell>
        </row>
        <row r="15">
          <cell r="B15" t="str">
            <v>2.</v>
          </cell>
          <cell r="D15" t="str">
            <v>January 1995</v>
          </cell>
          <cell r="F15">
            <v>25485000.73</v>
          </cell>
          <cell r="H15">
            <v>1814996.68</v>
          </cell>
          <cell r="J15">
            <v>27299997.41</v>
          </cell>
        </row>
        <row r="16">
          <cell r="B16" t="str">
            <v>3.</v>
          </cell>
          <cell r="D16" t="str">
            <v>February 1995</v>
          </cell>
          <cell r="F16">
            <v>24987449.539999999</v>
          </cell>
          <cell r="H16">
            <v>1814532.74</v>
          </cell>
          <cell r="J16">
            <v>26801982.279999997</v>
          </cell>
        </row>
        <row r="17">
          <cell r="B17" t="str">
            <v>4.</v>
          </cell>
          <cell r="D17" t="str">
            <v>March 1995</v>
          </cell>
          <cell r="F17">
            <v>25178482.41</v>
          </cell>
          <cell r="H17">
            <v>2163538.5099999998</v>
          </cell>
          <cell r="J17">
            <v>27342020.920000002</v>
          </cell>
        </row>
        <row r="18">
          <cell r="B18" t="str">
            <v>5.</v>
          </cell>
          <cell r="D18" t="str">
            <v>April 1995</v>
          </cell>
          <cell r="F18">
            <v>24197150.059999999</v>
          </cell>
          <cell r="H18">
            <v>2279739.9700000002</v>
          </cell>
          <cell r="J18">
            <v>26476890.029999997</v>
          </cell>
        </row>
        <row r="19">
          <cell r="B19" t="str">
            <v>6.</v>
          </cell>
          <cell r="D19" t="str">
            <v>May 1995</v>
          </cell>
          <cell r="F19">
            <v>23165235.16</v>
          </cell>
          <cell r="H19">
            <v>2343292.67</v>
          </cell>
          <cell r="J19">
            <v>25508527.829999998</v>
          </cell>
        </row>
        <row r="20">
          <cell r="B20" t="str">
            <v>7.</v>
          </cell>
          <cell r="D20" t="str">
            <v>June 1995</v>
          </cell>
          <cell r="F20">
            <v>21010269.390000001</v>
          </cell>
          <cell r="H20">
            <v>2226928.59</v>
          </cell>
          <cell r="J20">
            <v>23237197.98</v>
          </cell>
        </row>
        <row r="21">
          <cell r="B21" t="str">
            <v>8.</v>
          </cell>
          <cell r="D21" t="str">
            <v>July 1995</v>
          </cell>
          <cell r="F21">
            <v>19948585.600000001</v>
          </cell>
          <cell r="H21">
            <v>2104992.17</v>
          </cell>
          <cell r="J21">
            <v>22053577.770000003</v>
          </cell>
        </row>
        <row r="22">
          <cell r="B22" t="str">
            <v>9.</v>
          </cell>
          <cell r="D22" t="str">
            <v>August 1995</v>
          </cell>
          <cell r="F22">
            <v>18877211.559999999</v>
          </cell>
          <cell r="H22">
            <v>1470401.39</v>
          </cell>
          <cell r="J22">
            <v>20347612.949999999</v>
          </cell>
        </row>
        <row r="23">
          <cell r="B23" t="str">
            <v>10.</v>
          </cell>
          <cell r="D23" t="str">
            <v>September 1995</v>
          </cell>
          <cell r="F23">
            <v>18181226.510000002</v>
          </cell>
          <cell r="H23">
            <v>1189428.6499999999</v>
          </cell>
          <cell r="J23">
            <v>19370655.16</v>
          </cell>
        </row>
        <row r="24">
          <cell r="B24" t="str">
            <v>11.</v>
          </cell>
          <cell r="D24" t="str">
            <v>October 1995</v>
          </cell>
          <cell r="F24">
            <v>17322422.190000001</v>
          </cell>
          <cell r="H24">
            <v>832329.37</v>
          </cell>
          <cell r="J24">
            <v>18154751.560000002</v>
          </cell>
        </row>
        <row r="25">
          <cell r="B25" t="str">
            <v>12.</v>
          </cell>
          <cell r="D25" t="str">
            <v>November 1995</v>
          </cell>
          <cell r="F25">
            <v>16855400.690000001</v>
          </cell>
          <cell r="H25">
            <v>1273455.75</v>
          </cell>
          <cell r="J25">
            <v>18128856.440000001</v>
          </cell>
        </row>
        <row r="26">
          <cell r="B26" t="str">
            <v>13.</v>
          </cell>
          <cell r="D26" t="str">
            <v>December 1995</v>
          </cell>
          <cell r="F26">
            <v>17102940.969999999</v>
          </cell>
          <cell r="H26">
            <v>1752853.75</v>
          </cell>
          <cell r="J26">
            <v>18855794.719999999</v>
          </cell>
        </row>
        <row r="28">
          <cell r="B28" t="str">
            <v>14.</v>
          </cell>
          <cell r="D28" t="str">
            <v>13 month average</v>
          </cell>
          <cell r="F28">
            <v>21327142.416153844</v>
          </cell>
          <cell r="H28">
            <v>1779484.0176923077</v>
          </cell>
          <cell r="J28">
            <v>23106626.433846153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31">
          <cell r="F31" t="str">
            <v>Group</v>
          </cell>
          <cell r="H31" t="str">
            <v>Workers</v>
          </cell>
          <cell r="J31" t="str">
            <v>Rate</v>
          </cell>
          <cell r="L31" t="str">
            <v>Post Retirement</v>
          </cell>
          <cell r="N31" t="str">
            <v>Post Retirement</v>
          </cell>
          <cell r="P31" t="str">
            <v>Incentive</v>
          </cell>
          <cell r="R31" t="str">
            <v>Severance</v>
          </cell>
        </row>
        <row r="32">
          <cell r="D32" t="str">
            <v>Month</v>
          </cell>
          <cell r="F32" t="str">
            <v>Dental</v>
          </cell>
          <cell r="H32" t="str">
            <v>Comp</v>
          </cell>
          <cell r="J32" t="str">
            <v>Refunds</v>
          </cell>
          <cell r="L32" t="str">
            <v>Medical</v>
          </cell>
          <cell r="N32" t="str">
            <v>Life</v>
          </cell>
          <cell r="P32" t="str">
            <v>Compensation</v>
          </cell>
          <cell r="R32" t="str">
            <v>Compensation</v>
          </cell>
        </row>
        <row r="34">
          <cell r="B34" t="str">
            <v>15.</v>
          </cell>
          <cell r="D34" t="str">
            <v>December 1994</v>
          </cell>
          <cell r="F34">
            <v>30358.33</v>
          </cell>
          <cell r="H34">
            <v>5170388.96</v>
          </cell>
          <cell r="J34">
            <v>2970183.74</v>
          </cell>
          <cell r="L34">
            <v>0</v>
          </cell>
          <cell r="N34">
            <v>32447.89</v>
          </cell>
          <cell r="P34">
            <v>400000</v>
          </cell>
          <cell r="R34">
            <v>1441439</v>
          </cell>
        </row>
        <row r="35">
          <cell r="B35" t="str">
            <v>16.</v>
          </cell>
          <cell r="D35" t="str">
            <v>January 1995</v>
          </cell>
          <cell r="F35">
            <v>33319.870000000003</v>
          </cell>
          <cell r="H35">
            <v>5151038.8099999996</v>
          </cell>
          <cell r="J35">
            <v>2970184.74</v>
          </cell>
          <cell r="L35">
            <v>18265.27</v>
          </cell>
          <cell r="N35">
            <v>43220.53</v>
          </cell>
          <cell r="P35">
            <v>441667</v>
          </cell>
          <cell r="R35">
            <v>1177844</v>
          </cell>
        </row>
        <row r="36">
          <cell r="B36" t="str">
            <v>17.</v>
          </cell>
          <cell r="D36" t="str">
            <v>February 1995</v>
          </cell>
          <cell r="F36">
            <v>45759.4</v>
          </cell>
          <cell r="H36">
            <v>5755217.0899999999</v>
          </cell>
          <cell r="J36">
            <v>2970184.74</v>
          </cell>
          <cell r="L36">
            <v>-48260.160000000003</v>
          </cell>
          <cell r="N36">
            <v>47433.53</v>
          </cell>
          <cell r="P36">
            <v>483334</v>
          </cell>
          <cell r="R36">
            <v>994287.87</v>
          </cell>
        </row>
        <row r="37">
          <cell r="B37" t="str">
            <v>18.</v>
          </cell>
          <cell r="D37" t="str">
            <v>March 1995</v>
          </cell>
          <cell r="F37">
            <v>52402.04</v>
          </cell>
          <cell r="H37">
            <v>5652991.3499999996</v>
          </cell>
          <cell r="J37">
            <v>2000000</v>
          </cell>
          <cell r="L37">
            <v>-244097.81</v>
          </cell>
          <cell r="N37">
            <v>-3894.47</v>
          </cell>
          <cell r="P37">
            <v>36161</v>
          </cell>
          <cell r="R37">
            <v>875794.72</v>
          </cell>
        </row>
        <row r="38">
          <cell r="B38" t="str">
            <v>19.</v>
          </cell>
          <cell r="D38" t="str">
            <v>April 1995</v>
          </cell>
          <cell r="F38">
            <v>73487.13</v>
          </cell>
          <cell r="H38">
            <v>5480393.5300000003</v>
          </cell>
          <cell r="J38">
            <v>2000000</v>
          </cell>
          <cell r="L38">
            <v>-360241.96</v>
          </cell>
          <cell r="N38">
            <v>-36243.19</v>
          </cell>
          <cell r="P38">
            <v>77828</v>
          </cell>
          <cell r="R38">
            <v>816363.78</v>
          </cell>
        </row>
        <row r="39">
          <cell r="B39" t="str">
            <v>20.</v>
          </cell>
          <cell r="D39" t="str">
            <v>May 1995</v>
          </cell>
          <cell r="F39">
            <v>67667.02</v>
          </cell>
          <cell r="H39">
            <v>5490327.5300000003</v>
          </cell>
          <cell r="J39">
            <v>2000000</v>
          </cell>
          <cell r="L39">
            <v>-592392.78</v>
          </cell>
          <cell r="N39">
            <v>38756.81</v>
          </cell>
          <cell r="P39">
            <v>119495</v>
          </cell>
          <cell r="R39">
            <v>793188.66</v>
          </cell>
        </row>
        <row r="40">
          <cell r="B40" t="str">
            <v>21.</v>
          </cell>
          <cell r="D40" t="str">
            <v>June 1995</v>
          </cell>
          <cell r="F40">
            <v>83440.09</v>
          </cell>
          <cell r="H40">
            <v>5622117.9500000002</v>
          </cell>
          <cell r="J40">
            <v>4650000</v>
          </cell>
          <cell r="L40">
            <v>-646602.88</v>
          </cell>
          <cell r="N40">
            <v>-11678.11</v>
          </cell>
          <cell r="P40">
            <v>161161</v>
          </cell>
          <cell r="R40">
            <v>782547.16</v>
          </cell>
        </row>
        <row r="41">
          <cell r="B41" t="str">
            <v>22.</v>
          </cell>
          <cell r="D41" t="str">
            <v>July 1995</v>
          </cell>
          <cell r="F41">
            <v>86127.38</v>
          </cell>
          <cell r="H41">
            <v>5450518.1500000004</v>
          </cell>
          <cell r="J41">
            <v>4650000</v>
          </cell>
          <cell r="L41">
            <v>-427867.11</v>
          </cell>
          <cell r="N41">
            <v>-34648.35</v>
          </cell>
          <cell r="P41">
            <v>202828</v>
          </cell>
          <cell r="R41">
            <v>778673.28</v>
          </cell>
        </row>
        <row r="42">
          <cell r="B42" t="str">
            <v>23.</v>
          </cell>
          <cell r="D42" t="str">
            <v>August 1995</v>
          </cell>
          <cell r="F42">
            <v>95197.93</v>
          </cell>
          <cell r="H42">
            <v>5872340.1600000001</v>
          </cell>
          <cell r="J42">
            <v>4650000</v>
          </cell>
          <cell r="L42">
            <v>-501333.55</v>
          </cell>
          <cell r="N42">
            <v>-46707.63</v>
          </cell>
          <cell r="P42">
            <v>333334</v>
          </cell>
          <cell r="R42">
            <v>777543.63</v>
          </cell>
        </row>
        <row r="43">
          <cell r="B43" t="str">
            <v>24.</v>
          </cell>
          <cell r="D43" t="str">
            <v>September 1995</v>
          </cell>
          <cell r="F43">
            <v>94530.13</v>
          </cell>
          <cell r="H43">
            <v>5795458.7300000004</v>
          </cell>
          <cell r="J43">
            <v>5050000</v>
          </cell>
          <cell r="L43">
            <v>-608582.40000000002</v>
          </cell>
          <cell r="N43">
            <v>-79414.7</v>
          </cell>
          <cell r="P43">
            <v>375000</v>
          </cell>
          <cell r="R43">
            <v>776193.63</v>
          </cell>
        </row>
        <row r="44">
          <cell r="B44" t="str">
            <v>25.</v>
          </cell>
          <cell r="D44" t="str">
            <v>October 1995</v>
          </cell>
          <cell r="F44">
            <v>115083.46</v>
          </cell>
          <cell r="H44">
            <v>5758658.5700000003</v>
          </cell>
          <cell r="J44">
            <v>5050000</v>
          </cell>
          <cell r="L44">
            <v>-687945.5</v>
          </cell>
          <cell r="N44">
            <v>-18529.939999999999</v>
          </cell>
          <cell r="P44">
            <v>416667</v>
          </cell>
          <cell r="R44">
            <v>774931.63</v>
          </cell>
        </row>
        <row r="45">
          <cell r="B45" t="str">
            <v>26.</v>
          </cell>
          <cell r="D45" t="str">
            <v>November 1995</v>
          </cell>
          <cell r="F45">
            <v>91129.83</v>
          </cell>
          <cell r="H45">
            <v>5610187.6900000004</v>
          </cell>
          <cell r="J45">
            <v>5111916</v>
          </cell>
          <cell r="L45">
            <v>-413312.39</v>
          </cell>
          <cell r="N45">
            <v>-17650.78</v>
          </cell>
          <cell r="P45">
            <v>458334</v>
          </cell>
          <cell r="R45">
            <v>774616.13</v>
          </cell>
        </row>
        <row r="46">
          <cell r="B46" t="str">
            <v>27.</v>
          </cell>
          <cell r="D46" t="str">
            <v>December 1995</v>
          </cell>
          <cell r="F46">
            <v>66275.490000000005</v>
          </cell>
          <cell r="H46">
            <v>5563949.29</v>
          </cell>
          <cell r="J46">
            <v>2650000</v>
          </cell>
          <cell r="L46">
            <v>0</v>
          </cell>
          <cell r="N46">
            <v>54223.18</v>
          </cell>
          <cell r="P46">
            <v>500000</v>
          </cell>
          <cell r="R46">
            <v>80300.63</v>
          </cell>
        </row>
        <row r="48">
          <cell r="B48" t="str">
            <v>28.</v>
          </cell>
          <cell r="D48" t="str">
            <v>13 month average</v>
          </cell>
          <cell r="F48">
            <v>71906.007692307685</v>
          </cell>
          <cell r="H48">
            <v>5567199.0623076921</v>
          </cell>
          <cell r="J48">
            <v>3594036.0938461539</v>
          </cell>
          <cell r="L48">
            <v>-347105.48230769229</v>
          </cell>
          <cell r="N48">
            <v>-2514.2484615384619</v>
          </cell>
          <cell r="P48">
            <v>308139.15384615387</v>
          </cell>
          <cell r="R48">
            <v>834132.62461538496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dj 10.33 Fredonia"/>
      <sheetName val="Staff"/>
      <sheetName val="Lead"/>
      <sheetName val="RY Plant"/>
      <sheetName val="RY DFIT"/>
      <sheetName val="DFIT"/>
      <sheetName val=" Tax Depreciation Schedule"/>
      <sheetName val="Insurance Costs"/>
      <sheetName val="Property Taxes"/>
      <sheetName val=" Fredonia Amort thru 9.2008"/>
      <sheetName val="Amort Pre-paid Sales Tax"/>
      <sheetName val=" Dep R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40">
          <cell r="S40">
            <v>-5240279.5795000009</v>
          </cell>
        </row>
        <row r="41">
          <cell r="S41">
            <v>-5724305.4295000015</v>
          </cell>
        </row>
      </sheetData>
      <sheetData sheetId="6" refreshError="1"/>
      <sheetData sheetId="7" refreshError="1">
        <row r="7">
          <cell r="S7">
            <v>38323.80000000001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able of Contents"/>
      <sheetName val="Alloc factors"/>
      <sheetName val="A-1"/>
      <sheetName val="Schedule 1"/>
      <sheetName val="Schedule 2"/>
      <sheetName val="Summary"/>
      <sheetName val="billing summary"/>
      <sheetName val="Wp 2-1"/>
      <sheetName val="WP 2-2"/>
      <sheetName val="WP 2-3"/>
      <sheetName val="Wp 2-4"/>
      <sheetName val="WP 2-5"/>
      <sheetName val="Wp 2-6"/>
      <sheetName val="Wp 2-7-1"/>
      <sheetName val="Wp 2-7-2"/>
      <sheetName val="Wp 2-7-3"/>
      <sheetName val="WP 2-7"/>
      <sheetName val="WP 2-8"/>
      <sheetName val="Wp 2-9"/>
      <sheetName val="not used WP 2-10"/>
      <sheetName val="Schedule 3"/>
      <sheetName val="Wp 3-1 Gas Cost per bk"/>
      <sheetName val="Schedule 4 O&amp;M"/>
      <sheetName val="Wp 4-1 per bk 33,34,35,36,41"/>
      <sheetName val="WP 4-2 payroll"/>
      <sheetName val="WP4-2-1 Labor subaccts"/>
      <sheetName val="WP 4-3 benefits"/>
      <sheetName val="WP 4-3-1 Benefits Adj"/>
      <sheetName val="WP 4-3-2 benefits analysis"/>
      <sheetName val="WP 4-4 alloc gen office"/>
      <sheetName val="Wp 4-4-1 per bk 24,30,31"/>
      <sheetName val="out of period cr Srvc Awd"/>
      <sheetName val="WP 4-5 Dues &amp; Adv"/>
      <sheetName val="WkShtPUC#2"/>
      <sheetName val="Wp 4-5-1 Dues &amp; Adv"/>
      <sheetName val="WP 4-6 Int Cust Dep"/>
      <sheetName val="WP 4-7 CapRate"/>
      <sheetName val="WP 4-8 Uncollectible"/>
      <sheetName val="Schedule 5 taxes other"/>
      <sheetName val="WP 5-1 taxes other"/>
      <sheetName val="Schedule 6 depr amort"/>
      <sheetName val="WP 6-1 SSU deprec amort"/>
      <sheetName val="Schedule 7 FIT"/>
      <sheetName val="WP 7-1 FAS106"/>
      <sheetName val="Wp 7-1-1 FAS106"/>
      <sheetName val="Rate Base - Regional"/>
      <sheetName val="Plant"/>
      <sheetName val="Depr"/>
      <sheetName val="WP CWIP 1070"/>
      <sheetName val="WP M&amp;S 1540"/>
      <sheetName val="WP M&amp;S sheet 2"/>
      <sheetName val="WP Storage Gas 1641"/>
      <sheetName val="WP 1641 per bk subaccts"/>
      <sheetName val="WP Storg Gas 1641 Repriced"/>
      <sheetName val="WP PPs 1650"/>
      <sheetName val="WP PPs 165 wksht"/>
      <sheetName val="WP Cust Dep 2350"/>
      <sheetName val="WP Cust Adv 2520"/>
      <sheetName val="DIV012netplant"/>
      <sheetName val="PP Pension 186"/>
      <sheetName val="WP ADIT 1900,2820,2830"/>
      <sheetName val="WP 7-7 Cash Working Capital"/>
      <sheetName val="WP 7-7-1 tax collections"/>
      <sheetName val="Cap Struc"/>
      <sheetName val="WP Equity LTD"/>
      <sheetName val="WP LTD rate"/>
      <sheetName val="WP LTDebt Discount"/>
    </sheetNames>
    <sheetDataSet>
      <sheetData sheetId="0" refreshError="1"/>
      <sheetData sheetId="1" refreshError="1">
        <row r="12">
          <cell r="D12">
            <v>0.10525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chedule 1"/>
      <sheetName val="WP 1-1"/>
      <sheetName val="WP 1-2"/>
      <sheetName val="WP 1-3"/>
      <sheetName val="WP 1-3-1"/>
      <sheetName val="WP 1-4"/>
      <sheetName val="WP 1-5"/>
      <sheetName val="WP 1-5-1"/>
      <sheetName val="Schedule 2"/>
      <sheetName val="WP 2-1"/>
      <sheetName val="Schedule 3"/>
      <sheetName val="WP 3-1"/>
      <sheetName val="Schedule 4"/>
      <sheetName val="Schedule 5"/>
      <sheetName val="Schedule 6"/>
      <sheetName val="Schedule 7"/>
      <sheetName val="Schedule 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Table of Contents"/>
      <sheetName val="Alloc factors"/>
      <sheetName val="A-1"/>
      <sheetName val="Schedule 1"/>
      <sheetName val="Schedule 2"/>
      <sheetName val="Summary"/>
      <sheetName val="billing summary"/>
      <sheetName val="Wp 2-1"/>
      <sheetName val="WP 2-2"/>
      <sheetName val="WP 2-3"/>
      <sheetName val="Wp 2-4"/>
      <sheetName val="WP 2-5"/>
      <sheetName val="Wp 2-6"/>
      <sheetName val="WP 2-7"/>
      <sheetName val="WP 2-8"/>
      <sheetName val="Wp 2-9"/>
      <sheetName val="WP 2-10"/>
      <sheetName val="Schedule 3"/>
      <sheetName val="Wp 3-1"/>
      <sheetName val="Schedule 4 O&amp;M"/>
      <sheetName val="Wp 4-1 per bk 33,34,35,36"/>
      <sheetName val="WP 4-2 payroll"/>
      <sheetName val="WP4-2-1 Labor subaccts"/>
      <sheetName val="WP 4-3 benefits"/>
      <sheetName val="WP 4-3-1 benefits"/>
      <sheetName val="WP 4-3-2 benefits subaccts"/>
      <sheetName val="WP 4-4 alloc gen office"/>
      <sheetName val="Wp 4-4-1 per bk 24,30,31"/>
      <sheetName val="WP 4-5 dues donate"/>
      <sheetName val="Wp 4-5-1 dues donate adv"/>
      <sheetName val="WP 4-6 int cust dep"/>
      <sheetName val="WP 4-7 CapRate"/>
      <sheetName val="WP 4-8 Bad Debt"/>
      <sheetName val="Schedule 5 taxes other"/>
      <sheetName val="WP 5-1 taxes other"/>
      <sheetName val="Schedule 6 depr amort"/>
      <sheetName val="WP 6-1 deprec amort"/>
      <sheetName val="Schedule 7 FIT"/>
      <sheetName val="WP 7-1 FAS106"/>
      <sheetName val="Wp 7-1-1 FAS106"/>
      <sheetName val="Rate Base - Regional"/>
      <sheetName val="Plant"/>
      <sheetName val="Depr"/>
      <sheetName val="WP CWIP 1070"/>
      <sheetName val="WP M&amp;S 1540"/>
      <sheetName val="WP M&amp;S sheet 2"/>
      <sheetName val="WP Storg Gas per bk 1641"/>
      <sheetName val="WP 1641 per bk subaccts"/>
      <sheetName val="WP Storg Gas 1641 Normal"/>
      <sheetName val="WP PPs 1650"/>
      <sheetName val="WP PPs 165 subaccts"/>
      <sheetName val="WP Cust Dep 2350"/>
      <sheetName val="WP Cust Adv 2520"/>
      <sheetName val="PP Pension 186"/>
      <sheetName val="WP2-8 ADIT 1900,2820,2830"/>
      <sheetName val="WP 2-8-1 ADIT"/>
      <sheetName val="WP 7-7 Cash Working Capital"/>
      <sheetName val="WP 7-7-1 tax collections"/>
      <sheetName val="Cap Struc"/>
      <sheetName val="WP Equity LTD"/>
      <sheetName val="WP Equity detail"/>
      <sheetName val="WP LTD Rate"/>
    </sheetNames>
    <sheetDataSet>
      <sheetData sheetId="0" refreshError="1"/>
      <sheetData sheetId="1" refreshError="1">
        <row r="13">
          <cell r="D13">
            <v>0.12939999999999999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Input"/>
      <sheetName val="Exh 1"/>
      <sheetName val="Exh 2"/>
      <sheetName val="Wp 2-1"/>
      <sheetName val="Wp 2-2"/>
      <sheetName val="Wp 2-3"/>
      <sheetName val="Wp 2-4"/>
      <sheetName val="Wp 2-5"/>
      <sheetName val="Wp 2-6"/>
      <sheetName val="Wp 2-7"/>
      <sheetName val="Wp 2-8"/>
      <sheetName val="Wp 2-9"/>
      <sheetName val="Wp 2-10"/>
      <sheetName val="Exh 3"/>
      <sheetName val="Exh 4"/>
      <sheetName val="Wp 4-1"/>
      <sheetName val="Exh 5"/>
      <sheetName val="Exh 6"/>
      <sheetName val="Exh 7"/>
      <sheetName val="WP 7-1"/>
      <sheetName val="WP7-1-1"/>
      <sheetName val="WP 7-2"/>
      <sheetName val="Wp 7-3"/>
      <sheetName val="WP 7-3-1"/>
      <sheetName val="WP 7-4"/>
      <sheetName val="Wp 7-4-1"/>
      <sheetName val="WP 7-5"/>
      <sheetName val="WP 7-6"/>
      <sheetName val="WP 7-7"/>
      <sheetName val="WP 7-8"/>
      <sheetName val="Exh 8"/>
      <sheetName val="Exh 9"/>
      <sheetName val="WP 9-1"/>
    </sheetNames>
    <sheetDataSet>
      <sheetData sheetId="0" refreshError="1">
        <row r="29">
          <cell r="E29">
            <v>8.3450884513631737E-2</v>
          </cell>
        </row>
        <row r="31">
          <cell r="E31">
            <v>0.68700349864976129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DATA INPUT"/>
      <sheetName val="TB SUMMARY"/>
      <sheetName val="DTB INPUT"/>
      <sheetName val="BS INPUT"/>
      <sheetName val="IS INPUT"/>
      <sheetName val="STOCK DATA INPUT"/>
      <sheetName val="INDEX"/>
      <sheetName val="Sch 1"/>
      <sheetName val="Wp 1-1"/>
      <sheetName val="Sch 2"/>
      <sheetName val="Wp 2-1"/>
      <sheetName val="Sch 3"/>
      <sheetName val="Sch 4"/>
      <sheetName val="Wp 4-1"/>
      <sheetName val="Sch 5"/>
      <sheetName val="Sch 6"/>
      <sheetName val="Sch 7"/>
      <sheetName val="Sch 8"/>
      <sheetName val="WP 8-1"/>
      <sheetName val="WP 8-2"/>
      <sheetName val="WP 8-3"/>
      <sheetName val="Sch 9"/>
      <sheetName val="Wp 9-1"/>
      <sheetName val="Wp 9-2"/>
      <sheetName val="Wp 9-3"/>
      <sheetName val="Wp 9-4"/>
      <sheetName val="Wp 9-5"/>
      <sheetName val="Wp 9-6"/>
      <sheetName val="Wp 9-7"/>
      <sheetName val="WP 9-7-1"/>
      <sheetName val="WP 9-8"/>
      <sheetName val="Sch 10"/>
      <sheetName val="WP 10-1"/>
      <sheetName val="WP 10-2"/>
      <sheetName val="Wp 10-3"/>
      <sheetName val="WP 10-4 "/>
      <sheetName val="WP 10-5"/>
      <sheetName val="WP 10-6"/>
      <sheetName val="WP10-7"/>
      <sheetName val="WP 10-8"/>
      <sheetName val="WP 10-9 "/>
      <sheetName val="WP 10-10"/>
      <sheetName val="Sch 11"/>
      <sheetName val="WP 11-1"/>
      <sheetName val="WP 11-2 "/>
      <sheetName val="Sch 12"/>
      <sheetName val="ADJ 12-1"/>
      <sheetName val="ADJ 12-2"/>
      <sheetName val="ADJ 12-3"/>
      <sheetName val="ADJ 12-4"/>
      <sheetName val="ADJ 12-5"/>
      <sheetName val="ADJ 12-6"/>
      <sheetName val="ADJ 12-7"/>
      <sheetName val="ADJ 12-8"/>
      <sheetName val="ADJ 12-9"/>
      <sheetName val="ADJ 12-10"/>
      <sheetName val="ADJ 12-11"/>
      <sheetName val="ADJ 12-12"/>
      <sheetName val="ADJ 12-13"/>
      <sheetName val="ADJ 12-14"/>
      <sheetName val="ADJ 12-15"/>
      <sheetName val="ADJ 12-16"/>
      <sheetName val="Sch 13"/>
      <sheetName val="Sch 14 "/>
      <sheetName val="Sch 15"/>
      <sheetName val="WP 15-1"/>
      <sheetName val="WP 15-1-1"/>
      <sheetName val="WP 15-2"/>
      <sheetName val="WP 15-3"/>
      <sheetName val="WP 15-4"/>
      <sheetName val="Sch 16"/>
      <sheetName val="WP 16-1"/>
      <sheetName val="WP 16-2"/>
      <sheetName val="WP 16-3"/>
      <sheetName val="WP 16-4"/>
      <sheetName val="WP16-5"/>
      <sheetName val="WP 16-6"/>
      <sheetName val="WP 16-7"/>
      <sheetName val="WP 16-8"/>
      <sheetName val="Sch 17"/>
      <sheetName val="ADJ 17-1"/>
      <sheetName val="WP 17-1"/>
      <sheetName val="WP 17-1-1"/>
      <sheetName val="WP 17-1-2 "/>
      <sheetName val="WP 17-1-3"/>
      <sheetName val="ADJ 17- 2"/>
      <sheetName val="Wp 17-2"/>
      <sheetName val="WP 17-2-1"/>
      <sheetName val="Wp 17-2-2"/>
      <sheetName val="ADJ 17-3"/>
      <sheetName val="WP 17-3"/>
      <sheetName val="WP 17-3-1"/>
      <sheetName val="ADJ 17-4"/>
      <sheetName val="ADJ 17-5"/>
      <sheetName val="ADJ 17-6"/>
      <sheetName val="ADJ 17-7"/>
      <sheetName val="Wp 17-7"/>
      <sheetName val="ADJ 17-8"/>
      <sheetName val="WP 17-8"/>
      <sheetName val="ADJ 17-9"/>
      <sheetName val="ADJ 17-10"/>
      <sheetName val="ADJ 17-11"/>
      <sheetName val="ADJ 17-12"/>
      <sheetName val="WP 17-12"/>
      <sheetName val="ADJ 17-13"/>
      <sheetName val="ADJ 17-14"/>
      <sheetName val="ADJ 17-15"/>
      <sheetName val="ADJ 17-16"/>
      <sheetName val="ADJ 17-17"/>
      <sheetName val="WP 17-17-1"/>
      <sheetName val="Wp 17-17-2"/>
      <sheetName val="Wp 17-17-3"/>
      <sheetName val="Wp 17-17-4"/>
      <sheetName val="ADJ 17-18"/>
      <sheetName val="ADJ 17-19"/>
      <sheetName val="ADJ 17-20"/>
      <sheetName val="ADJ 17-21"/>
      <sheetName val="ADJ 17-22"/>
      <sheetName val="ADJ 17-23"/>
      <sheetName val="ADJ 17-24"/>
      <sheetName val="ADJ 17-25"/>
      <sheetName val="ADJ 17-26"/>
      <sheetName val="ADJ 17-27"/>
      <sheetName val="ADJ 17-28"/>
      <sheetName val="ADJ 17-29"/>
      <sheetName val="ADJ 17-30"/>
      <sheetName val="ADJ 17-31"/>
      <sheetName val="ADJ 17-32"/>
      <sheetName val="ADJ 17-33"/>
      <sheetName val="ADJ 17-34"/>
      <sheetName val="ADJ 17-35"/>
      <sheetName val="ADJ 17-36"/>
      <sheetName val="ADJ 17-37"/>
      <sheetName val="ADJ 17-38"/>
      <sheetName val="Sch 18"/>
      <sheetName val="Sch 19"/>
      <sheetName val="Sch 20"/>
      <sheetName val="Sch 21"/>
      <sheetName val="Sch 26A"/>
      <sheetName val="Sch 26B"/>
      <sheetName val="SCH 29"/>
      <sheetName val="Sch 30"/>
      <sheetName val="WP 30-1"/>
      <sheetName val=" WP 30-2 PEAK DAYS"/>
      <sheetName val=" WP 30-3 METER SIZE"/>
      <sheetName val="WP 30-4 BF BY CLASS"/>
      <sheetName val="SCH 31"/>
      <sheetName val="SCH 32"/>
      <sheetName val="WP 32-1"/>
      <sheetName val="SCH 33"/>
      <sheetName val="SCH 34"/>
      <sheetName val="SCH 34A"/>
    </sheetNames>
    <sheetDataSet>
      <sheetData sheetId="0" refreshError="1">
        <row r="9">
          <cell r="C9">
            <v>37894</v>
          </cell>
        </row>
        <row r="43">
          <cell r="D43">
            <v>0.218</v>
          </cell>
        </row>
        <row r="53">
          <cell r="D53">
            <v>7.0599999999999996E-2</v>
          </cell>
        </row>
        <row r="57">
          <cell r="D57">
            <v>8.7400000000000005E-2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Exposure"/>
      <sheetName val="Rate Base Deductions"/>
      <sheetName val="Input "/>
      <sheetName val="Sch 1"/>
      <sheetName val="Sch 2"/>
      <sheetName val="WP 2-1 Rev70"/>
      <sheetName val="WP 2-2 Rev71"/>
      <sheetName val="WP 2-3 Rev72"/>
      <sheetName val="WP 2-4 Rev97Pal"/>
      <sheetName val="WP 2-5 Rev97U Paducah"/>
      <sheetName val="WP 2-6 Rev97U StL"/>
      <sheetName val="WP 2-7 Rev29"/>
      <sheetName val="WP 2-8 HDDs"/>
      <sheetName val="Sch 3 Gas Cost"/>
      <sheetName val="Sch 4 O&amp;M"/>
      <sheetName val="Sch 4-1 O&amp;M Per Book"/>
      <sheetName val="WP 4-2 Labor Adj"/>
      <sheetName val="WP 4-2-1 Labor O&amp;M subaccts"/>
      <sheetName val="WP 4-2-2 MO Union Labor exp"/>
      <sheetName val="WP 4- Benefits Adj"/>
      <sheetName val="WP 4- Benefits O&amp;M subaccts"/>
      <sheetName val="WP 4-3 M&amp;I "/>
      <sheetName val="WP 4-5 realloc 922"/>
      <sheetName val="WP 4-6 Ins Prem"/>
      <sheetName val="WP 4- Postage"/>
      <sheetName val="WP 4- Bad Debt adj"/>
      <sheetName val="WP4-Outside Srvc adj"/>
      <sheetName val="Sch 5 Taxes Other"/>
      <sheetName val="WP 5-1 Other Tax subaccts"/>
      <sheetName val="WP 5-2 MO AdValorem Summary"/>
      <sheetName val="Sch 6 Deprec"/>
      <sheetName val="WP 6-1 SS"/>
      <sheetName val="WP 6-2 Div91GO"/>
      <sheetName val="WP 6-3 Div88Central"/>
      <sheetName val="WP 6-4 Div70"/>
      <sheetName val="WP 6-5 Div71"/>
      <sheetName val="WP 6-6 Div72"/>
      <sheetName val="WP 6-7 Div97"/>
      <sheetName val="WP 6-8 Div30 CoKs GO"/>
      <sheetName val="WP 6-10 Div29"/>
      <sheetName val="WP 6- Meter"/>
      <sheetName val="WP 6-11 Deprec Exp SubAccts"/>
      <sheetName val="4060 Amort Acq Adj"/>
      <sheetName val="Sch 7 RateBase"/>
      <sheetName val="WP 7-1NetPlant"/>
      <sheetName val="WP 7-2 Alloc NetPlant"/>
      <sheetName val="WP 7-3 CWIP"/>
      <sheetName val="WP 7-4 ADIT"/>
      <sheetName val="WP 7-4-1 ADIT"/>
      <sheetName val="WP 7-4-2 Def Alloc Adjusted"/>
      <sheetName val="WP 7-5 PrePaids"/>
      <sheetName val="WP 7-6"/>
      <sheetName val="WP 7-6-1CustAdv"/>
      <sheetName val="WP 7-6-2CustDep "/>
      <sheetName val="WP 7-7 M&amp;S"/>
      <sheetName val="M&amp;S new"/>
      <sheetName val="WP 7-8 StorgGas"/>
      <sheetName val="WP7- Storg Gas 1641 Repriced"/>
      <sheetName val="WP 7- ANG Rate Base Deduct"/>
      <sheetName val="Sch 8 FIT"/>
      <sheetName val="Sch 9 CapStruc"/>
      <sheetName val="WP 9-1-1 Cap Bal"/>
      <sheetName val="WP 9-1-2 Proj Bal"/>
      <sheetName val="WP 9-2-1 LTD rate"/>
      <sheetName val="WP 9-2-2 Proj LTD rate"/>
      <sheetName val="Sch 10 Int on Deposits"/>
      <sheetName val="WP 2-8"/>
      <sheetName val="WP 4-4 Int on Deposits"/>
      <sheetName val="WP 7-4 DefFIT"/>
      <sheetName val="WP 7-4-1DefFIT"/>
      <sheetName val="WP 7-5 PP"/>
      <sheetName val="PP new"/>
      <sheetName val="WP Storg Gas 1641 Repriced"/>
      <sheetName val="WP 9-1"/>
      <sheetName val="WP 9-1-1Proj"/>
      <sheetName val="WP 9-2 LTD rate"/>
      <sheetName val="WP 9-2-1 Proj LTD rate"/>
    </sheetNames>
    <sheetDataSet>
      <sheetData sheetId="0" refreshError="1"/>
      <sheetData sheetId="1" refreshError="1"/>
      <sheetData sheetId="2" refreshError="1">
        <row r="8">
          <cell r="C8" t="str">
            <v>Missouri</v>
          </cell>
        </row>
        <row r="9">
          <cell r="C9" t="str">
            <v>Atmos Energy Mid-States</v>
          </cell>
        </row>
        <row r="10">
          <cell r="C10" t="str">
            <v>September 30, 2005</v>
          </cell>
        </row>
        <row r="23">
          <cell r="C23">
            <v>5.5753243416792088E-2</v>
          </cell>
        </row>
        <row r="24">
          <cell r="C24">
            <v>4.0312366146111597E-2</v>
          </cell>
        </row>
        <row r="25">
          <cell r="C25">
            <v>0.12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ch 2, p 1"/>
      <sheetName val="Sch 2, p 2 "/>
      <sheetName val="Sch 2, p 3"/>
      <sheetName val="Sch 3"/>
      <sheetName val="Sch 4"/>
      <sheetName val="Sch 5"/>
      <sheetName val="Sch 6, p1"/>
      <sheetName val="Sch 6, p 2"/>
      <sheetName val="Sch 6, p 3"/>
      <sheetName val="Company Groups"/>
      <sheetName val="Company Data Inputs"/>
      <sheetName val="Sch 7"/>
      <sheetName val="Sch 8 "/>
      <sheetName val="Sch 9, p1"/>
      <sheetName val="Sch 9, p 2"/>
      <sheetName val="Sch 9, p 3"/>
      <sheetName val="Sch 9, p 4"/>
      <sheetName val="Sch 10"/>
      <sheetName val="Sch 11"/>
      <sheetName val="Sch 12, p 1"/>
      <sheetName val="Sch 12, p 2"/>
      <sheetName val="Sch 13"/>
      <sheetName val="Sch 12 WP"/>
      <sheetName val="Sch 14 "/>
      <sheetName val="Sch 15"/>
      <sheetName val="Sch 16"/>
      <sheetName val="p.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Company Groups"/>
      <sheetName val="Company Data Inputs"/>
      <sheetName val="Sch 2, p 1"/>
      <sheetName val="Sch 2, p 2 "/>
      <sheetName val="Sch 2, p 3"/>
      <sheetName val="Sch 3"/>
      <sheetName val="Sch 4, p1"/>
      <sheetName val="Sch 4, p 2"/>
      <sheetName val="Sch 4, p 3"/>
      <sheetName val="Sch 5"/>
      <sheetName val="Sch 6"/>
      <sheetName val="Sch 7, p1"/>
      <sheetName val="Sch 7, p 2"/>
      <sheetName val="Sch 7, p 3"/>
      <sheetName val="Sch 7, p 4"/>
      <sheetName val="Sch 8"/>
      <sheetName val="Sch 9"/>
      <sheetName val="Sch 10, p 1"/>
      <sheetName val="Sch 10, p 2"/>
      <sheetName val="Sch 11"/>
      <sheetName val="Sch 12 WP"/>
      <sheetName val="Sch 12"/>
      <sheetName val="Sch 13"/>
      <sheetName val="Sch 14"/>
      <sheetName val="p. 1"/>
    </sheetNames>
    <sheetDataSet>
      <sheetData sheetId="0" refreshError="1">
        <row r="3">
          <cell r="B3" t="str">
            <v>UNISOURCE ENERGY CONSOLIDATED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2:I55"/>
  <sheetViews>
    <sheetView topLeftCell="A21" zoomScaleNormal="100" workbookViewId="0">
      <selection activeCell="B52" sqref="B52"/>
    </sheetView>
  </sheetViews>
  <sheetFormatPr defaultColWidth="6" defaultRowHeight="15.75"/>
  <cols>
    <col min="1" max="1" width="6" style="2"/>
    <col min="2" max="2" width="33.7109375" style="2" customWidth="1"/>
    <col min="3" max="7" width="23.7109375" style="2" customWidth="1"/>
    <col min="8" max="8" width="4.7109375" style="2" customWidth="1"/>
    <col min="9" max="9" width="11.28515625" style="2" customWidth="1"/>
    <col min="10" max="16384" width="6" style="2"/>
  </cols>
  <sheetData>
    <row r="2" spans="1:9">
      <c r="A2" s="768" t="s">
        <v>53</v>
      </c>
      <c r="B2" s="768"/>
      <c r="C2" s="768"/>
      <c r="D2" s="768"/>
      <c r="E2" s="768"/>
      <c r="F2" s="768"/>
      <c r="G2" s="768"/>
    </row>
    <row r="3" spans="1:9">
      <c r="A3" s="768" t="s">
        <v>55</v>
      </c>
      <c r="B3" s="768"/>
      <c r="C3" s="768"/>
      <c r="D3" s="768"/>
      <c r="E3" s="768"/>
      <c r="F3" s="768"/>
      <c r="G3" s="768"/>
    </row>
    <row r="4" spans="1:9">
      <c r="A4" s="768" t="s">
        <v>54</v>
      </c>
      <c r="B4" s="768"/>
      <c r="C4" s="768"/>
      <c r="D4" s="768"/>
      <c r="E4" s="768"/>
      <c r="F4" s="768"/>
      <c r="G4" s="768"/>
    </row>
    <row r="5" spans="1:9">
      <c r="A5" s="769"/>
      <c r="B5" s="769"/>
      <c r="C5" s="769"/>
      <c r="D5" s="769"/>
      <c r="E5" s="769"/>
      <c r="F5" s="769"/>
      <c r="G5" s="769"/>
    </row>
    <row r="6" spans="1:9">
      <c r="A6" s="11"/>
      <c r="B6" s="11"/>
      <c r="C6" s="11" t="s">
        <v>44</v>
      </c>
      <c r="D6" s="11"/>
      <c r="E6" s="11" t="s">
        <v>47</v>
      </c>
      <c r="F6" s="11" t="s">
        <v>43</v>
      </c>
      <c r="G6" s="11" t="s">
        <v>51</v>
      </c>
    </row>
    <row r="7" spans="1:9">
      <c r="A7" s="12" t="s">
        <v>37</v>
      </c>
      <c r="B7" s="12"/>
      <c r="C7" s="12" t="s">
        <v>45</v>
      </c>
      <c r="D7" s="12" t="s">
        <v>41</v>
      </c>
      <c r="E7" s="12" t="s">
        <v>48</v>
      </c>
      <c r="F7" s="12" t="s">
        <v>49</v>
      </c>
      <c r="G7" s="12" t="s">
        <v>45</v>
      </c>
    </row>
    <row r="8" spans="1:9">
      <c r="A8" s="13" t="s">
        <v>38</v>
      </c>
      <c r="B8" s="12" t="s">
        <v>39</v>
      </c>
      <c r="C8" s="12" t="s">
        <v>40</v>
      </c>
      <c r="D8" s="12" t="s">
        <v>46</v>
      </c>
      <c r="E8" s="12" t="s">
        <v>40</v>
      </c>
      <c r="F8" s="12" t="s">
        <v>50</v>
      </c>
      <c r="G8" s="12" t="s">
        <v>40</v>
      </c>
    </row>
    <row r="9" spans="1:9">
      <c r="A9" s="14"/>
      <c r="B9" s="15"/>
      <c r="C9" s="14" t="s">
        <v>77</v>
      </c>
      <c r="D9" s="14" t="s">
        <v>78</v>
      </c>
      <c r="E9" s="14" t="s">
        <v>79</v>
      </c>
      <c r="F9" s="14" t="s">
        <v>42</v>
      </c>
      <c r="G9" s="14" t="s">
        <v>57</v>
      </c>
    </row>
    <row r="10" spans="1:9">
      <c r="A10" s="9"/>
      <c r="B10" s="10"/>
      <c r="C10" s="9"/>
      <c r="D10" s="9"/>
      <c r="E10" s="9"/>
      <c r="F10" s="9"/>
      <c r="G10" s="9"/>
    </row>
    <row r="11" spans="1:9">
      <c r="A11" s="194">
        <v>1</v>
      </c>
      <c r="B11" s="3" t="s">
        <v>0</v>
      </c>
      <c r="C11" s="16"/>
      <c r="D11" s="16"/>
      <c r="E11" s="16"/>
      <c r="F11" s="16"/>
      <c r="G11" s="16"/>
      <c r="I11" s="192" t="s">
        <v>346</v>
      </c>
    </row>
    <row r="12" spans="1:9">
      <c r="A12" s="194">
        <f>1+A11</f>
        <v>2</v>
      </c>
      <c r="B12" s="3" t="s">
        <v>1</v>
      </c>
      <c r="C12" s="191">
        <v>1988945643.9899998</v>
      </c>
      <c r="D12" s="191">
        <f>+'EXH KBH-2 P2.7'!G11</f>
        <v>23523321.158480898</v>
      </c>
      <c r="E12" s="191">
        <f>+D12+C12</f>
        <v>2012468965.1484807</v>
      </c>
      <c r="F12" s="191">
        <f>+'Gen Inc P2.46'!D24</f>
        <v>5826516</v>
      </c>
      <c r="G12" s="191">
        <f>+F12+E12</f>
        <v>2018295481.1484807</v>
      </c>
      <c r="I12" s="193">
        <f>F12/E12</f>
        <v>2.8952078769423992E-3</v>
      </c>
    </row>
    <row r="13" spans="1:9">
      <c r="A13" s="194">
        <f t="shared" ref="A13:A54" si="0">1+A12</f>
        <v>3</v>
      </c>
      <c r="B13" s="4" t="s">
        <v>2</v>
      </c>
      <c r="C13" s="16">
        <v>369319.57</v>
      </c>
      <c r="D13" s="16">
        <f>+'EXH KBH-2 P2.7'!G12</f>
        <v>-20041</v>
      </c>
      <c r="E13" s="16">
        <f t="shared" ref="E13:E15" si="1">+D13+C13</f>
        <v>349278.57</v>
      </c>
      <c r="F13" s="16">
        <f>+'Gen Inc P2.46'!D23</f>
        <v>79160</v>
      </c>
      <c r="G13" s="16">
        <f t="shared" ref="G13:G15" si="2">+F13+E13</f>
        <v>428438.57</v>
      </c>
    </row>
    <row r="14" spans="1:9">
      <c r="A14" s="194">
        <f t="shared" si="0"/>
        <v>4</v>
      </c>
      <c r="B14" s="4" t="s">
        <v>3</v>
      </c>
      <c r="C14" s="16">
        <v>173342970.81999999</v>
      </c>
      <c r="D14" s="16">
        <f>+'EXH KBH-2 P2.7'!G13</f>
        <v>-152409715.24756333</v>
      </c>
      <c r="E14" s="16">
        <f t="shared" si="1"/>
        <v>20933255.572436661</v>
      </c>
      <c r="F14" s="16"/>
      <c r="G14" s="16">
        <f t="shared" si="2"/>
        <v>20933255.572436661</v>
      </c>
    </row>
    <row r="15" spans="1:9">
      <c r="A15" s="194">
        <f t="shared" si="0"/>
        <v>5</v>
      </c>
      <c r="B15" s="4" t="s">
        <v>4</v>
      </c>
      <c r="C15" s="16">
        <v>55432485.620000005</v>
      </c>
      <c r="D15" s="16">
        <f>+'EXH KBH-2 P2.7'!G14</f>
        <v>-15220980.619999999</v>
      </c>
      <c r="E15" s="16">
        <f t="shared" si="1"/>
        <v>40211505.000000007</v>
      </c>
      <c r="F15" s="16">
        <f>+'Gen Inc P2.46'!D22</f>
        <v>220879</v>
      </c>
      <c r="G15" s="16">
        <f t="shared" si="2"/>
        <v>40432384.000000007</v>
      </c>
    </row>
    <row r="16" spans="1:9">
      <c r="A16" s="194">
        <f t="shared" si="0"/>
        <v>6</v>
      </c>
      <c r="B16" s="5" t="s">
        <v>5</v>
      </c>
      <c r="C16" s="32">
        <f>SUM(C12:C15)</f>
        <v>2218090419.9999995</v>
      </c>
      <c r="D16" s="32">
        <f t="shared" ref="D16:E16" si="3">SUM(D12:D15)</f>
        <v>-144127415.70908242</v>
      </c>
      <c r="E16" s="32">
        <f t="shared" si="3"/>
        <v>2073963004.2909172</v>
      </c>
      <c r="F16" s="32">
        <f t="shared" ref="F16" si="4">SUM(F12:F15)</f>
        <v>6126555</v>
      </c>
      <c r="G16" s="32">
        <f t="shared" ref="G16" si="5">SUM(G12:G15)</f>
        <v>2080089559.2909172</v>
      </c>
    </row>
    <row r="17" spans="1:7">
      <c r="A17" s="194">
        <f t="shared" si="0"/>
        <v>7</v>
      </c>
      <c r="B17" s="4"/>
      <c r="C17" s="16"/>
      <c r="D17" s="16"/>
      <c r="E17" s="16"/>
      <c r="F17" s="16"/>
      <c r="G17" s="16"/>
    </row>
    <row r="18" spans="1:7">
      <c r="A18" s="194">
        <f t="shared" si="0"/>
        <v>8</v>
      </c>
      <c r="B18" s="3" t="s">
        <v>6</v>
      </c>
      <c r="C18" s="16"/>
      <c r="D18" s="16"/>
      <c r="E18" s="16"/>
      <c r="F18" s="16"/>
      <c r="G18" s="16"/>
    </row>
    <row r="19" spans="1:7">
      <c r="A19" s="194">
        <f t="shared" si="0"/>
        <v>9</v>
      </c>
      <c r="B19" s="4" t="s">
        <v>7</v>
      </c>
      <c r="C19" s="16"/>
      <c r="D19" s="16"/>
      <c r="E19" s="16"/>
      <c r="F19" s="16"/>
      <c r="G19" s="16"/>
    </row>
    <row r="20" spans="1:7">
      <c r="A20" s="194">
        <f t="shared" si="0"/>
        <v>10</v>
      </c>
      <c r="B20" s="4" t="s">
        <v>8</v>
      </c>
      <c r="C20" s="191">
        <v>212332675.87</v>
      </c>
      <c r="D20" s="191">
        <f>+'EXH KBH-2 P2.7'!G19</f>
        <v>43308620.666759208</v>
      </c>
      <c r="E20" s="191">
        <f t="shared" ref="E20:E23" si="6">+D20+C20</f>
        <v>255641296.5367592</v>
      </c>
      <c r="F20" s="191">
        <v>0</v>
      </c>
      <c r="G20" s="191">
        <f t="shared" ref="G20:G23" si="7">+F20+E20</f>
        <v>255641296.5367592</v>
      </c>
    </row>
    <row r="21" spans="1:7">
      <c r="A21" s="194">
        <f t="shared" si="0"/>
        <v>11</v>
      </c>
      <c r="B21" s="4" t="s">
        <v>9</v>
      </c>
      <c r="C21" s="16">
        <v>920346550.78999996</v>
      </c>
      <c r="D21" s="16">
        <f>+'EXH KBH-2 P2.7'!G20</f>
        <v>-262344509.7362898</v>
      </c>
      <c r="E21" s="16">
        <f t="shared" si="6"/>
        <v>658002041.05371022</v>
      </c>
      <c r="F21" s="16"/>
      <c r="G21" s="16">
        <f t="shared" si="7"/>
        <v>658002041.05371022</v>
      </c>
    </row>
    <row r="22" spans="1:7">
      <c r="A22" s="194">
        <f t="shared" si="0"/>
        <v>12</v>
      </c>
      <c r="B22" s="1" t="s">
        <v>10</v>
      </c>
      <c r="C22" s="16">
        <v>70713345.829999998</v>
      </c>
      <c r="D22" s="16">
        <f>+'EXH KBH-2 P2.7'!G21</f>
        <v>10068232.159804093</v>
      </c>
      <c r="E22" s="16">
        <f t="shared" si="6"/>
        <v>80781577.989804089</v>
      </c>
      <c r="F22" s="16"/>
      <c r="G22" s="16">
        <f t="shared" si="7"/>
        <v>80781577.989804089</v>
      </c>
    </row>
    <row r="23" spans="1:7">
      <c r="A23" s="194">
        <f t="shared" si="0"/>
        <v>13</v>
      </c>
      <c r="B23" s="1" t="s">
        <v>11</v>
      </c>
      <c r="C23" s="16">
        <v>-40663860.560000002</v>
      </c>
      <c r="D23" s="16">
        <f>+'EXH KBH-2 P2.7'!G22</f>
        <v>40663860.560000002</v>
      </c>
      <c r="E23" s="16">
        <f t="shared" si="6"/>
        <v>0</v>
      </c>
      <c r="F23" s="16"/>
      <c r="G23" s="16">
        <f t="shared" si="7"/>
        <v>0</v>
      </c>
    </row>
    <row r="24" spans="1:7">
      <c r="A24" s="194">
        <f t="shared" si="0"/>
        <v>14</v>
      </c>
      <c r="B24" s="6" t="s">
        <v>12</v>
      </c>
      <c r="C24" s="33">
        <f>SUM(C20:C23)</f>
        <v>1162728711.9299998</v>
      </c>
      <c r="D24" s="33">
        <f t="shared" ref="D24:G24" si="8">SUM(D20:D23)</f>
        <v>-168303796.3497265</v>
      </c>
      <c r="E24" s="33">
        <f t="shared" si="8"/>
        <v>994424915.58027339</v>
      </c>
      <c r="F24" s="33">
        <f t="shared" si="8"/>
        <v>0</v>
      </c>
      <c r="G24" s="33">
        <f t="shared" si="8"/>
        <v>994424915.58027339</v>
      </c>
    </row>
    <row r="25" spans="1:7">
      <c r="A25" s="194">
        <f t="shared" si="0"/>
        <v>15</v>
      </c>
      <c r="B25" s="1"/>
      <c r="C25" s="16"/>
      <c r="D25" s="16"/>
      <c r="E25" s="16"/>
      <c r="F25" s="16"/>
      <c r="G25" s="16"/>
    </row>
    <row r="26" spans="1:7">
      <c r="A26" s="194">
        <f t="shared" si="0"/>
        <v>16</v>
      </c>
      <c r="B26" s="1" t="s">
        <v>13</v>
      </c>
      <c r="C26" s="191">
        <v>102819798.43000001</v>
      </c>
      <c r="D26" s="191">
        <f>+'EXH KBH-2 P2.7'!G25</f>
        <v>-2158673.3253816217</v>
      </c>
      <c r="E26" s="191">
        <f t="shared" ref="E26:E40" si="9">+D26+C26</f>
        <v>100661125.10461839</v>
      </c>
      <c r="F26" s="191">
        <v>0</v>
      </c>
      <c r="G26" s="191">
        <f t="shared" ref="G26:G40" si="10">+F26+E26</f>
        <v>100661125.10461839</v>
      </c>
    </row>
    <row r="27" spans="1:7">
      <c r="A27" s="194">
        <f t="shared" si="0"/>
        <v>17</v>
      </c>
      <c r="B27" s="4" t="s">
        <v>14</v>
      </c>
      <c r="C27" s="16">
        <v>9234124.120000001</v>
      </c>
      <c r="D27" s="16">
        <f>+'EXH KBH-2 P2.7'!G26</f>
        <v>-360595.75500000035</v>
      </c>
      <c r="E27" s="16">
        <f t="shared" si="9"/>
        <v>8873528.3650000002</v>
      </c>
      <c r="F27" s="16"/>
      <c r="G27" s="16">
        <f t="shared" si="10"/>
        <v>8873528.3650000002</v>
      </c>
    </row>
    <row r="28" spans="1:7">
      <c r="A28" s="194">
        <f t="shared" si="0"/>
        <v>18</v>
      </c>
      <c r="B28" s="4" t="s">
        <v>15</v>
      </c>
      <c r="C28" s="16">
        <v>76776330.769999996</v>
      </c>
      <c r="D28" s="16">
        <f>+'EXH KBH-2 P2.7'!G27</f>
        <v>-1818076.6866666647</v>
      </c>
      <c r="E28" s="16">
        <f t="shared" si="9"/>
        <v>74958254.083333328</v>
      </c>
      <c r="F28" s="16"/>
      <c r="G28" s="16">
        <f t="shared" si="10"/>
        <v>74958254.083333328</v>
      </c>
    </row>
    <row r="29" spans="1:7">
      <c r="A29" s="194">
        <f t="shared" si="0"/>
        <v>19</v>
      </c>
      <c r="B29" s="4" t="s">
        <v>612</v>
      </c>
      <c r="C29" s="16">
        <v>43145324.380612001</v>
      </c>
      <c r="D29" s="16">
        <f>+'EXH KBH-2 P2.7'!G28</f>
        <v>-1246421.5027394705</v>
      </c>
      <c r="E29" s="16">
        <f t="shared" si="9"/>
        <v>41898902.877872527</v>
      </c>
      <c r="F29" s="16">
        <f>ROUND(+'Gen Inc P2.46'!D21*'Conv Fact P2.48'!E15,0)</f>
        <v>22190</v>
      </c>
      <c r="G29" s="16">
        <f t="shared" si="10"/>
        <v>41921092.877872527</v>
      </c>
    </row>
    <row r="30" spans="1:7">
      <c r="A30" s="194">
        <f t="shared" si="0"/>
        <v>20</v>
      </c>
      <c r="B30" s="4" t="s">
        <v>16</v>
      </c>
      <c r="C30" s="16">
        <v>10019492.62167</v>
      </c>
      <c r="D30" s="16">
        <f>+'EXH KBH-2 P2.7'!G29</f>
        <v>-7817891.6500000004</v>
      </c>
      <c r="E30" s="16">
        <f t="shared" si="9"/>
        <v>2201600.9716699999</v>
      </c>
      <c r="F30" s="16"/>
      <c r="G30" s="16">
        <f t="shared" si="10"/>
        <v>2201600.9716699999</v>
      </c>
    </row>
    <row r="31" spans="1:7">
      <c r="A31" s="194">
        <f t="shared" si="0"/>
        <v>21</v>
      </c>
      <c r="B31" s="1" t="s">
        <v>17</v>
      </c>
      <c r="C31" s="16">
        <v>53980110.359999999</v>
      </c>
      <c r="D31" s="16">
        <f>+'EXH KBH-2 P2.7'!G30</f>
        <v>-53979048</v>
      </c>
      <c r="E31" s="16">
        <f t="shared" si="9"/>
        <v>1062.359999999404</v>
      </c>
      <c r="F31" s="16"/>
      <c r="G31" s="16">
        <f t="shared" si="10"/>
        <v>1062.359999999404</v>
      </c>
    </row>
    <row r="32" spans="1:7">
      <c r="A32" s="194">
        <f t="shared" si="0"/>
        <v>22</v>
      </c>
      <c r="B32" s="4" t="s">
        <v>18</v>
      </c>
      <c r="C32" s="16">
        <v>89418695.754489005</v>
      </c>
      <c r="D32" s="16">
        <f>+'EXH KBH-2 P2.7'!G31</f>
        <v>4272250.1595057342</v>
      </c>
      <c r="E32" s="16">
        <f t="shared" si="9"/>
        <v>93690945.913994744</v>
      </c>
      <c r="F32" s="16">
        <f>ROUND(+'Gen Inc P2.46'!D21*'Conv Fact P2.48'!E16,0)</f>
        <v>12253</v>
      </c>
      <c r="G32" s="16">
        <f t="shared" si="10"/>
        <v>93703198.913994744</v>
      </c>
    </row>
    <row r="33" spans="1:7">
      <c r="A33" s="194">
        <f t="shared" si="0"/>
        <v>23</v>
      </c>
      <c r="B33" s="4" t="s">
        <v>19</v>
      </c>
      <c r="C33" s="16">
        <v>173307040.37213799</v>
      </c>
      <c r="D33" s="16">
        <f>+'EXH KBH-2 P2.7'!G32</f>
        <v>134302.75554359844</v>
      </c>
      <c r="E33" s="16">
        <f t="shared" si="9"/>
        <v>173441343.12768158</v>
      </c>
      <c r="F33" s="16"/>
      <c r="G33" s="16">
        <f t="shared" si="10"/>
        <v>173441343.12768158</v>
      </c>
    </row>
    <row r="34" spans="1:7">
      <c r="A34" s="194">
        <f t="shared" si="0"/>
        <v>24</v>
      </c>
      <c r="B34" s="4" t="s">
        <v>20</v>
      </c>
      <c r="C34" s="16">
        <v>34012299.127779998</v>
      </c>
      <c r="D34" s="16">
        <f>+'EXH KBH-2 P2.7'!G33</f>
        <v>10975973.76898407</v>
      </c>
      <c r="E34" s="16">
        <f t="shared" si="9"/>
        <v>44988272.89676407</v>
      </c>
      <c r="F34" s="16"/>
      <c r="G34" s="16">
        <f t="shared" si="10"/>
        <v>44988272.89676407</v>
      </c>
    </row>
    <row r="35" spans="1:7">
      <c r="A35" s="194">
        <f t="shared" si="0"/>
        <v>25</v>
      </c>
      <c r="B35" s="3" t="s">
        <v>21</v>
      </c>
      <c r="C35" s="16">
        <v>6493409.2999999998</v>
      </c>
      <c r="D35" s="16">
        <f>+'EXH KBH-2 P2.7'!G34</f>
        <v>11378140.093527509</v>
      </c>
      <c r="E35" s="16">
        <f t="shared" si="9"/>
        <v>17871549.393527508</v>
      </c>
      <c r="F35" s="16"/>
      <c r="G35" s="16">
        <f t="shared" si="10"/>
        <v>17871549.393527508</v>
      </c>
    </row>
    <row r="36" spans="1:7">
      <c r="A36" s="194">
        <f t="shared" si="0"/>
        <v>26</v>
      </c>
      <c r="B36" s="1" t="s">
        <v>22</v>
      </c>
      <c r="C36" s="16">
        <v>-483686.12</v>
      </c>
      <c r="D36" s="16">
        <f>+'EXH KBH-2 P2.7'!G35</f>
        <v>6428038.3914859295</v>
      </c>
      <c r="E36" s="16">
        <f t="shared" si="9"/>
        <v>5944352.2714859294</v>
      </c>
      <c r="F36" s="16"/>
      <c r="G36" s="16">
        <f t="shared" si="10"/>
        <v>5944352.2714859294</v>
      </c>
    </row>
    <row r="37" spans="1:7">
      <c r="A37" s="194">
        <f t="shared" si="0"/>
        <v>27</v>
      </c>
      <c r="B37" s="1" t="s">
        <v>23</v>
      </c>
      <c r="C37" s="16">
        <v>7537999</v>
      </c>
      <c r="D37" s="16">
        <f>+'EXH KBH-2 P2.7'!G36</f>
        <v>0</v>
      </c>
      <c r="E37" s="16">
        <f t="shared" si="9"/>
        <v>7537999</v>
      </c>
      <c r="F37" s="16"/>
      <c r="G37" s="16">
        <f t="shared" si="10"/>
        <v>7537999</v>
      </c>
    </row>
    <row r="38" spans="1:7">
      <c r="A38" s="194">
        <f t="shared" si="0"/>
        <v>28</v>
      </c>
      <c r="B38" s="4" t="s">
        <v>24</v>
      </c>
      <c r="C38" s="16">
        <v>188816367.51742402</v>
      </c>
      <c r="D38" s="16">
        <f>+'EXH KBH-2 P2.7'!G37</f>
        <v>-76353310.394836634</v>
      </c>
      <c r="E38" s="16">
        <f t="shared" si="9"/>
        <v>112463057.12258738</v>
      </c>
      <c r="F38" s="16">
        <f>ROUND('Gen Inc P2.46'!D21*'Conv Fact P2.48'!E17,0)</f>
        <v>236424</v>
      </c>
      <c r="G38" s="16">
        <f t="shared" si="10"/>
        <v>112699481.12258738</v>
      </c>
    </row>
    <row r="39" spans="1:7">
      <c r="A39" s="194">
        <f t="shared" si="0"/>
        <v>29</v>
      </c>
      <c r="B39" s="4" t="s">
        <v>25</v>
      </c>
      <c r="C39" s="16">
        <v>4629482</v>
      </c>
      <c r="D39" s="16">
        <f>+'EXH KBH-2 P2.7'!G38</f>
        <v>46632797.897443883</v>
      </c>
      <c r="E39" s="16">
        <f t="shared" si="9"/>
        <v>51262279.897443883</v>
      </c>
      <c r="F39" s="16">
        <f>ROUND(+'Gen Inc P2.46'!D21*'Conv Fact P2.48'!E22,0)</f>
        <v>2049492</v>
      </c>
      <c r="G39" s="16">
        <f t="shared" si="10"/>
        <v>53311771.897443883</v>
      </c>
    </row>
    <row r="40" spans="1:7">
      <c r="A40" s="194">
        <f t="shared" si="0"/>
        <v>30</v>
      </c>
      <c r="B40" s="4" t="s">
        <v>26</v>
      </c>
      <c r="C40" s="16">
        <v>30323152.180600002</v>
      </c>
      <c r="D40" s="16">
        <f>+'EXH KBH-2 P2.7'!G39</f>
        <v>21519778.061820596</v>
      </c>
      <c r="E40" s="16">
        <f t="shared" si="9"/>
        <v>51842930.242420599</v>
      </c>
      <c r="F40" s="16"/>
      <c r="G40" s="16">
        <f t="shared" si="10"/>
        <v>51842930.242420599</v>
      </c>
    </row>
    <row r="41" spans="1:7">
      <c r="A41" s="194">
        <f t="shared" si="0"/>
        <v>31</v>
      </c>
      <c r="B41" s="7" t="s">
        <v>27</v>
      </c>
      <c r="C41" s="33">
        <f>SUM(C24:C40)</f>
        <v>1992758651.7447126</v>
      </c>
      <c r="D41" s="33">
        <f t="shared" ref="D41:G41" si="11">SUM(D24:D40)</f>
        <v>-210696532.53603962</v>
      </c>
      <c r="E41" s="33">
        <f t="shared" si="11"/>
        <v>1782062119.208673</v>
      </c>
      <c r="F41" s="33">
        <f t="shared" si="11"/>
        <v>2320359</v>
      </c>
      <c r="G41" s="33">
        <f t="shared" si="11"/>
        <v>1784382478.208673</v>
      </c>
    </row>
    <row r="42" spans="1:7">
      <c r="A42" s="194">
        <f t="shared" si="0"/>
        <v>32</v>
      </c>
      <c r="B42" s="7"/>
      <c r="C42" s="16"/>
      <c r="D42" s="16"/>
      <c r="E42" s="16"/>
      <c r="F42" s="16"/>
      <c r="G42" s="16"/>
    </row>
    <row r="43" spans="1:7" ht="16.5" thickBot="1">
      <c r="A43" s="194">
        <f t="shared" si="0"/>
        <v>33</v>
      </c>
      <c r="B43" s="8" t="s">
        <v>28</v>
      </c>
      <c r="C43" s="34">
        <f>+C16-C41</f>
        <v>225331768.25528693</v>
      </c>
      <c r="D43" s="34">
        <f t="shared" ref="D43:G43" si="12">+D16-D41</f>
        <v>66569116.826957196</v>
      </c>
      <c r="E43" s="34">
        <f t="shared" si="12"/>
        <v>291900885.08224416</v>
      </c>
      <c r="F43" s="34">
        <f t="shared" si="12"/>
        <v>3806196</v>
      </c>
      <c r="G43" s="34">
        <f t="shared" si="12"/>
        <v>295707081.08224416</v>
      </c>
    </row>
    <row r="44" spans="1:7" ht="16.5" thickTop="1">
      <c r="A44" s="194">
        <f t="shared" si="0"/>
        <v>34</v>
      </c>
      <c r="B44" s="4"/>
      <c r="C44" s="16"/>
      <c r="D44" s="16"/>
      <c r="E44" s="16"/>
      <c r="F44" s="16"/>
      <c r="G44" s="16"/>
    </row>
    <row r="45" spans="1:7">
      <c r="A45" s="194">
        <f t="shared" si="0"/>
        <v>35</v>
      </c>
      <c r="B45" s="5" t="s">
        <v>29</v>
      </c>
      <c r="C45" s="16"/>
      <c r="D45" s="16"/>
      <c r="E45" s="16"/>
      <c r="F45" s="16"/>
      <c r="G45" s="16"/>
    </row>
    <row r="46" spans="1:7">
      <c r="A46" s="194">
        <f t="shared" si="0"/>
        <v>36</v>
      </c>
      <c r="B46" s="4" t="s">
        <v>611</v>
      </c>
      <c r="C46" s="191">
        <v>6183573987.7212172</v>
      </c>
      <c r="D46" s="191">
        <f>+'EXH KBH-2 P2.7'!G45</f>
        <v>473824779.90494883</v>
      </c>
      <c r="E46" s="191">
        <f t="shared" ref="E46:E51" si="13">+D46+C46</f>
        <v>6657398767.6261663</v>
      </c>
      <c r="F46" s="191"/>
      <c r="G46" s="191">
        <f t="shared" ref="G46:G51" si="14">+F46+E46</f>
        <v>6657398767.6261663</v>
      </c>
    </row>
    <row r="47" spans="1:7">
      <c r="A47" s="194">
        <f t="shared" si="0"/>
        <v>37</v>
      </c>
      <c r="B47" s="4" t="s">
        <v>30</v>
      </c>
      <c r="C47" s="16">
        <v>-2533770194.8602018</v>
      </c>
      <c r="D47" s="16">
        <f>+'EXH KBH-2 P2.7'!G46</f>
        <v>-192093249.12289196</v>
      </c>
      <c r="E47" s="16">
        <f t="shared" si="13"/>
        <v>-2725863443.9830937</v>
      </c>
      <c r="F47" s="16"/>
      <c r="G47" s="16">
        <f t="shared" si="14"/>
        <v>-2725863443.9830937</v>
      </c>
    </row>
    <row r="48" spans="1:7">
      <c r="A48" s="194">
        <f t="shared" si="0"/>
        <v>38</v>
      </c>
      <c r="B48" s="4" t="s">
        <v>31</v>
      </c>
      <c r="C48" s="16">
        <v>286749772</v>
      </c>
      <c r="D48" s="16">
        <f>+'EXH KBH-2 P2.7'!G47</f>
        <v>56451485.213895559</v>
      </c>
      <c r="E48" s="16">
        <f t="shared" si="13"/>
        <v>343201257.21389556</v>
      </c>
      <c r="F48" s="16"/>
      <c r="G48" s="16">
        <f t="shared" si="14"/>
        <v>343201257.21389556</v>
      </c>
    </row>
    <row r="49" spans="1:7">
      <c r="A49" s="194">
        <f t="shared" si="0"/>
        <v>39</v>
      </c>
      <c r="B49" s="4" t="s">
        <v>32</v>
      </c>
      <c r="C49" s="16">
        <v>-515196416</v>
      </c>
      <c r="D49" s="16">
        <f>+'EXH KBH-2 P2.7'!G48</f>
        <v>-54466412.272769123</v>
      </c>
      <c r="E49" s="16">
        <f t="shared" si="13"/>
        <v>-569662828.27276909</v>
      </c>
      <c r="F49" s="16"/>
      <c r="G49" s="16">
        <f t="shared" si="14"/>
        <v>-569662828.27276909</v>
      </c>
    </row>
    <row r="50" spans="1:7">
      <c r="A50" s="194">
        <f t="shared" si="0"/>
        <v>40</v>
      </c>
      <c r="B50" s="4" t="s">
        <v>33</v>
      </c>
      <c r="C50" s="16">
        <v>127698202</v>
      </c>
      <c r="D50" s="16">
        <f>+'EXH KBH-2 P2.7'!G49</f>
        <v>4846474.2075103223</v>
      </c>
      <c r="E50" s="16">
        <f t="shared" si="13"/>
        <v>132544676.20751032</v>
      </c>
      <c r="F50" s="16"/>
      <c r="G50" s="16">
        <f t="shared" si="14"/>
        <v>132544676.20751032</v>
      </c>
    </row>
    <row r="51" spans="1:7">
      <c r="A51" s="194">
        <f t="shared" si="0"/>
        <v>41</v>
      </c>
      <c r="B51" s="4" t="s">
        <v>34</v>
      </c>
      <c r="C51" s="16">
        <v>-89746677.579166666</v>
      </c>
      <c r="D51" s="16">
        <f>+'EXH KBH-2 P2.7'!G50</f>
        <v>0</v>
      </c>
      <c r="E51" s="16">
        <f t="shared" si="13"/>
        <v>-89746677.579166666</v>
      </c>
      <c r="F51" s="16"/>
      <c r="G51" s="16">
        <f t="shared" si="14"/>
        <v>-89746677.579166666</v>
      </c>
    </row>
    <row r="52" spans="1:7" ht="16.5" thickBot="1">
      <c r="A52" s="194">
        <f t="shared" si="0"/>
        <v>42</v>
      </c>
      <c r="B52" s="4" t="s">
        <v>35</v>
      </c>
      <c r="C52" s="34">
        <f>SUM(C46:C51)</f>
        <v>3459308673.2818484</v>
      </c>
      <c r="D52" s="34">
        <f t="shared" ref="D52:G52" si="15">SUM(D46:D51)</f>
        <v>288563077.93069363</v>
      </c>
      <c r="E52" s="34">
        <f t="shared" si="15"/>
        <v>3747871751.2125425</v>
      </c>
      <c r="F52" s="34">
        <f t="shared" si="15"/>
        <v>0</v>
      </c>
      <c r="G52" s="34">
        <f t="shared" si="15"/>
        <v>3747871751.2125425</v>
      </c>
    </row>
    <row r="53" spans="1:7" ht="16.5" thickTop="1">
      <c r="A53" s="194">
        <f t="shared" si="0"/>
        <v>43</v>
      </c>
      <c r="B53" s="4"/>
      <c r="D53" s="16"/>
      <c r="E53" s="16"/>
      <c r="F53" s="16"/>
      <c r="G53" s="16"/>
    </row>
    <row r="54" spans="1:7">
      <c r="A54" s="194">
        <f t="shared" si="0"/>
        <v>44</v>
      </c>
      <c r="B54" s="4" t="s">
        <v>36</v>
      </c>
      <c r="C54" s="183">
        <f>ROUND(C43/C52,4)</f>
        <v>6.5100000000000005E-2</v>
      </c>
      <c r="D54" s="16"/>
      <c r="E54" s="183">
        <f>ROUND(E43/E52,4)</f>
        <v>7.7899999999999997E-2</v>
      </c>
      <c r="F54" s="16"/>
      <c r="G54" s="183">
        <f>ROUND(G43/G52,4)</f>
        <v>7.8899999999999998E-2</v>
      </c>
    </row>
    <row r="55" spans="1:7">
      <c r="A55" s="1"/>
      <c r="B55" s="1"/>
    </row>
  </sheetData>
  <mergeCells count="4">
    <mergeCell ref="A2:G2"/>
    <mergeCell ref="A5:G5"/>
    <mergeCell ref="A3:G3"/>
    <mergeCell ref="A4:G4"/>
  </mergeCells>
  <printOptions horizontalCentered="1"/>
  <pageMargins left="0.5" right="0.5" top="0.5" bottom="0.3" header="0.3" footer="0.25"/>
  <pageSetup scale="67" orientation="landscape" r:id="rId1"/>
  <headerFooter scaleWithDoc="0">
    <oddHeader>&amp;R&amp;"Times New Roman,Regular"UE-090704/UG-090705
EXHIBIT KHB-2
Page 2.1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0"/>
  <sheetViews>
    <sheetView topLeftCell="A15" zoomScaleNormal="100" workbookViewId="0">
      <selection activeCell="B52" sqref="B52"/>
    </sheetView>
  </sheetViews>
  <sheetFormatPr defaultColWidth="9.140625" defaultRowHeight="15.75"/>
  <cols>
    <col min="1" max="1" width="7.42578125" style="2" customWidth="1"/>
    <col min="2" max="2" width="68.28515625" style="2" customWidth="1"/>
    <col min="3" max="3" width="17.7109375" style="2" bestFit="1" customWidth="1"/>
    <col min="4" max="4" width="19.28515625" style="2" bestFit="1" customWidth="1"/>
    <col min="5" max="5" width="19.42578125" style="2" bestFit="1" customWidth="1"/>
    <col min="6" max="16384" width="9.140625" style="2"/>
  </cols>
  <sheetData>
    <row r="1" spans="1:5">
      <c r="A1" s="2" t="str">
        <f>CO</f>
        <v>Puget Sound Energy</v>
      </c>
    </row>
    <row r="2" spans="1:5">
      <c r="A2" s="2" t="str">
        <f>DOCKET</f>
        <v>Docket UE-090704/UG-090705</v>
      </c>
    </row>
    <row r="4" spans="1:5">
      <c r="A4" s="218" t="s">
        <v>201</v>
      </c>
      <c r="B4" s="219"/>
      <c r="C4" s="219"/>
      <c r="D4" s="218"/>
      <c r="E4" s="219"/>
    </row>
    <row r="5" spans="1:5">
      <c r="A5" s="218" t="s">
        <v>615</v>
      </c>
      <c r="B5" s="219"/>
      <c r="C5" s="218"/>
      <c r="D5" s="219"/>
      <c r="E5" s="219"/>
    </row>
    <row r="6" spans="1:5">
      <c r="A6" s="219" t="str">
        <f>TY</f>
        <v>FOR THE TWELVE MONTHS ENDED DECEMBER 31, 2008</v>
      </c>
      <c r="B6" s="219"/>
      <c r="C6" s="218"/>
      <c r="D6" s="219"/>
      <c r="E6" s="219"/>
    </row>
    <row r="7" spans="1:5">
      <c r="A7" s="218" t="s">
        <v>205</v>
      </c>
      <c r="B7" s="219"/>
      <c r="C7" s="218"/>
      <c r="D7" s="218"/>
      <c r="E7" s="218"/>
    </row>
    <row r="8" spans="1:5">
      <c r="A8" s="220"/>
      <c r="B8" s="220"/>
      <c r="C8" s="220"/>
      <c r="D8" s="221"/>
      <c r="E8" s="220"/>
    </row>
    <row r="9" spans="1:5">
      <c r="A9" s="222" t="s">
        <v>208</v>
      </c>
      <c r="B9" s="223"/>
      <c r="C9" s="224"/>
      <c r="D9" s="225"/>
      <c r="E9" s="225" t="s">
        <v>371</v>
      </c>
    </row>
    <row r="10" spans="1:5">
      <c r="A10" s="226" t="s">
        <v>215</v>
      </c>
      <c r="B10" s="227" t="s">
        <v>216</v>
      </c>
      <c r="C10" s="228" t="s">
        <v>218</v>
      </c>
      <c r="D10" s="228" t="s">
        <v>214</v>
      </c>
      <c r="E10" s="228" t="s">
        <v>372</v>
      </c>
    </row>
    <row r="11" spans="1:5">
      <c r="A11" s="229"/>
      <c r="B11" s="230"/>
      <c r="C11" s="230"/>
      <c r="D11" s="230"/>
      <c r="E11" s="230"/>
    </row>
    <row r="12" spans="1:5">
      <c r="A12" s="231">
        <v>1</v>
      </c>
      <c r="B12" s="232" t="s">
        <v>373</v>
      </c>
      <c r="C12" s="233">
        <v>173342970.81999999</v>
      </c>
      <c r="D12" s="233">
        <v>20933255.572436661</v>
      </c>
      <c r="E12" s="233">
        <f>D12-C12</f>
        <v>-152409715.24756333</v>
      </c>
    </row>
    <row r="13" spans="1:5">
      <c r="A13" s="231">
        <f t="shared" ref="A13:A39" si="0">A12+1</f>
        <v>2</v>
      </c>
      <c r="B13" s="232"/>
      <c r="C13" s="234"/>
      <c r="D13" s="234"/>
      <c r="E13" s="234"/>
    </row>
    <row r="14" spans="1:5">
      <c r="A14" s="231">
        <f t="shared" si="0"/>
        <v>3</v>
      </c>
      <c r="B14" s="232" t="s">
        <v>374</v>
      </c>
      <c r="C14" s="27">
        <v>15804883.449999999</v>
      </c>
      <c r="D14" s="27">
        <v>285000.45</v>
      </c>
      <c r="E14" s="27">
        <f>D14-C14</f>
        <v>-15519883</v>
      </c>
    </row>
    <row r="15" spans="1:5">
      <c r="A15" s="231">
        <f t="shared" si="0"/>
        <v>4</v>
      </c>
      <c r="B15" s="232" t="s">
        <v>375</v>
      </c>
      <c r="C15" s="235">
        <v>11562467.33</v>
      </c>
      <c r="D15" s="235">
        <v>10386710.220000001</v>
      </c>
      <c r="E15" s="235">
        <f>D15-C15</f>
        <v>-1175757.1099999994</v>
      </c>
    </row>
    <row r="16" spans="1:5">
      <c r="A16" s="231">
        <f t="shared" si="0"/>
        <v>5</v>
      </c>
      <c r="B16" s="232"/>
      <c r="C16" s="27">
        <f>SUM(C14:C15)</f>
        <v>27367350.780000001</v>
      </c>
      <c r="D16" s="27">
        <f>SUM(D14:D15)</f>
        <v>10671710.67</v>
      </c>
      <c r="E16" s="27">
        <f>SUM(E14:E15)</f>
        <v>-16695640.109999999</v>
      </c>
    </row>
    <row r="17" spans="1:5">
      <c r="A17" s="231">
        <f t="shared" si="0"/>
        <v>6</v>
      </c>
      <c r="B17" s="232"/>
      <c r="C17" s="234"/>
      <c r="D17" s="234"/>
      <c r="E17" s="234"/>
    </row>
    <row r="18" spans="1:5">
      <c r="A18" s="231">
        <f t="shared" si="0"/>
        <v>7</v>
      </c>
      <c r="B18" s="236" t="s">
        <v>376</v>
      </c>
      <c r="C18" s="237">
        <f>+C16+C12</f>
        <v>200710321.59999999</v>
      </c>
      <c r="D18" s="237">
        <f>+D16+D12</f>
        <v>31604966.242436662</v>
      </c>
      <c r="E18" s="237">
        <f>SUM(E12:E15)</f>
        <v>-169105355.35756332</v>
      </c>
    </row>
    <row r="19" spans="1:5">
      <c r="A19" s="231">
        <f t="shared" si="0"/>
        <v>8</v>
      </c>
      <c r="B19" s="232"/>
      <c r="C19" s="238"/>
      <c r="D19" s="238"/>
      <c r="E19" s="238"/>
    </row>
    <row r="20" spans="1:5">
      <c r="A20" s="231">
        <f t="shared" si="0"/>
        <v>9</v>
      </c>
      <c r="B20" s="239" t="s">
        <v>377</v>
      </c>
      <c r="C20" s="252">
        <v>212821383.90000001</v>
      </c>
      <c r="D20" s="252">
        <v>202456333.24282211</v>
      </c>
      <c r="E20" s="252">
        <f>D20-C20</f>
        <v>-10365050.657177895</v>
      </c>
    </row>
    <row r="21" spans="1:5">
      <c r="A21" s="231">
        <f t="shared" si="0"/>
        <v>10</v>
      </c>
      <c r="B21" s="239"/>
      <c r="C21" s="242"/>
      <c r="D21" s="242"/>
      <c r="E21" s="242"/>
    </row>
    <row r="22" spans="1:5">
      <c r="A22" s="231">
        <f t="shared" si="0"/>
        <v>11</v>
      </c>
      <c r="B22" s="239" t="s">
        <v>378</v>
      </c>
      <c r="C22" s="27">
        <v>888547930.78999996</v>
      </c>
      <c r="D22" s="255">
        <v>621089119.62787199</v>
      </c>
      <c r="E22" s="253">
        <f>D22-C22</f>
        <v>-267458811.16212797</v>
      </c>
    </row>
    <row r="23" spans="1:5">
      <c r="A23" s="231">
        <f t="shared" si="0"/>
        <v>12</v>
      </c>
      <c r="B23" s="239" t="s">
        <v>379</v>
      </c>
      <c r="C23" s="27"/>
      <c r="D23" s="255">
        <v>305917.28999999998</v>
      </c>
      <c r="E23" s="253">
        <f>D23-C23</f>
        <v>305917.28999999998</v>
      </c>
    </row>
    <row r="24" spans="1:5">
      <c r="A24" s="231">
        <f t="shared" si="0"/>
        <v>13</v>
      </c>
      <c r="B24" s="239" t="s">
        <v>380</v>
      </c>
      <c r="C24" s="235">
        <v>0</v>
      </c>
      <c r="D24" s="256">
        <v>-5256620.7213047091</v>
      </c>
      <c r="E24" s="235">
        <f>D24-C24</f>
        <v>-5256620.7213047091</v>
      </c>
    </row>
    <row r="25" spans="1:5">
      <c r="A25" s="231">
        <f t="shared" si="0"/>
        <v>14</v>
      </c>
      <c r="B25" s="239" t="s">
        <v>381</v>
      </c>
      <c r="C25" s="240">
        <f>SUM(C22:C24)</f>
        <v>888547930.78999996</v>
      </c>
      <c r="D25" s="240">
        <f>SUM(D22:D24)</f>
        <v>616138416.1965673</v>
      </c>
      <c r="E25" s="240">
        <f>SUM(E22:E24)</f>
        <v>-272409514.59343266</v>
      </c>
    </row>
    <row r="26" spans="1:5">
      <c r="A26" s="231">
        <f t="shared" si="0"/>
        <v>15</v>
      </c>
      <c r="B26" s="239" t="s">
        <v>382</v>
      </c>
      <c r="C26" s="27">
        <v>68962374.826666668</v>
      </c>
      <c r="D26" s="350">
        <v>74402074.860983178</v>
      </c>
      <c r="E26" s="27">
        <f>D26-C26</f>
        <v>5439700.03431651</v>
      </c>
    </row>
    <row r="27" spans="1:5">
      <c r="A27" s="231">
        <f t="shared" si="0"/>
        <v>16</v>
      </c>
      <c r="B27" s="232"/>
      <c r="C27" s="27"/>
      <c r="D27" s="27"/>
      <c r="E27" s="241">
        <f>D27-C27</f>
        <v>0</v>
      </c>
    </row>
    <row r="28" spans="1:5">
      <c r="A28" s="231">
        <f t="shared" si="0"/>
        <v>17</v>
      </c>
      <c r="B28" s="232" t="s">
        <v>383</v>
      </c>
      <c r="C28" s="242">
        <f>C20+C25+C26+C27</f>
        <v>1170331689.5166667</v>
      </c>
      <c r="D28" s="242">
        <f>D20+D25+D26+D27</f>
        <v>892996824.3003726</v>
      </c>
      <c r="E28" s="242">
        <f>E20+E25+E26+E27</f>
        <v>-277334865.21629405</v>
      </c>
    </row>
    <row r="29" spans="1:5">
      <c r="A29" s="231">
        <f t="shared" si="0"/>
        <v>18</v>
      </c>
      <c r="B29" s="243" t="s">
        <v>384</v>
      </c>
      <c r="C29" s="241">
        <v>92332638</v>
      </c>
      <c r="D29" s="241">
        <v>89008349.674618378</v>
      </c>
      <c r="E29" s="241">
        <f>D29-C29</f>
        <v>-3324288.3253816217</v>
      </c>
    </row>
    <row r="30" spans="1:5">
      <c r="A30" s="231">
        <f t="shared" si="0"/>
        <v>19</v>
      </c>
      <c r="B30" s="239" t="s">
        <v>385</v>
      </c>
      <c r="C30" s="235">
        <v>1497265.75</v>
      </c>
      <c r="D30" s="235">
        <v>1497266</v>
      </c>
      <c r="E30" s="235">
        <f>D30-C30</f>
        <v>0.25</v>
      </c>
    </row>
    <row r="31" spans="1:5">
      <c r="A31" s="231">
        <f t="shared" si="0"/>
        <v>20</v>
      </c>
      <c r="B31" s="232"/>
      <c r="C31" s="232"/>
      <c r="D31" s="232"/>
      <c r="E31" s="244"/>
    </row>
    <row r="32" spans="1:5">
      <c r="A32" s="231">
        <f t="shared" si="0"/>
        <v>21</v>
      </c>
      <c r="B32" s="236" t="s">
        <v>386</v>
      </c>
      <c r="C32" s="240">
        <f>SUM(C28:C30)</f>
        <v>1264161593.2666667</v>
      </c>
      <c r="D32" s="240">
        <f>SUM(D28:D30)</f>
        <v>983502439.97499096</v>
      </c>
      <c r="E32" s="707">
        <f>SUM(E28:E30)</f>
        <v>-280659153.29167569</v>
      </c>
    </row>
    <row r="33" spans="1:5">
      <c r="A33" s="231">
        <f t="shared" si="0"/>
        <v>22</v>
      </c>
      <c r="B33" s="232"/>
      <c r="C33" s="238"/>
      <c r="D33" s="238"/>
      <c r="E33" s="238"/>
    </row>
    <row r="34" spans="1:5" ht="16.5" thickBot="1">
      <c r="A34" s="231">
        <f t="shared" si="0"/>
        <v>23</v>
      </c>
      <c r="B34" s="239" t="str">
        <f>"INCREASE (DECREASE) OPERATING INCOME (LINE "&amp;A18&amp;" - LINE "&amp;A32&amp;")"</f>
        <v>INCREASE (DECREASE) OPERATING INCOME (LINE 7 - LINE 21)</v>
      </c>
      <c r="C34" s="355">
        <f>C18-C32</f>
        <v>-1063451271.6666666</v>
      </c>
      <c r="D34" s="355">
        <f>D18-D32</f>
        <v>-951897473.73255432</v>
      </c>
      <c r="E34" s="355">
        <f>E18-E32</f>
        <v>111553797.93411237</v>
      </c>
    </row>
    <row r="35" spans="1:5" ht="16.5" thickTop="1">
      <c r="A35" s="231">
        <f t="shared" si="0"/>
        <v>24</v>
      </c>
      <c r="B35" s="232"/>
      <c r="C35" s="237"/>
      <c r="D35" s="237"/>
      <c r="E35" s="232"/>
    </row>
    <row r="36" spans="1:5">
      <c r="A36" s="231">
        <f t="shared" si="0"/>
        <v>25</v>
      </c>
      <c r="B36" s="232" t="str">
        <f>"REDUCTION TO STATE UTILITY TAX SAVINGS FOR LINE "&amp;A15</f>
        <v>REDUCTION TO STATE UTILITY TAX SAVINGS FOR LINE 4</v>
      </c>
      <c r="C36" s="245">
        <f>+'Conv Fact P2.48'!D17</f>
        <v>3.8730000000000001E-2</v>
      </c>
      <c r="D36" s="232"/>
      <c r="E36" s="246">
        <f>E15*C36</f>
        <v>-45537.072870299977</v>
      </c>
    </row>
    <row r="37" spans="1:5">
      <c r="A37" s="231">
        <f t="shared" si="0"/>
        <v>26</v>
      </c>
      <c r="B37" s="236" t="s">
        <v>297</v>
      </c>
      <c r="C37" s="247"/>
      <c r="D37" s="247"/>
      <c r="E37" s="248">
        <f>E34-E36</f>
        <v>111599335.00698267</v>
      </c>
    </row>
    <row r="38" spans="1:5">
      <c r="A38" s="231">
        <f t="shared" si="0"/>
        <v>27</v>
      </c>
      <c r="B38" s="236" t="s">
        <v>259</v>
      </c>
      <c r="C38" s="249">
        <f>FIT</f>
        <v>0.35</v>
      </c>
      <c r="D38" s="67"/>
      <c r="E38" s="27">
        <f>E37*FIT</f>
        <v>39059767.252443932</v>
      </c>
    </row>
    <row r="39" spans="1:5" ht="16.5" thickBot="1">
      <c r="A39" s="231">
        <f t="shared" si="0"/>
        <v>28</v>
      </c>
      <c r="B39" s="236" t="s">
        <v>240</v>
      </c>
      <c r="C39" s="247" t="s">
        <v>60</v>
      </c>
      <c r="D39" s="250"/>
      <c r="E39" s="251">
        <f>+E37-E38</f>
        <v>72539567.754538745</v>
      </c>
    </row>
    <row r="40" spans="1:5" ht="16.5" thickTop="1">
      <c r="C40" s="197"/>
      <c r="D40" s="197"/>
      <c r="E40" s="197"/>
    </row>
  </sheetData>
  <pageMargins left="0.7" right="0.7" top="0.75" bottom="0.75" header="0.75" footer="0.3"/>
  <pageSetup scale="68" orientation="portrait" r:id="rId1"/>
  <headerFooter>
    <oddHeader>&amp;R&amp;"Times New Roman,Regular"&amp;12Exhibit KHB-2
Page 2.10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0"/>
  <sheetViews>
    <sheetView zoomScaleNormal="100" workbookViewId="0">
      <selection activeCell="B52" sqref="B52"/>
    </sheetView>
  </sheetViews>
  <sheetFormatPr defaultColWidth="9.140625" defaultRowHeight="15.75"/>
  <cols>
    <col min="1" max="1" width="7.42578125" style="2" customWidth="1"/>
    <col min="2" max="2" width="52.5703125" style="2" customWidth="1"/>
    <col min="3" max="3" width="23.7109375" style="2" customWidth="1"/>
    <col min="4" max="4" width="20.140625" style="2" customWidth="1"/>
    <col min="5" max="5" width="4.7109375" style="2" customWidth="1"/>
    <col min="6" max="16384" width="9.140625" style="2"/>
  </cols>
  <sheetData>
    <row r="1" spans="1:5">
      <c r="A1" s="2" t="str">
        <f>CO</f>
        <v>Puget Sound Energy</v>
      </c>
    </row>
    <row r="2" spans="1:5">
      <c r="A2" s="2" t="str">
        <f>DOCKET</f>
        <v>Docket UE-090704/UG-090705</v>
      </c>
    </row>
    <row r="4" spans="1:5">
      <c r="A4" s="218" t="s">
        <v>201</v>
      </c>
      <c r="B4" s="219"/>
      <c r="C4" s="219"/>
      <c r="D4" s="655"/>
      <c r="E4" s="258"/>
    </row>
    <row r="5" spans="1:5">
      <c r="A5" s="218" t="s">
        <v>616</v>
      </c>
      <c r="B5" s="219"/>
      <c r="C5" s="219"/>
      <c r="D5" s="655"/>
      <c r="E5" s="258"/>
    </row>
    <row r="6" spans="1:5">
      <c r="A6" s="219" t="str">
        <f>TY</f>
        <v>FOR THE TWELVE MONTHS ENDED DECEMBER 31, 2008</v>
      </c>
      <c r="B6" s="219"/>
      <c r="C6" s="219"/>
      <c r="D6" s="655"/>
      <c r="E6" s="258"/>
    </row>
    <row r="7" spans="1:5">
      <c r="A7" s="218" t="s">
        <v>205</v>
      </c>
      <c r="B7" s="218"/>
      <c r="C7" s="218"/>
      <c r="D7" s="655"/>
      <c r="E7" s="257"/>
    </row>
    <row r="8" spans="1:5">
      <c r="A8" s="220"/>
      <c r="B8" s="223"/>
      <c r="C8" s="223"/>
      <c r="D8" s="656"/>
      <c r="E8" s="259"/>
    </row>
    <row r="9" spans="1:5">
      <c r="A9" s="222" t="s">
        <v>208</v>
      </c>
      <c r="B9" s="220"/>
      <c r="C9" s="232"/>
      <c r="D9" s="657"/>
      <c r="E9" s="263"/>
    </row>
    <row r="10" spans="1:5">
      <c r="A10" s="226" t="s">
        <v>215</v>
      </c>
      <c r="B10" s="348" t="s">
        <v>216</v>
      </c>
      <c r="C10" s="473"/>
      <c r="D10" s="658" t="s">
        <v>219</v>
      </c>
      <c r="E10" s="263"/>
    </row>
    <row r="11" spans="1:5">
      <c r="A11" s="229"/>
      <c r="B11" s="232"/>
      <c r="C11" s="352"/>
      <c r="D11" s="68"/>
      <c r="E11" s="265"/>
    </row>
    <row r="12" spans="1:5">
      <c r="A12" s="231">
        <v>1</v>
      </c>
      <c r="B12" s="352" t="s">
        <v>387</v>
      </c>
      <c r="C12" s="659"/>
      <c r="D12" s="581">
        <v>22313583</v>
      </c>
      <c r="E12" s="233"/>
    </row>
    <row r="13" spans="1:5">
      <c r="A13" s="231">
        <f t="shared" ref="A13:A31" si="0">A12+1</f>
        <v>2</v>
      </c>
      <c r="B13" s="236"/>
      <c r="C13" s="236"/>
      <c r="D13" s="660"/>
      <c r="E13" s="27"/>
    </row>
    <row r="14" spans="1:5">
      <c r="A14" s="231">
        <f t="shared" si="0"/>
        <v>3</v>
      </c>
      <c r="B14" s="490" t="s">
        <v>388</v>
      </c>
      <c r="C14" s="353">
        <f>FIT</f>
        <v>0.35</v>
      </c>
      <c r="D14" s="661">
        <f>+D12*C14</f>
        <v>7809754.0499999998</v>
      </c>
      <c r="E14" s="27"/>
    </row>
    <row r="15" spans="1:5">
      <c r="A15" s="231">
        <f t="shared" si="0"/>
        <v>4</v>
      </c>
      <c r="B15" s="236" t="s">
        <v>389</v>
      </c>
      <c r="C15" s="232"/>
      <c r="D15" s="662">
        <f>+D14</f>
        <v>7809754.0499999998</v>
      </c>
      <c r="E15" s="27"/>
    </row>
    <row r="16" spans="1:5">
      <c r="A16" s="231">
        <f t="shared" si="0"/>
        <v>5</v>
      </c>
      <c r="B16" s="236"/>
      <c r="C16" s="236"/>
      <c r="D16" s="660"/>
      <c r="E16" s="27"/>
    </row>
    <row r="17" spans="1:5">
      <c r="A17" s="231">
        <f t="shared" si="0"/>
        <v>6</v>
      </c>
      <c r="B17" s="232" t="s">
        <v>390</v>
      </c>
      <c r="C17" s="232"/>
      <c r="D17" s="662">
        <v>81055294</v>
      </c>
      <c r="E17" s="27"/>
    </row>
    <row r="18" spans="1:5">
      <c r="A18" s="231">
        <f t="shared" si="0"/>
        <v>7</v>
      </c>
      <c r="B18" s="232" t="s">
        <v>391</v>
      </c>
      <c r="C18" s="232"/>
      <c r="D18" s="663">
        <v>-33678366</v>
      </c>
      <c r="E18" s="268"/>
    </row>
    <row r="19" spans="1:5">
      <c r="A19" s="231">
        <f t="shared" si="0"/>
        <v>8</v>
      </c>
      <c r="B19" s="232" t="s">
        <v>392</v>
      </c>
      <c r="C19" s="232"/>
      <c r="D19" s="661">
        <v>0</v>
      </c>
      <c r="E19" s="243"/>
    </row>
    <row r="20" spans="1:5">
      <c r="A20" s="231">
        <f t="shared" si="0"/>
        <v>9</v>
      </c>
      <c r="B20" s="232" t="s">
        <v>393</v>
      </c>
      <c r="C20" s="232"/>
      <c r="D20" s="662">
        <f>SUM(D15:D19)</f>
        <v>55186682.049999997</v>
      </c>
      <c r="E20" s="248"/>
    </row>
    <row r="21" spans="1:5">
      <c r="A21" s="231">
        <f t="shared" si="0"/>
        <v>10</v>
      </c>
      <c r="B21" s="232"/>
      <c r="C21" s="232"/>
      <c r="D21" s="660"/>
      <c r="E21" s="248"/>
    </row>
    <row r="22" spans="1:5">
      <c r="A22" s="231">
        <f t="shared" si="0"/>
        <v>11</v>
      </c>
      <c r="B22" s="232" t="s">
        <v>394</v>
      </c>
      <c r="C22" s="232"/>
      <c r="D22" s="660"/>
      <c r="E22" s="253"/>
    </row>
    <row r="23" spans="1:5">
      <c r="A23" s="231">
        <f t="shared" si="0"/>
        <v>12</v>
      </c>
      <c r="B23" s="236" t="s">
        <v>389</v>
      </c>
      <c r="C23" s="581">
        <v>4629482</v>
      </c>
      <c r="D23" s="660"/>
      <c r="E23" s="253"/>
    </row>
    <row r="24" spans="1:5">
      <c r="A24" s="231">
        <f t="shared" si="0"/>
        <v>13</v>
      </c>
      <c r="B24" s="232" t="s">
        <v>390</v>
      </c>
      <c r="C24" s="241">
        <v>95224301.4208</v>
      </c>
      <c r="D24" s="660"/>
      <c r="E24" s="27"/>
    </row>
    <row r="25" spans="1:5">
      <c r="A25" s="231">
        <f t="shared" si="0"/>
        <v>14</v>
      </c>
      <c r="B25" s="232" t="s">
        <v>391</v>
      </c>
      <c r="C25" s="241">
        <v>-64901149.240199998</v>
      </c>
      <c r="D25" s="660"/>
      <c r="E25" s="233"/>
    </row>
    <row r="26" spans="1:5">
      <c r="A26" s="231">
        <f t="shared" si="0"/>
        <v>15</v>
      </c>
      <c r="B26" s="232" t="s">
        <v>395</v>
      </c>
      <c r="C26" s="235">
        <v>0</v>
      </c>
      <c r="D26" s="660"/>
      <c r="E26" s="27"/>
    </row>
    <row r="27" spans="1:5">
      <c r="A27" s="231">
        <f t="shared" si="0"/>
        <v>16</v>
      </c>
      <c r="B27" s="236" t="s">
        <v>396</v>
      </c>
      <c r="C27" s="243"/>
      <c r="D27" s="664">
        <f>SUM(C23:C26)</f>
        <v>34952634.180600002</v>
      </c>
      <c r="E27" s="27"/>
    </row>
    <row r="28" spans="1:5">
      <c r="A28" s="231">
        <f t="shared" si="0"/>
        <v>17</v>
      </c>
      <c r="B28" s="232"/>
      <c r="C28" s="665"/>
      <c r="D28" s="660"/>
      <c r="E28" s="248"/>
    </row>
    <row r="29" spans="1:5">
      <c r="A29" s="231">
        <f t="shared" si="0"/>
        <v>18</v>
      </c>
      <c r="B29" s="236" t="s">
        <v>397</v>
      </c>
      <c r="C29" s="236"/>
      <c r="D29" s="73">
        <f>D15-C23</f>
        <v>3180272.05</v>
      </c>
      <c r="E29" s="27"/>
    </row>
    <row r="30" spans="1:5">
      <c r="A30" s="231">
        <f t="shared" si="0"/>
        <v>19</v>
      </c>
      <c r="B30" s="236" t="s">
        <v>398</v>
      </c>
      <c r="C30" s="232"/>
      <c r="D30" s="666">
        <f>D17+D18+D19-C24-C25-C26</f>
        <v>17053775.819399998</v>
      </c>
      <c r="E30" s="27"/>
    </row>
    <row r="31" spans="1:5" ht="16.5" thickBot="1">
      <c r="A31" s="231">
        <f t="shared" si="0"/>
        <v>20</v>
      </c>
      <c r="B31" s="236" t="s">
        <v>399</v>
      </c>
      <c r="C31" s="236"/>
      <c r="D31" s="667">
        <f>-SUM(D29:D30)</f>
        <v>-20234047.869399998</v>
      </c>
      <c r="E31" s="271"/>
    </row>
    <row r="32" spans="1:5" ht="16.5" thickTop="1">
      <c r="A32" s="266"/>
      <c r="B32" s="267"/>
      <c r="C32" s="233"/>
      <c r="D32" s="233"/>
      <c r="E32" s="233"/>
    </row>
    <row r="33" spans="1:5">
      <c r="A33" s="266"/>
      <c r="B33" s="243"/>
      <c r="C33" s="243"/>
      <c r="D33" s="243"/>
      <c r="E33" s="243"/>
    </row>
    <row r="34" spans="1:5">
      <c r="A34" s="266"/>
      <c r="B34" s="269"/>
      <c r="C34" s="233"/>
      <c r="D34" s="233"/>
      <c r="E34" s="233"/>
    </row>
    <row r="35" spans="1:5">
      <c r="A35" s="266"/>
      <c r="B35" s="243"/>
      <c r="C35" s="268"/>
      <c r="D35" s="268"/>
      <c r="E35" s="243"/>
    </row>
    <row r="36" spans="1:5">
      <c r="A36" s="266"/>
      <c r="B36" s="243"/>
      <c r="C36" s="272"/>
      <c r="D36" s="243"/>
      <c r="E36" s="273"/>
    </row>
    <row r="37" spans="1:5">
      <c r="A37" s="266"/>
      <c r="B37" s="267"/>
      <c r="C37" s="274"/>
      <c r="D37" s="274"/>
      <c r="E37" s="248"/>
    </row>
    <row r="38" spans="1:5">
      <c r="A38" s="266"/>
      <c r="B38" s="267"/>
      <c r="C38" s="275"/>
      <c r="D38" s="276"/>
      <c r="E38" s="27"/>
    </row>
    <row r="39" spans="1:5">
      <c r="A39" s="266"/>
      <c r="B39" s="267"/>
      <c r="C39" s="274"/>
      <c r="D39" s="277"/>
      <c r="E39" s="248"/>
    </row>
    <row r="40" spans="1:5">
      <c r="C40" s="197"/>
      <c r="D40" s="197"/>
      <c r="E40" s="197"/>
    </row>
  </sheetData>
  <pageMargins left="0.7" right="0.7" top="0.75" bottom="0.75" header="0.7" footer="0.3"/>
  <pageSetup scale="87" orientation="portrait" r:id="rId1"/>
  <headerFooter>
    <oddHeader>&amp;R&amp;"Times New Roman,Regular"&amp;12Exhibit KHB-2
Page 2.11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9"/>
  <sheetViews>
    <sheetView topLeftCell="A6" zoomScaleNormal="100" workbookViewId="0">
      <selection activeCell="B52" sqref="B52"/>
    </sheetView>
  </sheetViews>
  <sheetFormatPr defaultColWidth="9.140625" defaultRowHeight="15.75"/>
  <cols>
    <col min="1" max="1" width="9.140625" style="2"/>
    <col min="2" max="2" width="49.85546875" style="2" customWidth="1"/>
    <col min="3" max="3" width="22" style="2" customWidth="1"/>
    <col min="4" max="4" width="26" style="2" customWidth="1"/>
    <col min="5" max="16384" width="9.140625" style="2"/>
  </cols>
  <sheetData>
    <row r="1" spans="1:4">
      <c r="A1" s="2" t="str">
        <f>CO</f>
        <v>Puget Sound Energy</v>
      </c>
    </row>
    <row r="2" spans="1:4">
      <c r="A2" s="2" t="str">
        <f>DOCKET</f>
        <v>Docket UE-090704/UG-090705</v>
      </c>
    </row>
    <row r="4" spans="1:4">
      <c r="A4" s="46" t="s">
        <v>201</v>
      </c>
      <c r="B4" s="38"/>
      <c r="C4" s="38"/>
      <c r="D4" s="38"/>
    </row>
    <row r="5" spans="1:4">
      <c r="A5" s="46" t="s">
        <v>617</v>
      </c>
      <c r="B5" s="38"/>
      <c r="C5" s="38"/>
      <c r="D5" s="47"/>
    </row>
    <row r="6" spans="1:4">
      <c r="A6" s="38" t="str">
        <f>TY</f>
        <v>FOR THE TWELVE MONTHS ENDED DECEMBER 31, 2008</v>
      </c>
      <c r="B6" s="38"/>
      <c r="C6" s="38"/>
      <c r="D6" s="48"/>
    </row>
    <row r="7" spans="1:4">
      <c r="A7" s="46" t="s">
        <v>205</v>
      </c>
      <c r="B7" s="38"/>
      <c r="C7" s="38"/>
      <c r="D7" s="48"/>
    </row>
    <row r="8" spans="1:4">
      <c r="A8" s="49"/>
      <c r="B8" s="130"/>
      <c r="C8" s="56"/>
      <c r="D8" s="56"/>
    </row>
    <row r="9" spans="1:4">
      <c r="A9" s="51" t="s">
        <v>208</v>
      </c>
      <c r="B9" s="49"/>
      <c r="C9" s="49"/>
      <c r="D9" s="51" t="s">
        <v>60</v>
      </c>
    </row>
    <row r="10" spans="1:4">
      <c r="A10" s="53" t="s">
        <v>215</v>
      </c>
      <c r="B10" s="101" t="s">
        <v>216</v>
      </c>
      <c r="C10" s="53"/>
      <c r="D10" s="53" t="s">
        <v>219</v>
      </c>
    </row>
    <row r="11" spans="1:4">
      <c r="A11" s="96"/>
      <c r="B11" s="131"/>
      <c r="C11" s="132"/>
      <c r="D11" s="133"/>
    </row>
    <row r="12" spans="1:4">
      <c r="A12" s="57">
        <v>1</v>
      </c>
      <c r="B12" s="131" t="s">
        <v>229</v>
      </c>
      <c r="C12" s="280">
        <f>+'EXH KBH-2 P2.7'!H51</f>
        <v>3747871751.2125425</v>
      </c>
      <c r="D12" s="133" t="s">
        <v>60</v>
      </c>
    </row>
    <row r="13" spans="1:4">
      <c r="A13" s="57">
        <f t="shared" ref="A13:A33" si="0">A12+1</f>
        <v>2</v>
      </c>
      <c r="B13" s="131" t="s">
        <v>60</v>
      </c>
      <c r="C13" s="134" t="s">
        <v>60</v>
      </c>
      <c r="D13" s="72"/>
    </row>
    <row r="14" spans="1:4">
      <c r="A14" s="57">
        <f t="shared" si="0"/>
        <v>3</v>
      </c>
      <c r="B14" s="135" t="s">
        <v>239</v>
      </c>
      <c r="C14" s="281">
        <f>SUM(C12:C13)</f>
        <v>3747871751.2125425</v>
      </c>
      <c r="D14" s="72"/>
    </row>
    <row r="15" spans="1:4">
      <c r="A15" s="57">
        <f t="shared" si="0"/>
        <v>4</v>
      </c>
      <c r="B15" s="135"/>
      <c r="C15" s="135"/>
      <c r="D15" s="135"/>
    </row>
    <row r="16" spans="1:4">
      <c r="A16" s="57">
        <f t="shared" si="0"/>
        <v>5</v>
      </c>
      <c r="B16" s="131" t="s">
        <v>246</v>
      </c>
      <c r="C16" s="282">
        <f>+'Capital P2.47'!E16+'Capital P2.47'!E17</f>
        <v>3.39E-2</v>
      </c>
      <c r="D16" s="136" t="s">
        <v>60</v>
      </c>
    </row>
    <row r="17" spans="1:4">
      <c r="A17" s="57">
        <f t="shared" si="0"/>
        <v>6</v>
      </c>
      <c r="B17" s="131" t="s">
        <v>253</v>
      </c>
      <c r="C17" s="135"/>
      <c r="D17" s="283">
        <f>+C14*C16</f>
        <v>127052852.36610518</v>
      </c>
    </row>
    <row r="18" spans="1:4">
      <c r="A18" s="57">
        <f t="shared" si="0"/>
        <v>7</v>
      </c>
      <c r="B18" s="131"/>
      <c r="C18" s="137"/>
      <c r="D18" s="138"/>
    </row>
    <row r="19" spans="1:4">
      <c r="A19" s="57">
        <f t="shared" si="0"/>
        <v>8</v>
      </c>
      <c r="B19" s="135"/>
      <c r="C19" s="135"/>
      <c r="D19" s="136"/>
    </row>
    <row r="20" spans="1:4">
      <c r="A20" s="57">
        <f t="shared" si="0"/>
        <v>9</v>
      </c>
      <c r="B20" s="139" t="s">
        <v>264</v>
      </c>
      <c r="C20" s="137"/>
      <c r="D20" s="136"/>
    </row>
    <row r="21" spans="1:4">
      <c r="A21" s="57">
        <f t="shared" si="0"/>
        <v>10</v>
      </c>
      <c r="B21" s="135" t="s">
        <v>268</v>
      </c>
      <c r="C21" s="140">
        <v>118050837.06</v>
      </c>
      <c r="D21" s="136"/>
    </row>
    <row r="22" spans="1:4">
      <c r="A22" s="57">
        <f t="shared" si="0"/>
        <v>11</v>
      </c>
      <c r="B22" s="135" t="s">
        <v>271</v>
      </c>
      <c r="C22" s="135"/>
      <c r="D22" s="136"/>
    </row>
    <row r="23" spans="1:4">
      <c r="A23" s="57">
        <f t="shared" si="0"/>
        <v>12</v>
      </c>
      <c r="B23" s="135" t="s">
        <v>274</v>
      </c>
      <c r="C23" s="134">
        <v>2191065.2799999998</v>
      </c>
      <c r="D23" s="136"/>
    </row>
    <row r="24" spans="1:4">
      <c r="A24" s="57">
        <f t="shared" si="0"/>
        <v>13</v>
      </c>
      <c r="B24" s="135" t="s">
        <v>278</v>
      </c>
      <c r="C24" s="134"/>
      <c r="D24" s="136"/>
    </row>
    <row r="25" spans="1:4">
      <c r="A25" s="57">
        <f t="shared" si="0"/>
        <v>14</v>
      </c>
      <c r="B25" s="141" t="s">
        <v>282</v>
      </c>
      <c r="C25" s="134">
        <v>526222.13</v>
      </c>
      <c r="D25" s="136"/>
    </row>
    <row r="26" spans="1:4">
      <c r="A26" s="57">
        <f t="shared" si="0"/>
        <v>15</v>
      </c>
      <c r="B26" s="135" t="s">
        <v>286</v>
      </c>
      <c r="C26" s="134">
        <v>8798451.5800000001</v>
      </c>
      <c r="D26" s="136"/>
    </row>
    <row r="27" spans="1:4">
      <c r="A27" s="57">
        <f t="shared" si="0"/>
        <v>16</v>
      </c>
      <c r="B27" s="88" t="s">
        <v>292</v>
      </c>
      <c r="C27" s="42">
        <f>-'EXH KBH-2 P2.4'!H28</f>
        <v>-61479.013170731705</v>
      </c>
      <c r="D27" s="136"/>
    </row>
    <row r="28" spans="1:4">
      <c r="A28" s="57">
        <f t="shared" si="0"/>
        <v>17</v>
      </c>
      <c r="B28" s="135" t="s">
        <v>295</v>
      </c>
      <c r="C28" s="142"/>
      <c r="D28" s="42">
        <f>SUM(C21:C27)</f>
        <v>129505097.03682926</v>
      </c>
    </row>
    <row r="29" spans="1:4">
      <c r="A29" s="57">
        <f t="shared" si="0"/>
        <v>18</v>
      </c>
      <c r="B29" s="135"/>
      <c r="C29" s="135"/>
      <c r="D29" s="142"/>
    </row>
    <row r="30" spans="1:4">
      <c r="A30" s="57">
        <f t="shared" si="0"/>
        <v>19</v>
      </c>
      <c r="B30" s="135" t="s">
        <v>297</v>
      </c>
      <c r="C30" s="72"/>
      <c r="D30" s="284">
        <f>-D17+D28-C30</f>
        <v>2452244.670724079</v>
      </c>
    </row>
    <row r="31" spans="1:4">
      <c r="A31" s="57">
        <f t="shared" si="0"/>
        <v>20</v>
      </c>
      <c r="B31" s="135"/>
      <c r="C31" s="143"/>
      <c r="D31" s="133" t="s">
        <v>60</v>
      </c>
    </row>
    <row r="32" spans="1:4">
      <c r="A32" s="57">
        <f t="shared" si="0"/>
        <v>21</v>
      </c>
      <c r="B32" s="135" t="s">
        <v>262</v>
      </c>
      <c r="C32" s="106">
        <f>FIT</f>
        <v>0.35</v>
      </c>
      <c r="D32" s="75">
        <f>+D30*FIT</f>
        <v>858285.63475342758</v>
      </c>
    </row>
    <row r="33" spans="1:4" ht="16.5" thickBot="1">
      <c r="A33" s="57">
        <f t="shared" si="0"/>
        <v>22</v>
      </c>
      <c r="B33" s="135" t="s">
        <v>240</v>
      </c>
      <c r="C33" s="135"/>
      <c r="D33" s="285">
        <f>-D32</f>
        <v>-858285.63475342758</v>
      </c>
    </row>
    <row r="34" spans="1:4" ht="16.5" thickTop="1">
      <c r="A34" s="57"/>
      <c r="B34" s="58"/>
      <c r="C34" s="58"/>
      <c r="D34" s="58"/>
    </row>
    <row r="35" spans="1:4">
      <c r="A35" s="88"/>
      <c r="B35" s="58"/>
      <c r="C35" s="144"/>
      <c r="D35" s="136"/>
    </row>
    <row r="36" spans="1:4">
      <c r="A36" s="76"/>
      <c r="B36" s="58"/>
      <c r="C36" s="144"/>
      <c r="D36" s="136"/>
    </row>
    <row r="39" spans="1:4" ht="19.5" customHeight="1"/>
  </sheetData>
  <pageMargins left="0.7" right="0.7" top="0.75" bottom="0.75" header="0.75" footer="0.3"/>
  <pageSetup scale="84" orientation="portrait" r:id="rId1"/>
  <headerFooter>
    <oddHeader>&amp;R&amp;"Times New Roman,Regular"&amp;12Exhibit KHB-2
Page 2.12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4"/>
  <sheetViews>
    <sheetView topLeftCell="A24" zoomScaleNormal="100" workbookViewId="0">
      <selection activeCell="B52" sqref="B52"/>
    </sheetView>
  </sheetViews>
  <sheetFormatPr defaultColWidth="9.140625" defaultRowHeight="15.75"/>
  <cols>
    <col min="1" max="1" width="7.42578125" style="2" customWidth="1"/>
    <col min="2" max="2" width="56.5703125" style="2" customWidth="1"/>
    <col min="3" max="3" width="12.7109375" style="2" bestFit="1" customWidth="1"/>
    <col min="4" max="4" width="14" style="2" bestFit="1" customWidth="1"/>
    <col min="5" max="5" width="15.5703125" style="2" bestFit="1" customWidth="1"/>
    <col min="6" max="16384" width="9.140625" style="2"/>
  </cols>
  <sheetData>
    <row r="1" spans="1:5">
      <c r="A1" s="2" t="str">
        <f>CO</f>
        <v>Puget Sound Energy</v>
      </c>
    </row>
    <row r="2" spans="1:5">
      <c r="A2" s="2" t="str">
        <f>DOCKET</f>
        <v>Docket UE-090704/UG-090705</v>
      </c>
    </row>
    <row r="4" spans="1:5">
      <c r="A4" s="218" t="s">
        <v>201</v>
      </c>
      <c r="B4" s="344"/>
      <c r="C4" s="469"/>
      <c r="D4" s="469"/>
      <c r="E4" s="469"/>
    </row>
    <row r="5" spans="1:5">
      <c r="A5" s="470" t="s">
        <v>618</v>
      </c>
      <c r="B5" s="344"/>
      <c r="C5" s="469"/>
      <c r="D5" s="469"/>
      <c r="E5" s="469"/>
    </row>
    <row r="6" spans="1:5">
      <c r="A6" s="219" t="s">
        <v>619</v>
      </c>
      <c r="B6" s="344"/>
      <c r="C6" s="469"/>
      <c r="D6" s="469"/>
      <c r="E6" s="469"/>
    </row>
    <row r="7" spans="1:5">
      <c r="A7" s="219" t="s">
        <v>205</v>
      </c>
      <c r="B7" s="344"/>
      <c r="C7" s="469"/>
      <c r="D7" s="469"/>
      <c r="E7" s="469"/>
    </row>
    <row r="8" spans="1:5">
      <c r="A8" s="220"/>
      <c r="B8" s="232"/>
      <c r="C8" s="232"/>
      <c r="D8" s="232"/>
      <c r="E8" s="232"/>
    </row>
    <row r="9" spans="1:5">
      <c r="A9" s="471" t="s">
        <v>208</v>
      </c>
      <c r="B9" s="231"/>
      <c r="C9" s="231" t="s">
        <v>209</v>
      </c>
      <c r="D9" s="231"/>
      <c r="E9" s="231"/>
    </row>
    <row r="10" spans="1:5">
      <c r="A10" s="472" t="s">
        <v>215</v>
      </c>
      <c r="B10" s="473" t="s">
        <v>216</v>
      </c>
      <c r="C10" s="472" t="s">
        <v>220</v>
      </c>
      <c r="D10" s="472" t="s">
        <v>214</v>
      </c>
      <c r="E10" s="472" t="s">
        <v>217</v>
      </c>
    </row>
    <row r="11" spans="1:5">
      <c r="A11" s="232"/>
      <c r="B11" s="255"/>
      <c r="C11" s="255"/>
      <c r="D11" s="255"/>
      <c r="E11" s="255"/>
    </row>
    <row r="12" spans="1:5">
      <c r="A12" s="231">
        <v>1</v>
      </c>
      <c r="B12" s="474" t="s">
        <v>620</v>
      </c>
      <c r="C12" s="475"/>
      <c r="D12" s="475"/>
      <c r="E12" s="475"/>
    </row>
    <row r="13" spans="1:5">
      <c r="A13" s="231">
        <f t="shared" ref="A13:A44" si="0">A12+1</f>
        <v>2</v>
      </c>
      <c r="B13" s="474" t="s">
        <v>621</v>
      </c>
      <c r="C13" s="475"/>
      <c r="D13" s="475"/>
      <c r="E13" s="475"/>
    </row>
    <row r="14" spans="1:5">
      <c r="A14" s="231">
        <f t="shared" si="0"/>
        <v>3</v>
      </c>
      <c r="B14" s="476" t="s">
        <v>622</v>
      </c>
      <c r="C14" s="475">
        <v>4756204.6616666662</v>
      </c>
      <c r="D14" s="475">
        <v>12054738</v>
      </c>
      <c r="E14" s="477">
        <f>D14-C14</f>
        <v>7298533.3383333338</v>
      </c>
    </row>
    <row r="15" spans="1:5">
      <c r="A15" s="231">
        <f t="shared" si="0"/>
        <v>4</v>
      </c>
      <c r="B15" s="476" t="s">
        <v>623</v>
      </c>
      <c r="C15" s="478">
        <v>-43454</v>
      </c>
      <c r="D15" s="478">
        <v>-1110077</v>
      </c>
      <c r="E15" s="479">
        <f>D15-C15</f>
        <v>-1066623</v>
      </c>
    </row>
    <row r="16" spans="1:5">
      <c r="A16" s="231">
        <f t="shared" si="0"/>
        <v>5</v>
      </c>
      <c r="B16" s="476" t="s">
        <v>624</v>
      </c>
      <c r="C16" s="480">
        <v>-123025</v>
      </c>
      <c r="D16" s="480">
        <v>-2279667</v>
      </c>
      <c r="E16" s="481">
        <f>D16-C16</f>
        <v>-2156642</v>
      </c>
    </row>
    <row r="17" spans="1:5" ht="16.5" thickBot="1">
      <c r="A17" s="231">
        <f t="shared" si="0"/>
        <v>6</v>
      </c>
      <c r="B17" s="482" t="s">
        <v>625</v>
      </c>
      <c r="C17" s="483">
        <f>SUM(C14:C16)</f>
        <v>4589725.6616666662</v>
      </c>
      <c r="D17" s="483">
        <f>SUM(D14:D16)</f>
        <v>8664994</v>
      </c>
      <c r="E17" s="483">
        <f>SUM(E14:E16)</f>
        <v>4075268.3383333338</v>
      </c>
    </row>
    <row r="18" spans="1:5" ht="16.5" thickTop="1">
      <c r="A18" s="231">
        <f t="shared" si="0"/>
        <v>7</v>
      </c>
      <c r="B18" s="484"/>
      <c r="C18" s="485"/>
      <c r="D18" s="485"/>
      <c r="E18" s="486"/>
    </row>
    <row r="19" spans="1:5">
      <c r="A19" s="231">
        <f t="shared" si="0"/>
        <v>8</v>
      </c>
      <c r="B19" s="474" t="s">
        <v>626</v>
      </c>
      <c r="C19" s="475"/>
      <c r="D19" s="475"/>
      <c r="E19" s="475"/>
    </row>
    <row r="20" spans="1:5">
      <c r="A20" s="231">
        <f t="shared" si="0"/>
        <v>9</v>
      </c>
      <c r="B20" s="487" t="s">
        <v>570</v>
      </c>
      <c r="C20" s="475">
        <v>200142</v>
      </c>
      <c r="D20" s="475">
        <v>511121</v>
      </c>
      <c r="E20" s="477">
        <f>D20-C20</f>
        <v>310979</v>
      </c>
    </row>
    <row r="21" spans="1:5">
      <c r="A21" s="231">
        <f t="shared" si="0"/>
        <v>10</v>
      </c>
      <c r="B21" s="487" t="s">
        <v>592</v>
      </c>
      <c r="C21" s="478">
        <v>4734.5533333333333</v>
      </c>
      <c r="D21" s="478">
        <v>9094</v>
      </c>
      <c r="E21" s="479">
        <f>D21-C21</f>
        <v>4359.4466666666667</v>
      </c>
    </row>
    <row r="22" spans="1:5">
      <c r="A22" s="231">
        <f t="shared" si="0"/>
        <v>11</v>
      </c>
      <c r="B22" s="487" t="s">
        <v>593</v>
      </c>
      <c r="C22" s="478">
        <v>0</v>
      </c>
      <c r="D22" s="478">
        <v>0</v>
      </c>
      <c r="E22" s="479">
        <f>D22-C22</f>
        <v>0</v>
      </c>
    </row>
    <row r="23" spans="1:5">
      <c r="A23" s="231">
        <f t="shared" si="0"/>
        <v>12</v>
      </c>
      <c r="B23" s="482" t="s">
        <v>386</v>
      </c>
      <c r="C23" s="488">
        <f>SUM(C20:C22)</f>
        <v>204876.55333333334</v>
      </c>
      <c r="D23" s="488">
        <f>SUM(D20:D22)</f>
        <v>520215</v>
      </c>
      <c r="E23" s="488">
        <f>SUM(E20:E22)</f>
        <v>315338.44666666666</v>
      </c>
    </row>
    <row r="24" spans="1:5">
      <c r="A24" s="231">
        <f t="shared" si="0"/>
        <v>13</v>
      </c>
      <c r="B24" s="232"/>
      <c r="C24" s="489"/>
      <c r="D24" s="489"/>
      <c r="E24" s="489"/>
    </row>
    <row r="25" spans="1:5">
      <c r="A25" s="231">
        <f t="shared" si="0"/>
        <v>14</v>
      </c>
      <c r="B25" s="490" t="s">
        <v>490</v>
      </c>
      <c r="C25" s="491"/>
      <c r="D25" s="491"/>
      <c r="E25" s="491">
        <f>E23</f>
        <v>315338.44666666666</v>
      </c>
    </row>
    <row r="26" spans="1:5">
      <c r="A26" s="231">
        <f t="shared" si="0"/>
        <v>15</v>
      </c>
      <c r="B26" s="492"/>
      <c r="C26" s="493"/>
      <c r="D26" s="493"/>
      <c r="E26" s="233"/>
    </row>
    <row r="27" spans="1:5">
      <c r="A27" s="231">
        <f t="shared" si="0"/>
        <v>16</v>
      </c>
      <c r="B27" s="236" t="s">
        <v>627</v>
      </c>
      <c r="C27" s="273">
        <f>+C43</f>
        <v>-669339</v>
      </c>
      <c r="D27" s="273">
        <f>+D43</f>
        <v>-777820</v>
      </c>
      <c r="E27" s="273">
        <f>+E43</f>
        <v>-108481</v>
      </c>
    </row>
    <row r="28" spans="1:5">
      <c r="A28" s="231">
        <f t="shared" si="0"/>
        <v>17</v>
      </c>
      <c r="B28" s="236" t="s">
        <v>628</v>
      </c>
      <c r="C28" s="494">
        <f>+C39*C44</f>
        <v>597632.57924999984</v>
      </c>
      <c r="D28" s="494">
        <f>+D39*D44</f>
        <v>595745.17167059996</v>
      </c>
      <c r="E28" s="494">
        <f>+E39*E44</f>
        <v>-1887.4075793999361</v>
      </c>
    </row>
    <row r="29" spans="1:5" ht="16.5" thickBot="1">
      <c r="A29" s="231">
        <f t="shared" si="0"/>
        <v>18</v>
      </c>
      <c r="B29" s="236" t="s">
        <v>240</v>
      </c>
      <c r="C29" s="355">
        <f>-C23-C27-C28</f>
        <v>-133170.13258333318</v>
      </c>
      <c r="D29" s="355">
        <f t="shared" ref="D29:E29" si="1">-D23-D27-D28</f>
        <v>-338140.17167059996</v>
      </c>
      <c r="E29" s="355">
        <f t="shared" si="1"/>
        <v>-204970.03908726672</v>
      </c>
    </row>
    <row r="30" spans="1:5" ht="16.5" thickTop="1">
      <c r="A30" s="231">
        <f t="shared" si="0"/>
        <v>19</v>
      </c>
      <c r="B30" s="232"/>
      <c r="C30" s="232"/>
      <c r="D30" s="232"/>
      <c r="E30" s="232"/>
    </row>
    <row r="31" spans="1:5">
      <c r="A31" s="231">
        <f t="shared" si="0"/>
        <v>20</v>
      </c>
      <c r="B31" s="286"/>
      <c r="C31" s="286"/>
      <c r="D31" s="286"/>
      <c r="E31" s="286"/>
    </row>
    <row r="32" spans="1:5">
      <c r="A32" s="231">
        <f t="shared" si="0"/>
        <v>21</v>
      </c>
      <c r="B32" s="286"/>
      <c r="C32" s="286"/>
      <c r="D32" s="286"/>
      <c r="E32" s="286"/>
    </row>
    <row r="33" spans="1:5">
      <c r="A33" s="231">
        <f t="shared" si="0"/>
        <v>22</v>
      </c>
      <c r="B33" s="495" t="s">
        <v>629</v>
      </c>
      <c r="C33" s="286"/>
      <c r="D33" s="286"/>
      <c r="E33" s="286"/>
    </row>
    <row r="34" spans="1:5">
      <c r="A34" s="231">
        <f t="shared" si="0"/>
        <v>23</v>
      </c>
      <c r="B34" s="495" t="s">
        <v>630</v>
      </c>
      <c r="C34" s="734">
        <f>-C23</f>
        <v>-204876.55333333334</v>
      </c>
      <c r="D34" s="734">
        <f>-D23</f>
        <v>-520215</v>
      </c>
      <c r="E34" s="734">
        <f>-E23</f>
        <v>-315338.44666666666</v>
      </c>
    </row>
    <row r="35" spans="1:5">
      <c r="A35" s="231">
        <f t="shared" si="0"/>
        <v>24</v>
      </c>
      <c r="B35" s="495" t="s">
        <v>631</v>
      </c>
      <c r="C35" s="496"/>
      <c r="D35" s="496"/>
      <c r="E35" s="496"/>
    </row>
    <row r="36" spans="1:5">
      <c r="A36" s="231">
        <f t="shared" si="0"/>
        <v>25</v>
      </c>
      <c r="B36" s="495" t="s">
        <v>632</v>
      </c>
      <c r="C36" s="496"/>
      <c r="D36" s="496"/>
      <c r="E36" s="496"/>
    </row>
    <row r="37" spans="1:5">
      <c r="A37" s="231">
        <f t="shared" si="0"/>
        <v>26</v>
      </c>
      <c r="B37" s="495" t="s">
        <v>633</v>
      </c>
      <c r="C37" s="496"/>
      <c r="D37" s="496"/>
      <c r="E37" s="496"/>
    </row>
    <row r="38" spans="1:5">
      <c r="A38" s="231">
        <f t="shared" si="0"/>
        <v>27</v>
      </c>
      <c r="B38" s="495" t="s">
        <v>634</v>
      </c>
      <c r="C38" s="496"/>
      <c r="D38" s="496"/>
      <c r="E38" s="496"/>
    </row>
    <row r="39" spans="1:5">
      <c r="A39" s="231">
        <f t="shared" si="0"/>
        <v>28</v>
      </c>
      <c r="B39" s="495" t="s">
        <v>635</v>
      </c>
      <c r="C39" s="735">
        <v>1707521.6549999998</v>
      </c>
      <c r="D39" s="735">
        <v>1702129.061916</v>
      </c>
      <c r="E39" s="736">
        <f>+D39-C39</f>
        <v>-5392.5930839998182</v>
      </c>
    </row>
    <row r="40" spans="1:5">
      <c r="A40" s="231">
        <f t="shared" si="0"/>
        <v>29</v>
      </c>
      <c r="B40" s="495"/>
      <c r="C40" s="496"/>
      <c r="D40" s="496"/>
      <c r="E40" s="496"/>
    </row>
    <row r="41" spans="1:5">
      <c r="A41" s="231">
        <f t="shared" si="0"/>
        <v>30</v>
      </c>
      <c r="B41" s="495" t="s">
        <v>636</v>
      </c>
      <c r="C41" s="497">
        <f>C34-C35-C36-C37+C38-C39</f>
        <v>-1912398.208333333</v>
      </c>
      <c r="D41" s="497">
        <f>D34-D35-D36-D37+D38-D39</f>
        <v>-2222344.0619160002</v>
      </c>
      <c r="E41" s="497">
        <f>E34-E35-E36-E37+E38-E39</f>
        <v>-309945.85358266684</v>
      </c>
    </row>
    <row r="42" spans="1:5">
      <c r="A42" s="231">
        <f t="shared" si="0"/>
        <v>31</v>
      </c>
      <c r="B42" s="495" t="s">
        <v>637</v>
      </c>
      <c r="C42" s="496"/>
      <c r="D42" s="496"/>
      <c r="E42" s="496"/>
    </row>
    <row r="43" spans="1:5" ht="16.5" thickBot="1">
      <c r="A43" s="231">
        <f t="shared" si="0"/>
        <v>32</v>
      </c>
      <c r="B43" s="495" t="s">
        <v>638</v>
      </c>
      <c r="C43" s="737">
        <f>ROUND(C41*C44+C42,0)</f>
        <v>-669339</v>
      </c>
      <c r="D43" s="737">
        <f>ROUND(D41*D44+D42,0)</f>
        <v>-777820</v>
      </c>
      <c r="E43" s="737">
        <f>ROUND(E41*E44+E42,0)</f>
        <v>-108481</v>
      </c>
    </row>
    <row r="44" spans="1:5" ht="16.5" thickTop="1">
      <c r="A44" s="231">
        <f t="shared" si="0"/>
        <v>33</v>
      </c>
      <c r="B44" s="498" t="s">
        <v>639</v>
      </c>
      <c r="C44" s="232">
        <v>0.35</v>
      </c>
      <c r="D44" s="232">
        <v>0.35</v>
      </c>
      <c r="E44" s="232">
        <v>0.35</v>
      </c>
    </row>
  </sheetData>
  <pageMargins left="0.7" right="0.7" top="0.75" bottom="0.75" header="0.75" footer="0.3"/>
  <pageSetup scale="85" orientation="portrait" r:id="rId1"/>
  <headerFooter>
    <oddHeader>&amp;R&amp;"Times New Roman,Regular"&amp;12Exhibit KHB-2
Page 2.13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1"/>
  <sheetViews>
    <sheetView topLeftCell="A31" zoomScaleNormal="100" workbookViewId="0">
      <selection activeCell="B52" sqref="B52"/>
    </sheetView>
  </sheetViews>
  <sheetFormatPr defaultColWidth="9.140625" defaultRowHeight="15.75"/>
  <cols>
    <col min="1" max="1" width="7.42578125" style="2" customWidth="1"/>
    <col min="2" max="2" width="68.28515625" style="2" customWidth="1"/>
    <col min="3" max="3" width="13.42578125" style="2" bestFit="1" customWidth="1"/>
    <col min="4" max="4" width="14.42578125" style="2" bestFit="1" customWidth="1"/>
    <col min="5" max="5" width="16.7109375" style="2" bestFit="1" customWidth="1"/>
    <col min="6" max="16384" width="9.140625" style="2"/>
  </cols>
  <sheetData>
    <row r="1" spans="1:5">
      <c r="A1" s="2" t="str">
        <f>CO</f>
        <v>Puget Sound Energy</v>
      </c>
    </row>
    <row r="2" spans="1:5">
      <c r="A2" s="2" t="str">
        <f>DOCKET</f>
        <v>Docket UE-090704/UG-090705</v>
      </c>
    </row>
    <row r="4" spans="1:5">
      <c r="A4" s="542" t="s">
        <v>201</v>
      </c>
      <c r="B4" s="542"/>
      <c r="C4" s="470"/>
      <c r="D4" s="470"/>
      <c r="E4" s="470"/>
    </row>
    <row r="5" spans="1:5">
      <c r="A5" s="470" t="s">
        <v>797</v>
      </c>
      <c r="B5" s="470"/>
      <c r="C5" s="470"/>
      <c r="D5" s="470"/>
      <c r="E5" s="445"/>
    </row>
    <row r="6" spans="1:5">
      <c r="A6" s="470" t="s">
        <v>204</v>
      </c>
      <c r="B6" s="470"/>
      <c r="C6" s="470"/>
      <c r="D6" s="470"/>
      <c r="E6" s="446"/>
    </row>
    <row r="7" spans="1:5">
      <c r="A7" s="470" t="s">
        <v>205</v>
      </c>
      <c r="B7" s="470"/>
      <c r="C7" s="470"/>
      <c r="D7" s="470"/>
      <c r="E7" s="446"/>
    </row>
    <row r="8" spans="1:5">
      <c r="A8" s="543"/>
      <c r="B8" s="544"/>
      <c r="C8" s="543"/>
      <c r="D8" s="505"/>
      <c r="E8" s="543"/>
    </row>
    <row r="9" spans="1:5">
      <c r="A9" s="545" t="s">
        <v>208</v>
      </c>
      <c r="B9" s="543"/>
      <c r="C9" s="546"/>
      <c r="D9" s="546"/>
      <c r="E9" s="546"/>
    </row>
    <row r="10" spans="1:5">
      <c r="A10" s="547" t="s">
        <v>215</v>
      </c>
      <c r="B10" s="548" t="s">
        <v>216</v>
      </c>
      <c r="C10" s="547" t="s">
        <v>495</v>
      </c>
      <c r="D10" s="547" t="s">
        <v>214</v>
      </c>
      <c r="E10" s="547" t="s">
        <v>217</v>
      </c>
    </row>
    <row r="11" spans="1:5">
      <c r="A11" s="503"/>
      <c r="B11" s="503"/>
      <c r="C11" s="503"/>
      <c r="D11" s="503"/>
      <c r="E11" s="503"/>
    </row>
    <row r="12" spans="1:5">
      <c r="A12" s="505">
        <v>1</v>
      </c>
      <c r="B12" s="474" t="s">
        <v>651</v>
      </c>
      <c r="C12" s="503"/>
      <c r="D12" s="503"/>
      <c r="E12" s="503"/>
    </row>
    <row r="13" spans="1:5">
      <c r="A13" s="505">
        <f t="shared" ref="A13:A51" si="0">A12+1</f>
        <v>2</v>
      </c>
      <c r="B13" s="474" t="s">
        <v>621</v>
      </c>
      <c r="C13" s="549"/>
      <c r="D13" s="549"/>
      <c r="E13" s="549"/>
    </row>
    <row r="14" spans="1:5">
      <c r="A14" s="505">
        <f t="shared" si="0"/>
        <v>3</v>
      </c>
      <c r="B14" s="476" t="s">
        <v>622</v>
      </c>
      <c r="C14" s="550">
        <v>0</v>
      </c>
      <c r="D14" s="551">
        <v>90388143</v>
      </c>
      <c r="E14" s="551">
        <f>+D14-C14</f>
        <v>90388143</v>
      </c>
    </row>
    <row r="15" spans="1:5">
      <c r="A15" s="505">
        <f t="shared" si="0"/>
        <v>4</v>
      </c>
      <c r="B15" s="476" t="s">
        <v>623</v>
      </c>
      <c r="C15" s="552">
        <v>0</v>
      </c>
      <c r="D15" s="553">
        <v>-3479538</v>
      </c>
      <c r="E15" s="553">
        <f>+D15-C15</f>
        <v>-3479538</v>
      </c>
    </row>
    <row r="16" spans="1:5">
      <c r="A16" s="505">
        <f t="shared" si="0"/>
        <v>5</v>
      </c>
      <c r="B16" s="476" t="s">
        <v>624</v>
      </c>
      <c r="C16" s="553">
        <v>0</v>
      </c>
      <c r="D16" s="553">
        <v>-23647769</v>
      </c>
      <c r="E16" s="553">
        <f>+D16-C16</f>
        <v>-23647769</v>
      </c>
    </row>
    <row r="17" spans="1:5" ht="16.5" thickBot="1">
      <c r="A17" s="505">
        <f t="shared" si="0"/>
        <v>6</v>
      </c>
      <c r="B17" s="482" t="s">
        <v>652</v>
      </c>
      <c r="C17" s="518">
        <f>SUM(C14:C16)</f>
        <v>0</v>
      </c>
      <c r="D17" s="518">
        <f>SUM(D14:D16)</f>
        <v>63260836</v>
      </c>
      <c r="E17" s="518">
        <f>SUM(E14:E16)</f>
        <v>63260836</v>
      </c>
    </row>
    <row r="18" spans="1:5" ht="16.5" thickTop="1">
      <c r="A18" s="505">
        <f t="shared" si="0"/>
        <v>7</v>
      </c>
      <c r="B18" s="521"/>
      <c r="C18" s="514"/>
      <c r="D18" s="514"/>
      <c r="E18" s="514"/>
    </row>
    <row r="19" spans="1:5">
      <c r="A19" s="505">
        <f t="shared" si="0"/>
        <v>8</v>
      </c>
      <c r="B19" s="474" t="s">
        <v>653</v>
      </c>
      <c r="C19" s="549"/>
      <c r="D19" s="549"/>
      <c r="E19" s="549"/>
    </row>
    <row r="20" spans="1:5">
      <c r="A20" s="505">
        <f t="shared" si="0"/>
        <v>9</v>
      </c>
      <c r="B20" s="487" t="s">
        <v>570</v>
      </c>
      <c r="C20" s="550">
        <v>0</v>
      </c>
      <c r="D20" s="551">
        <v>3795860</v>
      </c>
      <c r="E20" s="551">
        <f>+D20-C20</f>
        <v>3795860</v>
      </c>
    </row>
    <row r="21" spans="1:5">
      <c r="A21" s="505">
        <f t="shared" si="0"/>
        <v>10</v>
      </c>
      <c r="B21" s="549"/>
      <c r="C21" s="549"/>
      <c r="D21" s="549"/>
      <c r="E21" s="549"/>
    </row>
    <row r="22" spans="1:5">
      <c r="A22" s="505">
        <f t="shared" si="0"/>
        <v>11</v>
      </c>
      <c r="B22" s="554" t="s">
        <v>654</v>
      </c>
      <c r="C22" s="555"/>
      <c r="D22" s="555"/>
      <c r="E22" s="555"/>
    </row>
    <row r="23" spans="1:5">
      <c r="A23" s="505">
        <f t="shared" si="0"/>
        <v>12</v>
      </c>
      <c r="B23" s="487" t="s">
        <v>382</v>
      </c>
      <c r="C23" s="550"/>
      <c r="D23" s="551">
        <v>23006.025835813489</v>
      </c>
      <c r="E23" s="551">
        <f>+D23-C23</f>
        <v>23006.025835813489</v>
      </c>
    </row>
    <row r="24" spans="1:5">
      <c r="A24" s="505">
        <f t="shared" si="0"/>
        <v>13</v>
      </c>
      <c r="B24" s="487" t="s">
        <v>655</v>
      </c>
      <c r="C24" s="515">
        <v>0</v>
      </c>
      <c r="D24" s="515">
        <v>1242216</v>
      </c>
      <c r="E24" s="553">
        <f>+D24-C24</f>
        <v>1242216</v>
      </c>
    </row>
    <row r="25" spans="1:5">
      <c r="A25" s="505">
        <f t="shared" si="0"/>
        <v>14</v>
      </c>
      <c r="B25" s="487" t="s">
        <v>592</v>
      </c>
      <c r="C25" s="552">
        <v>0</v>
      </c>
      <c r="D25" s="553">
        <v>0</v>
      </c>
      <c r="E25" s="553">
        <f>+D25-C25</f>
        <v>0</v>
      </c>
    </row>
    <row r="26" spans="1:5">
      <c r="A26" s="505">
        <f t="shared" si="0"/>
        <v>15</v>
      </c>
      <c r="B26" s="487" t="s">
        <v>593</v>
      </c>
      <c r="C26" s="556">
        <v>0</v>
      </c>
      <c r="D26" s="556">
        <v>0</v>
      </c>
      <c r="E26" s="556">
        <f>+D26-C26</f>
        <v>0</v>
      </c>
    </row>
    <row r="27" spans="1:5">
      <c r="A27" s="505">
        <f t="shared" si="0"/>
        <v>16</v>
      </c>
      <c r="B27" s="544" t="s">
        <v>656</v>
      </c>
      <c r="C27" s="515">
        <f>SUM(C23:C26)</f>
        <v>0</v>
      </c>
      <c r="D27" s="515">
        <f>SUM(D23:D26)</f>
        <v>1265222.0258358135</v>
      </c>
      <c r="E27" s="515">
        <f>SUM(E23:E26)</f>
        <v>1265222.0258358135</v>
      </c>
    </row>
    <row r="28" spans="1:5">
      <c r="A28" s="505">
        <f t="shared" si="0"/>
        <v>17</v>
      </c>
      <c r="B28" s="544"/>
      <c r="C28" s="515"/>
      <c r="D28" s="515"/>
      <c r="E28" s="515"/>
    </row>
    <row r="29" spans="1:5">
      <c r="A29" s="505">
        <f t="shared" si="0"/>
        <v>18</v>
      </c>
      <c r="B29" s="557" t="s">
        <v>657</v>
      </c>
      <c r="C29" s="515">
        <f>C20+C27</f>
        <v>0</v>
      </c>
      <c r="D29" s="515">
        <f>D20+D27</f>
        <v>5061082.025835814</v>
      </c>
      <c r="E29" s="515">
        <f>E20+E27</f>
        <v>5061082.025835814</v>
      </c>
    </row>
    <row r="30" spans="1:5">
      <c r="A30" s="505">
        <f t="shared" si="0"/>
        <v>19</v>
      </c>
      <c r="B30" s="557"/>
      <c r="C30" s="515"/>
      <c r="D30" s="515"/>
      <c r="E30" s="515"/>
    </row>
    <row r="31" spans="1:5">
      <c r="A31" s="505">
        <f t="shared" si="0"/>
        <v>20</v>
      </c>
      <c r="B31" s="557" t="s">
        <v>627</v>
      </c>
      <c r="C31" s="515"/>
      <c r="D31" s="515">
        <v>-4856605</v>
      </c>
      <c r="E31" s="515">
        <f>+E47</f>
        <v>-1325583</v>
      </c>
    </row>
    <row r="32" spans="1:5">
      <c r="A32" s="505">
        <f t="shared" si="0"/>
        <v>21</v>
      </c>
      <c r="B32" s="544" t="s">
        <v>628</v>
      </c>
      <c r="C32" s="27"/>
      <c r="D32" s="558">
        <v>3085226</v>
      </c>
      <c r="E32" s="558">
        <f>ROUND(E43*E51,0)</f>
        <v>-445796</v>
      </c>
    </row>
    <row r="33" spans="1:5" ht="16.5" thickBot="1">
      <c r="A33" s="505">
        <f t="shared" si="0"/>
        <v>22</v>
      </c>
      <c r="B33" s="544" t="s">
        <v>240</v>
      </c>
      <c r="C33" s="559"/>
      <c r="D33" s="559">
        <f>-D29-D31-D32</f>
        <v>-3289703.025835814</v>
      </c>
      <c r="E33" s="559">
        <f>-E29-E31-E32</f>
        <v>-3289703.025835814</v>
      </c>
    </row>
    <row r="34" spans="1:5" ht="16.5" thickTop="1">
      <c r="A34" s="505">
        <f t="shared" si="0"/>
        <v>23</v>
      </c>
      <c r="B34" s="232"/>
      <c r="C34" s="232"/>
      <c r="D34" s="232"/>
      <c r="E34" s="232"/>
    </row>
    <row r="35" spans="1:5">
      <c r="A35" s="505">
        <f t="shared" si="0"/>
        <v>24</v>
      </c>
      <c r="B35" s="4" t="s">
        <v>629</v>
      </c>
      <c r="C35" s="1"/>
      <c r="D35" s="1"/>
      <c r="E35" s="6"/>
    </row>
    <row r="36" spans="1:5">
      <c r="A36" s="505">
        <f t="shared" si="0"/>
        <v>25</v>
      </c>
      <c r="B36" s="4"/>
      <c r="C36" s="1"/>
      <c r="D36" s="1"/>
      <c r="E36" s="6"/>
    </row>
    <row r="37" spans="1:5">
      <c r="A37" s="505">
        <f t="shared" si="0"/>
        <v>26</v>
      </c>
      <c r="B37" s="4"/>
      <c r="C37" s="1"/>
      <c r="D37" s="1"/>
      <c r="E37" s="6"/>
    </row>
    <row r="38" spans="1:5">
      <c r="A38" s="505">
        <f t="shared" si="0"/>
        <v>27</v>
      </c>
      <c r="B38" s="4" t="s">
        <v>630</v>
      </c>
      <c r="C38" s="729">
        <f>-C29</f>
        <v>0</v>
      </c>
      <c r="D38" s="729">
        <f t="shared" ref="D38:E38" si="1">-D29</f>
        <v>-5061082.025835814</v>
      </c>
      <c r="E38" s="729">
        <f t="shared" si="1"/>
        <v>-5061082.025835814</v>
      </c>
    </row>
    <row r="39" spans="1:5">
      <c r="A39" s="505">
        <f t="shared" si="0"/>
        <v>28</v>
      </c>
      <c r="B39" s="4" t="s">
        <v>631</v>
      </c>
      <c r="C39" s="537"/>
      <c r="D39" s="537"/>
      <c r="E39" s="538"/>
    </row>
    <row r="40" spans="1:5">
      <c r="A40" s="505">
        <f t="shared" si="0"/>
        <v>29</v>
      </c>
      <c r="B40" s="4" t="s">
        <v>632</v>
      </c>
      <c r="C40" s="537"/>
      <c r="D40" s="537"/>
      <c r="E40" s="538"/>
    </row>
    <row r="41" spans="1:5">
      <c r="A41" s="505">
        <f t="shared" si="0"/>
        <v>30</v>
      </c>
      <c r="B41" s="4" t="s">
        <v>633</v>
      </c>
      <c r="C41" s="537"/>
      <c r="D41" s="537"/>
      <c r="E41" s="538"/>
    </row>
    <row r="42" spans="1:5">
      <c r="A42" s="505">
        <f t="shared" si="0"/>
        <v>31</v>
      </c>
      <c r="B42" s="4" t="s">
        <v>634</v>
      </c>
      <c r="C42" s="537"/>
      <c r="D42" s="537"/>
      <c r="E42" s="538">
        <f>+D42-C42</f>
        <v>0</v>
      </c>
    </row>
    <row r="43" spans="1:5">
      <c r="A43" s="505">
        <f t="shared" si="0"/>
        <v>32</v>
      </c>
      <c r="B43" s="4" t="s">
        <v>635</v>
      </c>
      <c r="C43" s="730"/>
      <c r="D43" s="730">
        <v>-1273701.4582213233</v>
      </c>
      <c r="E43" s="731">
        <f>+D43-C43</f>
        <v>-1273701.4582213233</v>
      </c>
    </row>
    <row r="44" spans="1:5">
      <c r="A44" s="505">
        <f t="shared" si="0"/>
        <v>33</v>
      </c>
      <c r="B44" s="4"/>
      <c r="C44" s="537"/>
      <c r="D44" s="537"/>
      <c r="E44" s="538"/>
    </row>
    <row r="45" spans="1:5">
      <c r="A45" s="505">
        <f t="shared" si="0"/>
        <v>34</v>
      </c>
      <c r="B45" s="4" t="s">
        <v>636</v>
      </c>
      <c r="C45" s="539">
        <f>C38-C39-C40-C41+C42-C43</f>
        <v>0</v>
      </c>
      <c r="D45" s="539">
        <f>D38-D39-D40-D41+D42-D43</f>
        <v>-3787380.5676144906</v>
      </c>
      <c r="E45" s="540">
        <f>E38-E39-E40-E41+E42-E43</f>
        <v>-3787380.5676144906</v>
      </c>
    </row>
    <row r="46" spans="1:5">
      <c r="A46" s="505">
        <f t="shared" si="0"/>
        <v>35</v>
      </c>
      <c r="B46" s="4" t="s">
        <v>637</v>
      </c>
      <c r="C46" s="537"/>
      <c r="D46" s="537"/>
      <c r="E46" s="538"/>
    </row>
    <row r="47" spans="1:5" ht="16.5" thickBot="1">
      <c r="A47" s="505">
        <f t="shared" si="0"/>
        <v>36</v>
      </c>
      <c r="B47" s="4" t="s">
        <v>638</v>
      </c>
      <c r="C47" s="732">
        <f>ROUND(C45*C51+C46,0)</f>
        <v>0</v>
      </c>
      <c r="D47" s="732">
        <f>ROUND(D45*D51+D46,0)</f>
        <v>-1325583</v>
      </c>
      <c r="E47" s="733">
        <f>ROUND(E45*E51+E46,0)</f>
        <v>-1325583</v>
      </c>
    </row>
    <row r="48" spans="1:5" ht="16.5" thickTop="1">
      <c r="A48" s="505">
        <f t="shared" si="0"/>
        <v>37</v>
      </c>
      <c r="B48" s="1"/>
      <c r="C48" s="1"/>
      <c r="D48" s="1"/>
      <c r="E48" s="6"/>
    </row>
    <row r="49" spans="1:5">
      <c r="A49" s="505">
        <f t="shared" si="0"/>
        <v>38</v>
      </c>
      <c r="B49" s="536"/>
      <c r="C49" s="535"/>
      <c r="D49" s="535"/>
      <c r="E49" s="535"/>
    </row>
    <row r="50" spans="1:5">
      <c r="A50" s="505">
        <f t="shared" si="0"/>
        <v>39</v>
      </c>
      <c r="B50" s="536"/>
      <c r="C50" s="536"/>
      <c r="D50" s="536"/>
      <c r="E50" s="541"/>
    </row>
    <row r="51" spans="1:5">
      <c r="A51" s="505">
        <f t="shared" si="0"/>
        <v>40</v>
      </c>
      <c r="B51" s="536" t="s">
        <v>639</v>
      </c>
      <c r="C51" s="536">
        <v>0.35</v>
      </c>
      <c r="D51" s="536">
        <v>0.35</v>
      </c>
      <c r="E51" s="536">
        <v>0.35</v>
      </c>
    </row>
  </sheetData>
  <pageMargins left="0.7" right="0.7" top="0.75" bottom="0.75" header="0.75" footer="0.3"/>
  <pageSetup scale="75" orientation="portrait" r:id="rId1"/>
  <headerFooter>
    <oddHeader>&amp;R&amp;"Times New Roman,Regular"&amp;12Exhibit KHB-2
Page 2.14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0"/>
  <sheetViews>
    <sheetView topLeftCell="A40" zoomScaleNormal="100" workbookViewId="0">
      <selection activeCell="B52" sqref="B52"/>
    </sheetView>
  </sheetViews>
  <sheetFormatPr defaultColWidth="9.140625" defaultRowHeight="15.75"/>
  <cols>
    <col min="1" max="1" width="7.42578125" style="2" customWidth="1"/>
    <col min="2" max="2" width="68.28515625" style="2" customWidth="1"/>
    <col min="3" max="3" width="14" style="2" bestFit="1" customWidth="1"/>
    <col min="4" max="4" width="15.140625" style="2" bestFit="1" customWidth="1"/>
    <col min="5" max="5" width="15.5703125" style="2" bestFit="1" customWidth="1"/>
    <col min="6" max="16384" width="9.140625" style="2"/>
  </cols>
  <sheetData>
    <row r="1" spans="1:5">
      <c r="A1" s="2" t="str">
        <f>CO</f>
        <v>Puget Sound Energy</v>
      </c>
    </row>
    <row r="2" spans="1:5">
      <c r="A2" s="2" t="str">
        <f>DOCKET</f>
        <v>Docket UE-090704/UG-090705</v>
      </c>
    </row>
    <row r="4" spans="1:5">
      <c r="A4" s="542" t="s">
        <v>201</v>
      </c>
      <c r="B4" s="499"/>
      <c r="C4" s="500"/>
      <c r="D4" s="500"/>
      <c r="E4" s="500"/>
    </row>
    <row r="5" spans="1:5">
      <c r="A5" s="470" t="s">
        <v>798</v>
      </c>
      <c r="B5" s="500"/>
      <c r="C5" s="500"/>
      <c r="D5" s="500"/>
      <c r="E5" s="501"/>
    </row>
    <row r="6" spans="1:5">
      <c r="A6" s="470" t="s">
        <v>204</v>
      </c>
      <c r="B6" s="500"/>
      <c r="C6" s="500"/>
      <c r="D6" s="500"/>
      <c r="E6" s="502"/>
    </row>
    <row r="7" spans="1:5">
      <c r="A7" s="470" t="s">
        <v>205</v>
      </c>
      <c r="B7" s="500"/>
      <c r="C7" s="500"/>
      <c r="D7" s="500"/>
      <c r="E7" s="502"/>
    </row>
    <row r="8" spans="1:5">
      <c r="A8" s="503"/>
      <c r="B8" s="504"/>
      <c r="C8" s="503"/>
      <c r="D8" s="505"/>
      <c r="E8" s="503"/>
    </row>
    <row r="9" spans="1:5">
      <c r="A9" s="506" t="s">
        <v>208</v>
      </c>
      <c r="B9" s="503"/>
      <c r="C9" s="505"/>
      <c r="D9" s="505"/>
      <c r="E9" s="505"/>
    </row>
    <row r="10" spans="1:5">
      <c r="A10" s="507" t="s">
        <v>215</v>
      </c>
      <c r="B10" s="508" t="s">
        <v>216</v>
      </c>
      <c r="C10" s="507" t="s">
        <v>495</v>
      </c>
      <c r="D10" s="507" t="s">
        <v>214</v>
      </c>
      <c r="E10" s="507" t="s">
        <v>217</v>
      </c>
    </row>
    <row r="11" spans="1:5">
      <c r="A11" s="503"/>
      <c r="B11" s="503"/>
      <c r="C11" s="503"/>
      <c r="D11" s="503"/>
      <c r="E11" s="503"/>
    </row>
    <row r="12" spans="1:5">
      <c r="A12" s="505">
        <v>1</v>
      </c>
      <c r="B12" s="509" t="s">
        <v>640</v>
      </c>
      <c r="C12" s="503"/>
      <c r="D12" s="503"/>
      <c r="E12" s="503"/>
    </row>
    <row r="13" spans="1:5">
      <c r="A13" s="505">
        <f t="shared" ref="A13:A59" si="0">A12+1</f>
        <v>2</v>
      </c>
      <c r="B13" s="509" t="s">
        <v>621</v>
      </c>
      <c r="C13" s="510"/>
      <c r="D13" s="510"/>
      <c r="E13" s="511"/>
    </row>
    <row r="14" spans="1:5">
      <c r="A14" s="505">
        <f t="shared" si="0"/>
        <v>3</v>
      </c>
      <c r="B14" s="512" t="s">
        <v>622</v>
      </c>
      <c r="C14" s="453">
        <v>10301873</v>
      </c>
      <c r="D14" s="454">
        <v>251762998</v>
      </c>
      <c r="E14" s="454">
        <f>+D14-C14</f>
        <v>241461125</v>
      </c>
    </row>
    <row r="15" spans="1:5">
      <c r="A15" s="505">
        <f t="shared" si="0"/>
        <v>4</v>
      </c>
      <c r="B15" s="512" t="s">
        <v>623</v>
      </c>
      <c r="C15" s="455">
        <v>-216686</v>
      </c>
      <c r="D15" s="456">
        <v>-17758359</v>
      </c>
      <c r="E15" s="456">
        <f>+D15-C15</f>
        <v>-17541673</v>
      </c>
    </row>
    <row r="16" spans="1:5">
      <c r="A16" s="505">
        <f t="shared" si="0"/>
        <v>5</v>
      </c>
      <c r="B16" s="513" t="s">
        <v>641</v>
      </c>
      <c r="C16" s="453">
        <v>0</v>
      </c>
      <c r="D16" s="514">
        <v>0</v>
      </c>
      <c r="E16" s="454">
        <f>+D16-C16</f>
        <v>0</v>
      </c>
    </row>
    <row r="17" spans="1:5">
      <c r="A17" s="505">
        <f t="shared" si="0"/>
        <v>6</v>
      </c>
      <c r="B17" s="513" t="s">
        <v>642</v>
      </c>
      <c r="C17" s="455">
        <v>0</v>
      </c>
      <c r="D17" s="515">
        <v>0</v>
      </c>
      <c r="E17" s="454">
        <f>+D17-C17</f>
        <v>0</v>
      </c>
    </row>
    <row r="18" spans="1:5">
      <c r="A18" s="505">
        <f t="shared" si="0"/>
        <v>7</v>
      </c>
      <c r="B18" s="513" t="s">
        <v>643</v>
      </c>
      <c r="C18" s="456">
        <v>-24400.690139478505</v>
      </c>
      <c r="D18" s="516">
        <v>-6373932</v>
      </c>
      <c r="E18" s="454">
        <f>+D18-C18</f>
        <v>-6349531.3098605219</v>
      </c>
    </row>
    <row r="19" spans="1:5" ht="16.5" thickBot="1">
      <c r="A19" s="505">
        <f t="shared" si="0"/>
        <v>8</v>
      </c>
      <c r="B19" s="517" t="s">
        <v>644</v>
      </c>
      <c r="C19" s="518">
        <f>SUM(C14:C18)</f>
        <v>10060786.309860522</v>
      </c>
      <c r="D19" s="518">
        <f>SUM(D14:D18)</f>
        <v>227630707</v>
      </c>
      <c r="E19" s="518">
        <f>SUM(E14:E18)</f>
        <v>217569920.69013947</v>
      </c>
    </row>
    <row r="20" spans="1:5" ht="16.5" thickTop="1">
      <c r="A20" s="505">
        <f t="shared" si="0"/>
        <v>9</v>
      </c>
      <c r="B20" s="513"/>
      <c r="C20" s="514"/>
      <c r="D20" s="514"/>
      <c r="E20" s="514"/>
    </row>
    <row r="21" spans="1:5" ht="16.5" thickBot="1">
      <c r="A21" s="505">
        <f t="shared" si="0"/>
        <v>10</v>
      </c>
      <c r="B21" s="519" t="s">
        <v>590</v>
      </c>
      <c r="C21" s="520">
        <f>C19</f>
        <v>10060786.309860522</v>
      </c>
      <c r="D21" s="520">
        <f>+D19</f>
        <v>227630707</v>
      </c>
      <c r="E21" s="520">
        <f>+E19</f>
        <v>217569920.69013947</v>
      </c>
    </row>
    <row r="22" spans="1:5" ht="16.5" thickTop="1">
      <c r="A22" s="505">
        <f t="shared" si="0"/>
        <v>11</v>
      </c>
      <c r="B22" s="521"/>
      <c r="C22" s="514"/>
      <c r="D22" s="514"/>
      <c r="E22" s="514"/>
    </row>
    <row r="23" spans="1:5">
      <c r="A23" s="505">
        <f t="shared" si="0"/>
        <v>12</v>
      </c>
      <c r="B23" s="522" t="s">
        <v>645</v>
      </c>
      <c r="C23" s="511"/>
      <c r="D23" s="511"/>
      <c r="E23" s="511"/>
    </row>
    <row r="24" spans="1:5">
      <c r="A24" s="505">
        <f t="shared" si="0"/>
        <v>13</v>
      </c>
      <c r="B24" s="523" t="s">
        <v>570</v>
      </c>
      <c r="C24" s="453">
        <v>0</v>
      </c>
      <c r="D24" s="454">
        <v>2671235.6261654138</v>
      </c>
      <c r="E24" s="454">
        <f>+D24-C24</f>
        <v>2671235.6261654138</v>
      </c>
    </row>
    <row r="25" spans="1:5">
      <c r="A25" s="505">
        <f t="shared" si="0"/>
        <v>14</v>
      </c>
      <c r="B25" s="523" t="s">
        <v>579</v>
      </c>
      <c r="C25" s="455">
        <v>0</v>
      </c>
      <c r="D25" s="456">
        <v>4566400.8322646609</v>
      </c>
      <c r="E25" s="454">
        <f>+D25-C25</f>
        <v>4566400.8322646609</v>
      </c>
    </row>
    <row r="26" spans="1:5">
      <c r="A26" s="505">
        <f t="shared" si="0"/>
        <v>15</v>
      </c>
      <c r="B26" s="523" t="s">
        <v>592</v>
      </c>
      <c r="C26" s="455">
        <v>0</v>
      </c>
      <c r="D26" s="456">
        <v>370180</v>
      </c>
      <c r="E26" s="456">
        <f>+D26-C26</f>
        <v>370180</v>
      </c>
    </row>
    <row r="27" spans="1:5">
      <c r="A27" s="505">
        <f t="shared" si="0"/>
        <v>16</v>
      </c>
      <c r="B27" s="523" t="s">
        <v>593</v>
      </c>
      <c r="C27" s="455">
        <v>0</v>
      </c>
      <c r="D27" s="455">
        <v>0</v>
      </c>
      <c r="E27" s="456">
        <f>+D27-C27</f>
        <v>0</v>
      </c>
    </row>
    <row r="28" spans="1:5">
      <c r="A28" s="505">
        <f t="shared" si="0"/>
        <v>17</v>
      </c>
      <c r="B28" s="524" t="s">
        <v>249</v>
      </c>
      <c r="C28" s="525">
        <f>SUM(C24:C27)</f>
        <v>0</v>
      </c>
      <c r="D28" s="525">
        <f>SUM(D24:D27)</f>
        <v>7607816.4584300742</v>
      </c>
      <c r="E28" s="525">
        <f>SUM(E24:E27)</f>
        <v>7607816.4584300742</v>
      </c>
    </row>
    <row r="29" spans="1:5">
      <c r="A29" s="505">
        <f t="shared" si="0"/>
        <v>18</v>
      </c>
      <c r="B29" s="524"/>
      <c r="C29" s="515"/>
      <c r="D29" s="515"/>
      <c r="E29" s="515"/>
    </row>
    <row r="30" spans="1:5">
      <c r="A30" s="505">
        <f t="shared" si="0"/>
        <v>19</v>
      </c>
      <c r="B30" s="522" t="s">
        <v>646</v>
      </c>
      <c r="C30" s="515"/>
      <c r="D30" s="515"/>
      <c r="E30" s="515"/>
    </row>
    <row r="31" spans="1:5">
      <c r="A31" s="505">
        <f t="shared" si="0"/>
        <v>20</v>
      </c>
      <c r="B31" s="517" t="s">
        <v>647</v>
      </c>
      <c r="C31" s="515">
        <v>0</v>
      </c>
      <c r="D31" s="515">
        <v>53577113.8039371</v>
      </c>
      <c r="E31" s="454">
        <f>+D31-C31</f>
        <v>53577113.8039371</v>
      </c>
    </row>
    <row r="32" spans="1:5">
      <c r="A32" s="505">
        <f t="shared" si="0"/>
        <v>21</v>
      </c>
      <c r="B32" s="517" t="s">
        <v>648</v>
      </c>
      <c r="C32" s="515">
        <v>0</v>
      </c>
      <c r="D32" s="526">
        <v>5278114.2763184328</v>
      </c>
      <c r="E32" s="456">
        <f>+D32-C32</f>
        <v>5278114.2763184328</v>
      </c>
    </row>
    <row r="33" spans="1:5">
      <c r="A33" s="505">
        <f t="shared" si="0"/>
        <v>22</v>
      </c>
      <c r="B33" s="517" t="s">
        <v>649</v>
      </c>
      <c r="C33" s="525">
        <f>SUM(C31:C32)</f>
        <v>0</v>
      </c>
      <c r="D33" s="515">
        <f>SUM(D31:D32)</f>
        <v>58855228.080255531</v>
      </c>
      <c r="E33" s="525">
        <f>SUM(E31:E32)</f>
        <v>58855228.080255531</v>
      </c>
    </row>
    <row r="34" spans="1:5">
      <c r="A34" s="505">
        <f t="shared" si="0"/>
        <v>23</v>
      </c>
      <c r="B34" s="524"/>
      <c r="C34" s="515"/>
      <c r="D34" s="515"/>
      <c r="E34" s="515"/>
    </row>
    <row r="35" spans="1:5">
      <c r="A35" s="505">
        <f t="shared" si="0"/>
        <v>24</v>
      </c>
      <c r="B35" s="517" t="s">
        <v>650</v>
      </c>
      <c r="C35" s="515">
        <v>31475</v>
      </c>
      <c r="D35" s="515">
        <v>4934400</v>
      </c>
      <c r="E35" s="454">
        <f>+D35-C35</f>
        <v>4902925</v>
      </c>
    </row>
    <row r="36" spans="1:5">
      <c r="A36" s="505">
        <f t="shared" si="0"/>
        <v>25</v>
      </c>
      <c r="B36" s="517"/>
      <c r="C36" s="525"/>
      <c r="D36" s="525"/>
      <c r="E36" s="525"/>
    </row>
    <row r="37" spans="1:5">
      <c r="A37" s="505">
        <f t="shared" si="0"/>
        <v>26</v>
      </c>
      <c r="B37" s="524" t="s">
        <v>249</v>
      </c>
      <c r="C37" s="515">
        <f>C28+C33+C35</f>
        <v>31475</v>
      </c>
      <c r="D37" s="515">
        <f>D28+D33+D35</f>
        <v>71397444.538685605</v>
      </c>
      <c r="E37" s="515">
        <f>D37-C37</f>
        <v>71365969.538685605</v>
      </c>
    </row>
    <row r="38" spans="1:5">
      <c r="A38" s="505">
        <f t="shared" si="0"/>
        <v>27</v>
      </c>
      <c r="B38" s="521"/>
      <c r="C38" s="515"/>
      <c r="D38" s="515"/>
      <c r="E38" s="515"/>
    </row>
    <row r="39" spans="1:5">
      <c r="A39" s="505">
        <f t="shared" si="0"/>
        <v>28</v>
      </c>
      <c r="B39" s="517" t="s">
        <v>627</v>
      </c>
      <c r="C39" s="527">
        <f>+C55</f>
        <v>-596633</v>
      </c>
      <c r="D39" s="527">
        <f t="shared" ref="D39" si="1">+D55</f>
        <v>-28260928</v>
      </c>
      <c r="E39" s="515">
        <f t="shared" ref="E39:E40" si="2">D39-C39</f>
        <v>-27664295</v>
      </c>
    </row>
    <row r="40" spans="1:5">
      <c r="A40" s="505"/>
      <c r="B40" s="517" t="s">
        <v>628</v>
      </c>
      <c r="C40" s="527">
        <f>ROUND(C51*C59,0)</f>
        <v>585617</v>
      </c>
      <c r="D40" s="527">
        <f t="shared" ref="D40" si="3">ROUND(D51*D59,0)</f>
        <v>3271823</v>
      </c>
      <c r="E40" s="515">
        <f t="shared" si="2"/>
        <v>2686206</v>
      </c>
    </row>
    <row r="41" spans="1:5" ht="16.5" thickBot="1">
      <c r="A41" s="505">
        <f>A39+1</f>
        <v>29</v>
      </c>
      <c r="B41" s="517" t="s">
        <v>240</v>
      </c>
      <c r="C41" s="528">
        <f>-C37-C39-C40</f>
        <v>-20459</v>
      </c>
      <c r="D41" s="528">
        <f t="shared" ref="D41:E41" si="4">-D37-D39-D40</f>
        <v>-46408339.538685605</v>
      </c>
      <c r="E41" s="528">
        <f t="shared" si="4"/>
        <v>-46387880.538685605</v>
      </c>
    </row>
    <row r="42" spans="1:5" ht="16.5" thickTop="1">
      <c r="A42" s="505">
        <f t="shared" si="0"/>
        <v>30</v>
      </c>
      <c r="B42" s="529"/>
      <c r="C42" s="529"/>
      <c r="D42" s="529"/>
      <c r="E42" s="529"/>
    </row>
    <row r="43" spans="1:5">
      <c r="A43" s="505">
        <f t="shared" si="0"/>
        <v>31</v>
      </c>
      <c r="B43" s="530" t="s">
        <v>629</v>
      </c>
      <c r="C43" s="1"/>
      <c r="D43" s="1"/>
      <c r="E43" s="1"/>
    </row>
    <row r="44" spans="1:5">
      <c r="A44" s="505">
        <f t="shared" si="0"/>
        <v>32</v>
      </c>
      <c r="B44" s="530"/>
      <c r="C44" s="1"/>
      <c r="D44" s="1"/>
      <c r="E44" s="1"/>
    </row>
    <row r="45" spans="1:5">
      <c r="A45" s="505">
        <f t="shared" si="0"/>
        <v>33</v>
      </c>
      <c r="B45" s="530"/>
      <c r="C45" s="1"/>
      <c r="D45" s="1"/>
      <c r="E45" s="1"/>
    </row>
    <row r="46" spans="1:5">
      <c r="A46" s="505">
        <f t="shared" si="0"/>
        <v>34</v>
      </c>
      <c r="B46" s="530" t="s">
        <v>630</v>
      </c>
      <c r="C46" s="723">
        <f>-C37</f>
        <v>-31475</v>
      </c>
      <c r="D46" s="723">
        <f t="shared" ref="D46:E46" si="5">-D37</f>
        <v>-71397444.538685605</v>
      </c>
      <c r="E46" s="723">
        <f t="shared" si="5"/>
        <v>-71365969.538685605</v>
      </c>
    </row>
    <row r="47" spans="1:5">
      <c r="A47" s="505">
        <f t="shared" si="0"/>
        <v>35</v>
      </c>
      <c r="B47" s="530" t="s">
        <v>631</v>
      </c>
      <c r="C47" s="531"/>
      <c r="D47" s="531"/>
      <c r="E47" s="531"/>
    </row>
    <row r="48" spans="1:5">
      <c r="A48" s="505">
        <f t="shared" si="0"/>
        <v>36</v>
      </c>
      <c r="B48" s="530" t="s">
        <v>632</v>
      </c>
      <c r="C48" s="531"/>
      <c r="D48" s="531"/>
      <c r="E48" s="531"/>
    </row>
    <row r="49" spans="1:5">
      <c r="A49" s="505">
        <f t="shared" si="0"/>
        <v>37</v>
      </c>
      <c r="B49" s="530" t="s">
        <v>633</v>
      </c>
      <c r="C49" s="531"/>
      <c r="D49" s="531"/>
      <c r="E49" s="531"/>
    </row>
    <row r="50" spans="1:5">
      <c r="A50" s="505">
        <f t="shared" si="0"/>
        <v>38</v>
      </c>
      <c r="B50" s="530" t="s">
        <v>634</v>
      </c>
      <c r="C50" s="531"/>
      <c r="D50" s="531"/>
      <c r="E50" s="531">
        <f>+D50-C50</f>
        <v>0</v>
      </c>
    </row>
    <row r="51" spans="1:5">
      <c r="A51" s="505">
        <f t="shared" si="0"/>
        <v>39</v>
      </c>
      <c r="B51" s="530" t="s">
        <v>635</v>
      </c>
      <c r="C51" s="725">
        <v>1673190</v>
      </c>
      <c r="D51" s="725">
        <v>9348065</v>
      </c>
      <c r="E51" s="728">
        <f>+D51-C51</f>
        <v>7674875</v>
      </c>
    </row>
    <row r="52" spans="1:5">
      <c r="A52" s="505">
        <f t="shared" si="0"/>
        <v>40</v>
      </c>
      <c r="B52" s="530"/>
      <c r="C52" s="531"/>
      <c r="D52" s="531"/>
      <c r="E52" s="531"/>
    </row>
    <row r="53" spans="1:5">
      <c r="A53" s="505">
        <f t="shared" si="0"/>
        <v>41</v>
      </c>
      <c r="B53" s="530" t="s">
        <v>636</v>
      </c>
      <c r="C53" s="532">
        <f>C46-C47-C48-C49+C50-C51</f>
        <v>-1704665</v>
      </c>
      <c r="D53" s="532">
        <f>D46-D47-D48-D49+D50-D51</f>
        <v>-80745509.538685605</v>
      </c>
      <c r="E53" s="532">
        <f>E46-E47-E48-E49+E50-E51</f>
        <v>-79040844.538685605</v>
      </c>
    </row>
    <row r="54" spans="1:5">
      <c r="A54" s="505">
        <f t="shared" si="0"/>
        <v>42</v>
      </c>
      <c r="B54" s="530" t="s">
        <v>637</v>
      </c>
      <c r="C54" s="531"/>
      <c r="D54" s="531"/>
      <c r="E54" s="531"/>
    </row>
    <row r="55" spans="1:5" ht="16.5" thickBot="1">
      <c r="A55" s="505">
        <f t="shared" si="0"/>
        <v>43</v>
      </c>
      <c r="B55" s="530" t="s">
        <v>638</v>
      </c>
      <c r="C55" s="724">
        <f>ROUND(C53*C59+C54,0)</f>
        <v>-596633</v>
      </c>
      <c r="D55" s="724">
        <f>ROUND(D53*D59+D54,0)</f>
        <v>-28260928</v>
      </c>
      <c r="E55" s="724">
        <f>ROUND(E53*E59+E54,0)</f>
        <v>-27664296</v>
      </c>
    </row>
    <row r="56" spans="1:5" ht="16.5" thickTop="1">
      <c r="A56" s="505">
        <f t="shared" si="0"/>
        <v>44</v>
      </c>
      <c r="B56" s="533"/>
      <c r="C56" s="1"/>
      <c r="D56" s="1"/>
      <c r="E56" s="1"/>
    </row>
    <row r="57" spans="1:5">
      <c r="A57" s="505">
        <f t="shared" si="0"/>
        <v>45</v>
      </c>
      <c r="B57" s="534"/>
      <c r="C57" s="535"/>
      <c r="D57" s="535"/>
      <c r="E57" s="535"/>
    </row>
    <row r="58" spans="1:5">
      <c r="A58" s="505">
        <f t="shared" si="0"/>
        <v>46</v>
      </c>
      <c r="B58" s="534"/>
      <c r="C58" s="536"/>
      <c r="D58" s="536"/>
      <c r="E58" s="536"/>
    </row>
    <row r="59" spans="1:5">
      <c r="A59" s="505">
        <f t="shared" si="0"/>
        <v>47</v>
      </c>
      <c r="B59" s="534" t="s">
        <v>639</v>
      </c>
      <c r="C59" s="536">
        <v>0.35</v>
      </c>
      <c r="D59" s="536">
        <v>0.35</v>
      </c>
      <c r="E59" s="536">
        <v>0.35</v>
      </c>
    </row>
    <row r="60" spans="1:5">
      <c r="A60" s="529"/>
      <c r="B60" s="529"/>
      <c r="C60" s="529"/>
      <c r="D60" s="529"/>
      <c r="E60" s="529"/>
    </row>
  </sheetData>
  <pageMargins left="0.7" right="0.7" top="0.75" bottom="0.75" header="0.75" footer="0.3"/>
  <pageSetup scale="75" orientation="portrait" r:id="rId1"/>
  <headerFooter>
    <oddHeader>&amp;R&amp;"Times New Roman,Regular"&amp;12Exhibit KHB-2
Page 2.15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6"/>
  <sheetViews>
    <sheetView topLeftCell="A22" zoomScaleNormal="100" workbookViewId="0">
      <selection activeCell="B52" sqref="B52"/>
    </sheetView>
  </sheetViews>
  <sheetFormatPr defaultColWidth="9.140625" defaultRowHeight="15.75"/>
  <cols>
    <col min="1" max="1" width="7.42578125" style="2" customWidth="1"/>
    <col min="2" max="2" width="48.85546875" style="2" customWidth="1"/>
    <col min="3" max="4" width="15.42578125" style="2" bestFit="1" customWidth="1"/>
    <col min="5" max="5" width="15.5703125" style="2" bestFit="1" customWidth="1"/>
    <col min="6" max="16384" width="9.140625" style="2"/>
  </cols>
  <sheetData>
    <row r="1" spans="1:5">
      <c r="A1" s="2" t="str">
        <f>CO</f>
        <v>Puget Sound Energy</v>
      </c>
    </row>
    <row r="2" spans="1:5">
      <c r="A2" s="2" t="str">
        <f>DOCKET</f>
        <v>Docket UE-090704/UG-090705</v>
      </c>
    </row>
    <row r="4" spans="1:5">
      <c r="A4" s="218" t="s">
        <v>201</v>
      </c>
      <c r="B4" s="691"/>
      <c r="C4" s="287"/>
      <c r="D4" s="287"/>
      <c r="E4" s="287"/>
    </row>
    <row r="5" spans="1:5">
      <c r="A5" s="218" t="s">
        <v>658</v>
      </c>
      <c r="B5" s="287"/>
      <c r="C5" s="287"/>
      <c r="D5" s="287"/>
      <c r="E5" s="287"/>
    </row>
    <row r="6" spans="1:5">
      <c r="A6" s="219" t="s">
        <v>619</v>
      </c>
      <c r="B6" s="692"/>
      <c r="C6" s="692"/>
      <c r="D6" s="692"/>
      <c r="E6" s="692"/>
    </row>
    <row r="7" spans="1:5">
      <c r="A7" s="218" t="s">
        <v>205</v>
      </c>
      <c r="B7" s="542"/>
      <c r="C7" s="542"/>
      <c r="D7" s="470"/>
      <c r="E7" s="470"/>
    </row>
    <row r="8" spans="1:5">
      <c r="A8" s="220"/>
      <c r="B8" s="470"/>
      <c r="C8" s="470"/>
      <c r="D8" s="470"/>
      <c r="E8" s="470"/>
    </row>
    <row r="9" spans="1:5">
      <c r="A9" s="222" t="s">
        <v>208</v>
      </c>
      <c r="B9" s="708"/>
      <c r="C9" s="709"/>
      <c r="D9" s="709" t="s">
        <v>603</v>
      </c>
      <c r="E9" s="709"/>
    </row>
    <row r="10" spans="1:5">
      <c r="A10" s="226" t="s">
        <v>215</v>
      </c>
      <c r="B10" s="710" t="s">
        <v>216</v>
      </c>
      <c r="C10" s="699" t="s">
        <v>495</v>
      </c>
      <c r="D10" s="699" t="s">
        <v>221</v>
      </c>
      <c r="E10" s="699" t="s">
        <v>217</v>
      </c>
    </row>
    <row r="11" spans="1:5">
      <c r="A11" s="231"/>
      <c r="B11" s="470"/>
      <c r="C11" s="470"/>
      <c r="D11" s="470"/>
      <c r="E11" s="470"/>
    </row>
    <row r="12" spans="1:5">
      <c r="A12" s="231">
        <v>1</v>
      </c>
      <c r="B12" s="474" t="s">
        <v>659</v>
      </c>
      <c r="C12" s="484"/>
      <c r="D12" s="484"/>
      <c r="E12" s="484"/>
    </row>
    <row r="13" spans="1:5">
      <c r="A13" s="231">
        <f t="shared" ref="A13:A46" si="0">A12+1</f>
        <v>2</v>
      </c>
      <c r="B13" s="476" t="s">
        <v>622</v>
      </c>
      <c r="C13" s="711">
        <v>40784947</v>
      </c>
      <c r="D13" s="711">
        <v>87045763</v>
      </c>
      <c r="E13" s="712">
        <f>D13-C13</f>
        <v>46260816</v>
      </c>
    </row>
    <row r="14" spans="1:5">
      <c r="A14" s="231">
        <f t="shared" si="0"/>
        <v>3</v>
      </c>
      <c r="B14" s="476" t="s">
        <v>623</v>
      </c>
      <c r="C14" s="713">
        <v>-27871613</v>
      </c>
      <c r="D14" s="713">
        <v>-67272868</v>
      </c>
      <c r="E14" s="714">
        <f>D14-C14</f>
        <v>-39401255</v>
      </c>
    </row>
    <row r="15" spans="1:5">
      <c r="A15" s="231">
        <f t="shared" si="0"/>
        <v>4</v>
      </c>
      <c r="B15" s="476" t="s">
        <v>628</v>
      </c>
      <c r="C15" s="715">
        <v>-471587</v>
      </c>
      <c r="D15" s="715">
        <v>252675</v>
      </c>
      <c r="E15" s="714">
        <f>D15-C15</f>
        <v>724262</v>
      </c>
    </row>
    <row r="16" spans="1:5" ht="16.5" thickBot="1">
      <c r="A16" s="231">
        <f t="shared" si="0"/>
        <v>5</v>
      </c>
      <c r="B16" s="482" t="s">
        <v>660</v>
      </c>
      <c r="C16" s="716">
        <f>SUM(C13:C15)</f>
        <v>12441747</v>
      </c>
      <c r="D16" s="716">
        <f>SUM(D13:D15)</f>
        <v>20025570</v>
      </c>
      <c r="E16" s="716">
        <f>SUM(E13:E15)</f>
        <v>7583823</v>
      </c>
    </row>
    <row r="17" spans="1:5" ht="16.5" thickTop="1">
      <c r="A17" s="231">
        <f t="shared" si="0"/>
        <v>6</v>
      </c>
      <c r="B17" s="482"/>
      <c r="C17" s="717"/>
      <c r="D17" s="717"/>
      <c r="E17" s="714"/>
    </row>
    <row r="18" spans="1:5">
      <c r="A18" s="231">
        <f t="shared" si="0"/>
        <v>7</v>
      </c>
      <c r="B18" s="474" t="s">
        <v>661</v>
      </c>
      <c r="C18" s="717"/>
      <c r="D18" s="717"/>
      <c r="E18" s="714"/>
    </row>
    <row r="19" spans="1:5">
      <c r="A19" s="231">
        <f t="shared" si="0"/>
        <v>8</v>
      </c>
      <c r="B19" s="487" t="s">
        <v>570</v>
      </c>
      <c r="C19" s="717">
        <v>643627</v>
      </c>
      <c r="D19" s="717">
        <v>1500132</v>
      </c>
      <c r="E19" s="714">
        <f>D19-C19</f>
        <v>856505</v>
      </c>
    </row>
    <row r="20" spans="1:5">
      <c r="A20" s="231">
        <f t="shared" si="0"/>
        <v>9</v>
      </c>
      <c r="B20" s="487" t="s">
        <v>592</v>
      </c>
      <c r="C20" s="717">
        <v>65334.666666666664</v>
      </c>
      <c r="D20" s="717">
        <v>122371</v>
      </c>
      <c r="E20" s="714">
        <f>D20-C20</f>
        <v>57036.333333333336</v>
      </c>
    </row>
    <row r="21" spans="1:5">
      <c r="A21" s="231">
        <f t="shared" si="0"/>
        <v>10</v>
      </c>
      <c r="B21" s="487" t="s">
        <v>593</v>
      </c>
      <c r="C21" s="718">
        <v>0</v>
      </c>
      <c r="D21" s="718">
        <v>0</v>
      </c>
      <c r="E21" s="719">
        <f>D21-C21</f>
        <v>0</v>
      </c>
    </row>
    <row r="22" spans="1:5">
      <c r="A22" s="231">
        <f t="shared" si="0"/>
        <v>11</v>
      </c>
      <c r="B22" s="482" t="s">
        <v>386</v>
      </c>
      <c r="C22" s="720">
        <f>SUM(C19:C21)</f>
        <v>708961.66666666663</v>
      </c>
      <c r="D22" s="720">
        <f>SUM(D19:D21)</f>
        <v>1622503</v>
      </c>
      <c r="E22" s="720">
        <f>SUM(E19:E21)</f>
        <v>913541.33333333337</v>
      </c>
    </row>
    <row r="23" spans="1:5">
      <c r="A23" s="231">
        <f t="shared" si="0"/>
        <v>12</v>
      </c>
      <c r="B23" s="232"/>
      <c r="C23" s="243"/>
      <c r="D23" s="243"/>
      <c r="E23" s="286"/>
    </row>
    <row r="24" spans="1:5">
      <c r="A24" s="231">
        <f t="shared" si="0"/>
        <v>13</v>
      </c>
      <c r="B24" s="490" t="s">
        <v>490</v>
      </c>
      <c r="C24" s="721">
        <f t="shared" ref="C24:D24" si="1">C22</f>
        <v>708961.66666666663</v>
      </c>
      <c r="D24" s="721">
        <f t="shared" si="1"/>
        <v>1622503</v>
      </c>
      <c r="E24" s="721">
        <f>E22</f>
        <v>913541.33333333337</v>
      </c>
    </row>
    <row r="25" spans="1:5">
      <c r="A25" s="231">
        <f t="shared" si="0"/>
        <v>14</v>
      </c>
      <c r="B25" s="492"/>
      <c r="C25" s="493"/>
      <c r="D25" s="493"/>
      <c r="E25" s="233"/>
    </row>
    <row r="26" spans="1:5">
      <c r="A26" s="231">
        <f t="shared" si="0"/>
        <v>15</v>
      </c>
      <c r="B26" s="492" t="s">
        <v>627</v>
      </c>
      <c r="C26" s="493">
        <f>C42</f>
        <v>-171652</v>
      </c>
      <c r="D26" s="493">
        <f>D42</f>
        <v>-557126</v>
      </c>
      <c r="E26" s="493">
        <f>E42</f>
        <v>-385474</v>
      </c>
    </row>
    <row r="27" spans="1:5">
      <c r="A27" s="231">
        <f t="shared" si="0"/>
        <v>16</v>
      </c>
      <c r="B27" s="236" t="s">
        <v>628</v>
      </c>
      <c r="C27" s="722">
        <f>ROUND(C38*C46,0)</f>
        <v>-76485</v>
      </c>
      <c r="D27" s="722">
        <f t="shared" ref="D27:E27" si="2">ROUND(D38*D46,0)</f>
        <v>-10750</v>
      </c>
      <c r="E27" s="722">
        <f t="shared" si="2"/>
        <v>65735</v>
      </c>
    </row>
    <row r="28" spans="1:5" ht="16.5" thickBot="1">
      <c r="A28" s="231">
        <f t="shared" si="0"/>
        <v>17</v>
      </c>
      <c r="B28" s="236" t="s">
        <v>240</v>
      </c>
      <c r="C28" s="559">
        <f t="shared" ref="C28:D28" si="3">-C24-C26-C27</f>
        <v>-460824.66666666663</v>
      </c>
      <c r="D28" s="559">
        <f t="shared" si="3"/>
        <v>-1054627</v>
      </c>
      <c r="E28" s="559">
        <f>-E24-E26-E27</f>
        <v>-593802.33333333337</v>
      </c>
    </row>
    <row r="29" spans="1:5" ht="16.5" thickTop="1">
      <c r="A29" s="231">
        <f t="shared" si="0"/>
        <v>18</v>
      </c>
      <c r="B29" s="702"/>
      <c r="C29" s="544"/>
      <c r="D29" s="351"/>
      <c r="E29" s="351"/>
    </row>
    <row r="30" spans="1:5">
      <c r="A30" s="231">
        <f t="shared" si="0"/>
        <v>19</v>
      </c>
      <c r="B30" s="4" t="s">
        <v>629</v>
      </c>
      <c r="C30" s="1"/>
      <c r="D30" s="1"/>
      <c r="E30" s="6"/>
    </row>
    <row r="31" spans="1:5">
      <c r="A31" s="231">
        <f t="shared" si="0"/>
        <v>20</v>
      </c>
      <c r="B31" s="4" t="s">
        <v>662</v>
      </c>
      <c r="C31" s="1"/>
      <c r="D31" s="1"/>
      <c r="E31" s="6"/>
    </row>
    <row r="32" spans="1:5">
      <c r="A32" s="231">
        <f t="shared" si="0"/>
        <v>21</v>
      </c>
      <c r="B32" s="4"/>
      <c r="C32" s="1"/>
      <c r="D32" s="1"/>
      <c r="E32" s="6"/>
    </row>
    <row r="33" spans="1:5">
      <c r="A33" s="231">
        <f t="shared" si="0"/>
        <v>22</v>
      </c>
      <c r="B33" s="4" t="s">
        <v>630</v>
      </c>
      <c r="C33" s="723">
        <f>-C24</f>
        <v>-708961.66666666663</v>
      </c>
      <c r="D33" s="723">
        <f t="shared" ref="D33:E33" si="4">-D24</f>
        <v>-1622503</v>
      </c>
      <c r="E33" s="723">
        <f t="shared" si="4"/>
        <v>-913541.33333333337</v>
      </c>
    </row>
    <row r="34" spans="1:5">
      <c r="A34" s="231">
        <f t="shared" si="0"/>
        <v>23</v>
      </c>
      <c r="B34" s="4" t="s">
        <v>631</v>
      </c>
      <c r="C34" s="531"/>
      <c r="D34" s="531"/>
      <c r="E34" s="560"/>
    </row>
    <row r="35" spans="1:5">
      <c r="A35" s="231">
        <f t="shared" si="0"/>
        <v>24</v>
      </c>
      <c r="B35" s="4" t="s">
        <v>632</v>
      </c>
      <c r="C35" s="531"/>
      <c r="D35" s="531"/>
      <c r="E35" s="560"/>
    </row>
    <row r="36" spans="1:5">
      <c r="A36" s="231">
        <f t="shared" si="0"/>
        <v>25</v>
      </c>
      <c r="B36" s="4" t="s">
        <v>633</v>
      </c>
      <c r="C36" s="531"/>
      <c r="D36" s="531"/>
      <c r="E36" s="560"/>
    </row>
    <row r="37" spans="1:5">
      <c r="A37" s="231">
        <f t="shared" si="0"/>
        <v>26</v>
      </c>
      <c r="B37" s="4" t="s">
        <v>634</v>
      </c>
      <c r="C37" s="531"/>
      <c r="D37" s="531"/>
      <c r="E37" s="560">
        <f>+D37-C37</f>
        <v>0</v>
      </c>
    </row>
    <row r="38" spans="1:5">
      <c r="A38" s="231">
        <f t="shared" si="0"/>
        <v>27</v>
      </c>
      <c r="B38" s="4" t="s">
        <v>635</v>
      </c>
      <c r="C38" s="725">
        <v>-218528</v>
      </c>
      <c r="D38" s="725">
        <v>-30715</v>
      </c>
      <c r="E38" s="726">
        <f>+D38-C38</f>
        <v>187813</v>
      </c>
    </row>
    <row r="39" spans="1:5">
      <c r="A39" s="231">
        <f t="shared" si="0"/>
        <v>28</v>
      </c>
      <c r="B39" s="4"/>
      <c r="C39" s="531"/>
      <c r="D39" s="531"/>
      <c r="E39" s="560"/>
    </row>
    <row r="40" spans="1:5">
      <c r="A40" s="231">
        <f t="shared" si="0"/>
        <v>29</v>
      </c>
      <c r="B40" s="4" t="s">
        <v>636</v>
      </c>
      <c r="C40" s="532">
        <f>C33-C34-C35-C36+C37-C38</f>
        <v>-490433.66666666663</v>
      </c>
      <c r="D40" s="532">
        <f>D33-D34-D35-D36+D37-D38</f>
        <v>-1591788</v>
      </c>
      <c r="E40" s="561">
        <f>E33-E34-E35-E36+E37-E38</f>
        <v>-1101354.3333333335</v>
      </c>
    </row>
    <row r="41" spans="1:5">
      <c r="A41" s="231">
        <f t="shared" si="0"/>
        <v>30</v>
      </c>
      <c r="B41" s="4" t="s">
        <v>637</v>
      </c>
      <c r="C41" s="531"/>
      <c r="D41" s="531"/>
      <c r="E41" s="560"/>
    </row>
    <row r="42" spans="1:5" ht="16.5" thickBot="1">
      <c r="A42" s="231">
        <f t="shared" si="0"/>
        <v>31</v>
      </c>
      <c r="B42" s="4" t="s">
        <v>638</v>
      </c>
      <c r="C42" s="724">
        <f>ROUND(C40*C46+C41,0)</f>
        <v>-171652</v>
      </c>
      <c r="D42" s="724">
        <f>ROUND(D40*D46+D41,0)</f>
        <v>-557126</v>
      </c>
      <c r="E42" s="727">
        <f>ROUND(E40*E46+E41,0)</f>
        <v>-385474</v>
      </c>
    </row>
    <row r="43" spans="1:5" ht="16.5" thickTop="1">
      <c r="A43" s="231">
        <f t="shared" si="0"/>
        <v>32</v>
      </c>
      <c r="B43" s="1"/>
      <c r="C43" s="1"/>
      <c r="D43" s="1"/>
      <c r="E43" s="6"/>
    </row>
    <row r="44" spans="1:5">
      <c r="A44" s="231">
        <f t="shared" si="0"/>
        <v>33</v>
      </c>
      <c r="B44" s="536"/>
      <c r="C44" s="535"/>
      <c r="D44" s="535"/>
      <c r="E44" s="535"/>
    </row>
    <row r="45" spans="1:5">
      <c r="A45" s="231">
        <f t="shared" si="0"/>
        <v>34</v>
      </c>
      <c r="B45" s="536"/>
      <c r="C45" s="536"/>
      <c r="D45" s="536"/>
      <c r="E45" s="541"/>
    </row>
    <row r="46" spans="1:5">
      <c r="A46" s="231">
        <f t="shared" si="0"/>
        <v>35</v>
      </c>
      <c r="B46" s="536" t="s">
        <v>639</v>
      </c>
      <c r="C46" s="536">
        <v>0.35</v>
      </c>
      <c r="D46" s="536">
        <v>0.35</v>
      </c>
      <c r="E46" s="536">
        <v>0.35</v>
      </c>
    </row>
  </sheetData>
  <pageMargins left="0.7" right="0.7" top="0.75" bottom="0.75" header="0.75" footer="0.3"/>
  <pageSetup scale="88" orientation="portrait" r:id="rId1"/>
  <headerFooter>
    <oddHeader>&amp;R&amp;"Times New Roman,Regular"&amp;12Exhibit KHB-2
Page 2.16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0"/>
  <sheetViews>
    <sheetView zoomScaleNormal="100" workbookViewId="0">
      <selection activeCell="B52" sqref="B52"/>
    </sheetView>
  </sheetViews>
  <sheetFormatPr defaultColWidth="9.140625" defaultRowHeight="15.75"/>
  <cols>
    <col min="1" max="1" width="7.42578125" style="2" customWidth="1"/>
    <col min="2" max="2" width="50.7109375" style="2" customWidth="1"/>
    <col min="3" max="3" width="5.140625" style="2" bestFit="1" customWidth="1"/>
    <col min="4" max="4" width="13.5703125" style="2" bestFit="1" customWidth="1"/>
    <col min="5" max="5" width="14.42578125" style="2" bestFit="1" customWidth="1"/>
    <col min="6" max="6" width="16.7109375" style="2" bestFit="1" customWidth="1"/>
    <col min="7" max="16384" width="9.140625" style="2"/>
  </cols>
  <sheetData>
    <row r="1" spans="1:6">
      <c r="A1" s="2" t="str">
        <f>CO</f>
        <v>Puget Sound Energy</v>
      </c>
    </row>
    <row r="2" spans="1:6">
      <c r="A2" s="2" t="str">
        <f>DOCKET</f>
        <v>Docket UE-090704/UG-090705</v>
      </c>
    </row>
    <row r="4" spans="1:6">
      <c r="A4" s="443" t="s">
        <v>201</v>
      </c>
      <c r="B4" s="443"/>
      <c r="C4" s="443"/>
      <c r="D4" s="444"/>
      <c r="E4" s="444"/>
      <c r="F4" s="444"/>
    </row>
    <row r="5" spans="1:6">
      <c r="A5" s="444" t="s">
        <v>789</v>
      </c>
      <c r="B5" s="444"/>
      <c r="C5" s="444"/>
      <c r="D5" s="444"/>
      <c r="E5" s="444"/>
      <c r="F5" s="445"/>
    </row>
    <row r="6" spans="1:6">
      <c r="A6" s="444" t="s">
        <v>204</v>
      </c>
      <c r="B6" s="444"/>
      <c r="C6" s="444"/>
      <c r="D6" s="444"/>
      <c r="E6" s="444"/>
      <c r="F6" s="446"/>
    </row>
    <row r="7" spans="1:6">
      <c r="A7" s="444" t="s">
        <v>205</v>
      </c>
      <c r="B7" s="444"/>
      <c r="C7" s="444"/>
      <c r="D7" s="444"/>
      <c r="E7" s="444"/>
      <c r="F7" s="446"/>
    </row>
    <row r="8" spans="1:6">
      <c r="A8" s="444"/>
      <c r="B8" s="444"/>
      <c r="C8" s="444"/>
      <c r="D8" s="444"/>
      <c r="E8" s="444"/>
      <c r="F8" s="446"/>
    </row>
    <row r="9" spans="1:6">
      <c r="A9" s="595" t="s">
        <v>208</v>
      </c>
      <c r="B9" s="296"/>
      <c r="C9" s="296"/>
      <c r="D9" s="596"/>
      <c r="E9" s="596"/>
      <c r="F9" s="596"/>
    </row>
    <row r="10" spans="1:6">
      <c r="A10" s="447" t="s">
        <v>215</v>
      </c>
      <c r="B10" s="448" t="s">
        <v>216</v>
      </c>
      <c r="C10" s="448"/>
      <c r="D10" s="447" t="s">
        <v>495</v>
      </c>
      <c r="E10" s="447" t="s">
        <v>214</v>
      </c>
      <c r="F10" s="447" t="s">
        <v>217</v>
      </c>
    </row>
    <row r="11" spans="1:6">
      <c r="A11" s="304"/>
      <c r="B11" s="304"/>
      <c r="C11" s="304"/>
      <c r="D11" s="304"/>
      <c r="E11" s="304"/>
      <c r="F11" s="304"/>
    </row>
    <row r="12" spans="1:6">
      <c r="A12" s="449"/>
      <c r="B12" s="307"/>
      <c r="C12" s="307"/>
      <c r="D12" s="450"/>
      <c r="E12" s="450"/>
      <c r="F12" s="450"/>
    </row>
    <row r="13" spans="1:6">
      <c r="A13" s="449">
        <v>1</v>
      </c>
      <c r="B13" s="451" t="s">
        <v>586</v>
      </c>
      <c r="C13" s="451"/>
      <c r="D13" s="450"/>
      <c r="E13" s="450"/>
      <c r="F13" s="450"/>
    </row>
    <row r="14" spans="1:6">
      <c r="A14" s="449">
        <f>1+A13</f>
        <v>2</v>
      </c>
      <c r="B14" s="452" t="s">
        <v>587</v>
      </c>
      <c r="C14" s="452"/>
      <c r="D14" s="453">
        <v>0</v>
      </c>
      <c r="E14" s="454">
        <v>28235000</v>
      </c>
      <c r="F14" s="454">
        <v>28235000</v>
      </c>
    </row>
    <row r="15" spans="1:6">
      <c r="A15" s="449">
        <f t="shared" ref="A15:A49" si="0">1+A14</f>
        <v>3</v>
      </c>
      <c r="B15" s="452" t="s">
        <v>588</v>
      </c>
      <c r="C15" s="452"/>
      <c r="D15" s="455">
        <v>0</v>
      </c>
      <c r="E15" s="456">
        <v>-23606481.650000002</v>
      </c>
      <c r="F15" s="456">
        <v>-23606481.650000002</v>
      </c>
    </row>
    <row r="16" spans="1:6">
      <c r="A16" s="449">
        <f t="shared" si="0"/>
        <v>4</v>
      </c>
      <c r="B16" s="452" t="s">
        <v>641</v>
      </c>
      <c r="C16" s="452"/>
      <c r="D16" s="459"/>
      <c r="E16" s="459">
        <v>16950333</v>
      </c>
      <c r="F16" s="454">
        <v>16950333</v>
      </c>
    </row>
    <row r="17" spans="1:6">
      <c r="A17" s="449">
        <f t="shared" si="0"/>
        <v>5</v>
      </c>
      <c r="B17" s="452" t="s">
        <v>642</v>
      </c>
      <c r="C17" s="452"/>
      <c r="D17" s="456"/>
      <c r="E17" s="456">
        <v>-3794966.6015956826</v>
      </c>
      <c r="F17" s="456">
        <v>-3794966.6015956826</v>
      </c>
    </row>
    <row r="18" spans="1:6">
      <c r="A18" s="449">
        <f t="shared" si="0"/>
        <v>6</v>
      </c>
      <c r="B18" s="452" t="s">
        <v>589</v>
      </c>
      <c r="C18" s="452"/>
      <c r="D18" s="457">
        <v>-1153838.7410899999</v>
      </c>
      <c r="E18" s="457">
        <v>-2161443.3159494079</v>
      </c>
      <c r="F18" s="457">
        <v>-1007604.574859408</v>
      </c>
    </row>
    <row r="19" spans="1:6" ht="16.5" thickBot="1">
      <c r="A19" s="449">
        <f t="shared" si="0"/>
        <v>7</v>
      </c>
      <c r="B19" s="451" t="s">
        <v>590</v>
      </c>
      <c r="C19" s="451"/>
      <c r="D19" s="458">
        <f>SUM(D14:D18)</f>
        <v>-1153838.7410899999</v>
      </c>
      <c r="E19" s="458">
        <f t="shared" ref="E19:F19" si="1">SUM(E14:E18)</f>
        <v>15622441.432454908</v>
      </c>
      <c r="F19" s="458">
        <f t="shared" si="1"/>
        <v>16776280.173544908</v>
      </c>
    </row>
    <row r="20" spans="1:6" ht="16.5" thickTop="1">
      <c r="A20" s="449">
        <f t="shared" si="0"/>
        <v>8</v>
      </c>
      <c r="B20" s="452"/>
      <c r="C20" s="452"/>
      <c r="D20" s="460"/>
      <c r="E20" s="460"/>
      <c r="F20" s="460"/>
    </row>
    <row r="21" spans="1:6">
      <c r="A21" s="449">
        <f t="shared" si="0"/>
        <v>9</v>
      </c>
      <c r="B21" s="451" t="s">
        <v>424</v>
      </c>
      <c r="C21" s="451"/>
      <c r="D21" s="460"/>
      <c r="E21" s="460"/>
      <c r="F21" s="460"/>
    </row>
    <row r="22" spans="1:6">
      <c r="A22" s="449">
        <f t="shared" si="0"/>
        <v>10</v>
      </c>
      <c r="B22" s="452" t="s">
        <v>787</v>
      </c>
      <c r="C22" s="452"/>
      <c r="D22" s="461"/>
      <c r="E22" s="461"/>
      <c r="F22" s="637"/>
    </row>
    <row r="23" spans="1:6">
      <c r="A23" s="449">
        <f t="shared" si="0"/>
        <v>11</v>
      </c>
      <c r="B23" s="452" t="s">
        <v>570</v>
      </c>
      <c r="C23" s="452"/>
      <c r="D23" s="319">
        <v>0</v>
      </c>
      <c r="E23" s="638">
        <v>804697.5</v>
      </c>
      <c r="F23" s="453">
        <v>804697.5</v>
      </c>
    </row>
    <row r="24" spans="1:6">
      <c r="A24" s="449">
        <f t="shared" si="0"/>
        <v>12</v>
      </c>
      <c r="B24" s="452" t="s">
        <v>579</v>
      </c>
      <c r="C24" s="452"/>
      <c r="D24" s="324">
        <v>0</v>
      </c>
      <c r="E24" s="639">
        <v>2282921.5737074832</v>
      </c>
      <c r="F24" s="456">
        <v>2282921.5737074832</v>
      </c>
    </row>
    <row r="25" spans="1:6">
      <c r="A25" s="449">
        <f t="shared" si="0"/>
        <v>13</v>
      </c>
      <c r="B25" s="452" t="s">
        <v>592</v>
      </c>
      <c r="C25" s="452"/>
      <c r="D25" s="639">
        <v>41405</v>
      </c>
      <c r="E25" s="321">
        <v>69242</v>
      </c>
      <c r="F25" s="456">
        <v>27837</v>
      </c>
    </row>
    <row r="26" spans="1:6">
      <c r="A26" s="449">
        <f t="shared" si="0"/>
        <v>14</v>
      </c>
      <c r="B26" s="452" t="s">
        <v>593</v>
      </c>
      <c r="C26" s="452"/>
      <c r="D26" s="456"/>
      <c r="E26" s="639"/>
      <c r="F26" s="456">
        <v>0</v>
      </c>
    </row>
    <row r="27" spans="1:6">
      <c r="A27" s="449">
        <f t="shared" si="0"/>
        <v>15</v>
      </c>
      <c r="B27" s="452" t="s">
        <v>788</v>
      </c>
      <c r="C27" s="452"/>
      <c r="D27" s="463">
        <f>SUM(D23:D26)</f>
        <v>41405</v>
      </c>
      <c r="E27" s="463">
        <f t="shared" ref="E27:F27" si="2">SUM(E23:E26)</f>
        <v>3156861.0737074832</v>
      </c>
      <c r="F27" s="463">
        <f t="shared" si="2"/>
        <v>3115456.0737074832</v>
      </c>
    </row>
    <row r="28" spans="1:6">
      <c r="A28" s="449">
        <f t="shared" si="0"/>
        <v>16</v>
      </c>
      <c r="B28" s="452"/>
      <c r="C28" s="452"/>
      <c r="D28" s="454"/>
      <c r="E28" s="454"/>
      <c r="F28" s="454"/>
    </row>
    <row r="29" spans="1:6">
      <c r="A29" s="449">
        <f t="shared" si="0"/>
        <v>17</v>
      </c>
      <c r="B29" s="452" t="s">
        <v>249</v>
      </c>
      <c r="C29" s="452"/>
      <c r="D29" s="455">
        <f>+D27</f>
        <v>41405</v>
      </c>
      <c r="E29" s="455">
        <f t="shared" ref="E29:F29" si="3">+E27</f>
        <v>3156861.0737074832</v>
      </c>
      <c r="F29" s="455">
        <f t="shared" si="3"/>
        <v>3115456.0737074832</v>
      </c>
    </row>
    <row r="30" spans="1:6">
      <c r="A30" s="449">
        <f t="shared" si="0"/>
        <v>18</v>
      </c>
      <c r="B30" s="452"/>
      <c r="C30" s="452"/>
      <c r="D30" s="455"/>
      <c r="E30" s="455"/>
      <c r="F30" s="455"/>
    </row>
    <row r="31" spans="1:6">
      <c r="A31" s="449">
        <f t="shared" si="0"/>
        <v>19</v>
      </c>
      <c r="B31" s="452" t="s">
        <v>627</v>
      </c>
      <c r="C31" s="640">
        <v>0.35</v>
      </c>
      <c r="D31" s="527">
        <f>+D47</f>
        <v>-670066</v>
      </c>
      <c r="E31" s="527">
        <f t="shared" ref="E31:F31" si="4">+E47</f>
        <v>-1386673</v>
      </c>
      <c r="F31" s="527">
        <f t="shared" si="4"/>
        <v>-716607</v>
      </c>
    </row>
    <row r="32" spans="1:6">
      <c r="A32" s="449">
        <f t="shared" si="0"/>
        <v>20</v>
      </c>
      <c r="B32" s="452" t="s">
        <v>628</v>
      </c>
      <c r="C32" s="640"/>
      <c r="D32" s="465">
        <f>ROUND(+D43*D49,0)</f>
        <v>655574</v>
      </c>
      <c r="E32" s="465">
        <f t="shared" ref="E32:F32" si="5">ROUND(+E43*E49,0)</f>
        <v>281772</v>
      </c>
      <c r="F32" s="465">
        <f t="shared" si="5"/>
        <v>-373802</v>
      </c>
    </row>
    <row r="33" spans="1:6" ht="16.5" thickBot="1">
      <c r="A33" s="449">
        <f t="shared" si="0"/>
        <v>21</v>
      </c>
      <c r="B33" s="452" t="s">
        <v>240</v>
      </c>
      <c r="C33" s="452"/>
      <c r="D33" s="641">
        <f>-D29-D31-D32</f>
        <v>-26913</v>
      </c>
      <c r="E33" s="641">
        <f t="shared" ref="E33:F33" si="6">-E29-E31-E32</f>
        <v>-2051960.0737074832</v>
      </c>
      <c r="F33" s="641">
        <f t="shared" si="6"/>
        <v>-2025047.0737074832</v>
      </c>
    </row>
    <row r="34" spans="1:6" ht="16.5" thickTop="1">
      <c r="A34" s="449">
        <f t="shared" si="0"/>
        <v>22</v>
      </c>
      <c r="B34" s="197"/>
      <c r="C34" s="197"/>
      <c r="D34" s="197"/>
      <c r="E34" s="197"/>
      <c r="F34" s="197"/>
    </row>
    <row r="35" spans="1:6">
      <c r="A35" s="449">
        <f t="shared" si="0"/>
        <v>23</v>
      </c>
      <c r="B35" s="4" t="s">
        <v>629</v>
      </c>
      <c r="C35" s="1"/>
      <c r="D35" s="1"/>
      <c r="E35" s="6"/>
      <c r="F35" s="197"/>
    </row>
    <row r="36" spans="1:6">
      <c r="A36" s="449">
        <f t="shared" si="0"/>
        <v>24</v>
      </c>
      <c r="B36" s="4" t="s">
        <v>662</v>
      </c>
      <c r="C36" s="1"/>
      <c r="D36" s="1"/>
      <c r="E36" s="6"/>
      <c r="F36" s="197"/>
    </row>
    <row r="37" spans="1:6">
      <c r="A37" s="449">
        <f t="shared" si="0"/>
        <v>25</v>
      </c>
      <c r="B37" s="4"/>
      <c r="C37" s="1"/>
      <c r="D37" s="1"/>
      <c r="E37" s="6"/>
      <c r="F37" s="197"/>
    </row>
    <row r="38" spans="1:6">
      <c r="A38" s="449">
        <f t="shared" si="0"/>
        <v>26</v>
      </c>
      <c r="B38" s="4" t="s">
        <v>630</v>
      </c>
      <c r="C38" s="197"/>
      <c r="D38" s="723">
        <f>-D29</f>
        <v>-41405</v>
      </c>
      <c r="E38" s="723">
        <f t="shared" ref="E38:F38" si="7">-E29</f>
        <v>-3156861.0737074832</v>
      </c>
      <c r="F38" s="723">
        <f t="shared" si="7"/>
        <v>-3115456.0737074832</v>
      </c>
    </row>
    <row r="39" spans="1:6">
      <c r="A39" s="449">
        <f t="shared" si="0"/>
        <v>27</v>
      </c>
      <c r="B39" s="4" t="s">
        <v>631</v>
      </c>
      <c r="C39" s="197"/>
      <c r="D39" s="531"/>
      <c r="E39" s="531"/>
      <c r="F39" s="560"/>
    </row>
    <row r="40" spans="1:6">
      <c r="A40" s="449">
        <f t="shared" si="0"/>
        <v>28</v>
      </c>
      <c r="B40" s="4" t="s">
        <v>632</v>
      </c>
      <c r="C40" s="197"/>
      <c r="D40" s="531"/>
      <c r="E40" s="531"/>
      <c r="F40" s="560"/>
    </row>
    <row r="41" spans="1:6">
      <c r="A41" s="449">
        <f t="shared" si="0"/>
        <v>29</v>
      </c>
      <c r="B41" s="4" t="s">
        <v>633</v>
      </c>
      <c r="C41" s="197"/>
      <c r="D41" s="531"/>
      <c r="E41" s="531"/>
      <c r="F41" s="560"/>
    </row>
    <row r="42" spans="1:6">
      <c r="A42" s="449">
        <f t="shared" si="0"/>
        <v>30</v>
      </c>
      <c r="B42" s="4" t="s">
        <v>634</v>
      </c>
      <c r="C42" s="197"/>
      <c r="D42" s="531"/>
      <c r="E42" s="531"/>
      <c r="F42" s="560">
        <v>0</v>
      </c>
    </row>
    <row r="43" spans="1:6">
      <c r="A43" s="449">
        <f t="shared" si="0"/>
        <v>31</v>
      </c>
      <c r="B43" s="4" t="s">
        <v>635</v>
      </c>
      <c r="C43" s="197"/>
      <c r="D43" s="725">
        <v>1873069.6799999997</v>
      </c>
      <c r="E43" s="725">
        <v>805062.9120000042</v>
      </c>
      <c r="F43" s="726">
        <v>-1068006.7679999955</v>
      </c>
    </row>
    <row r="44" spans="1:6">
      <c r="A44" s="449">
        <f t="shared" si="0"/>
        <v>32</v>
      </c>
      <c r="B44" s="4"/>
      <c r="C44" s="197"/>
      <c r="D44" s="531"/>
      <c r="E44" s="531"/>
      <c r="F44" s="560"/>
    </row>
    <row r="45" spans="1:6">
      <c r="A45" s="449">
        <f t="shared" si="0"/>
        <v>33</v>
      </c>
      <c r="B45" s="4" t="s">
        <v>636</v>
      </c>
      <c r="C45" s="197"/>
      <c r="D45" s="532">
        <f>+D38-D43</f>
        <v>-1914474.6799999997</v>
      </c>
      <c r="E45" s="532">
        <f>+E38-E43</f>
        <v>-3961923.9857074874</v>
      </c>
      <c r="F45" s="532">
        <f>+F38-F43</f>
        <v>-2047449.3057074877</v>
      </c>
    </row>
    <row r="46" spans="1:6">
      <c r="A46" s="449">
        <f t="shared" si="0"/>
        <v>34</v>
      </c>
      <c r="B46" s="4" t="s">
        <v>637</v>
      </c>
      <c r="C46" s="197"/>
      <c r="D46" s="531"/>
      <c r="E46" s="531"/>
      <c r="F46" s="560"/>
    </row>
    <row r="47" spans="1:6" ht="16.5" thickBot="1">
      <c r="A47" s="449">
        <f t="shared" si="0"/>
        <v>35</v>
      </c>
      <c r="B47" s="4" t="s">
        <v>638</v>
      </c>
      <c r="C47" s="197"/>
      <c r="D47" s="724">
        <f>ROUND(+D45*D49,0)</f>
        <v>-670066</v>
      </c>
      <c r="E47" s="724">
        <f t="shared" ref="E47:F47" si="8">ROUND(+E45*E49,0)</f>
        <v>-1386673</v>
      </c>
      <c r="F47" s="724">
        <f t="shared" si="8"/>
        <v>-716607</v>
      </c>
    </row>
    <row r="48" spans="1:6" ht="16.5" thickTop="1">
      <c r="A48" s="449">
        <f t="shared" si="0"/>
        <v>36</v>
      </c>
      <c r="B48" s="536"/>
      <c r="C48" s="197"/>
      <c r="D48" s="536"/>
      <c r="E48" s="536"/>
      <c r="F48" s="541"/>
    </row>
    <row r="49" spans="1:6">
      <c r="A49" s="449">
        <f t="shared" si="0"/>
        <v>37</v>
      </c>
      <c r="B49" s="536" t="s">
        <v>639</v>
      </c>
      <c r="C49" s="197"/>
      <c r="D49" s="536">
        <v>0.35</v>
      </c>
      <c r="E49" s="536">
        <v>0.35</v>
      </c>
      <c r="F49" s="536">
        <v>0.35</v>
      </c>
    </row>
    <row r="50" spans="1:6">
      <c r="A50" s="197"/>
      <c r="B50" s="197"/>
      <c r="C50" s="197"/>
      <c r="D50" s="197"/>
      <c r="E50" s="197"/>
      <c r="F50" s="197"/>
    </row>
  </sheetData>
  <pageMargins left="0.7" right="0.7" top="0.75" bottom="0.75" header="0.75" footer="0.3"/>
  <pageSetup scale="83" orientation="portrait" r:id="rId1"/>
  <headerFooter>
    <oddHeader>&amp;R&amp;"Times New Roman,Regular"&amp;12Exhibit KHB-2
Page 2.17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4"/>
  <sheetViews>
    <sheetView topLeftCell="A6" zoomScaleNormal="100" workbookViewId="0">
      <selection activeCell="B52" sqref="B52"/>
    </sheetView>
  </sheetViews>
  <sheetFormatPr defaultColWidth="9.140625" defaultRowHeight="15.75"/>
  <cols>
    <col min="1" max="1" width="7.42578125" style="2" customWidth="1"/>
    <col min="2" max="2" width="57" style="2" bestFit="1" customWidth="1"/>
    <col min="3" max="3" width="13.42578125" style="2" bestFit="1" customWidth="1"/>
    <col min="4" max="4" width="14" style="2" bestFit="1" customWidth="1"/>
    <col min="5" max="5" width="16.7109375" style="2" bestFit="1" customWidth="1"/>
    <col min="6" max="16384" width="9.140625" style="2"/>
  </cols>
  <sheetData>
    <row r="1" spans="1:5">
      <c r="A1" s="2" t="str">
        <f>CO</f>
        <v>Puget Sound Energy</v>
      </c>
    </row>
    <row r="2" spans="1:5">
      <c r="A2" s="2" t="str">
        <f>DOCKET</f>
        <v>Docket UE-090704/UG-090705</v>
      </c>
    </row>
    <row r="4" spans="1:5">
      <c r="A4" s="257" t="s">
        <v>201</v>
      </c>
      <c r="B4" s="258"/>
      <c r="C4" s="258"/>
      <c r="D4" s="257"/>
      <c r="E4" s="258"/>
    </row>
    <row r="5" spans="1:5">
      <c r="A5" s="257" t="s">
        <v>796</v>
      </c>
      <c r="B5" s="258"/>
      <c r="C5" s="257"/>
      <c r="D5" s="258"/>
      <c r="E5" s="258"/>
    </row>
    <row r="6" spans="1:5">
      <c r="A6" s="258" t="s">
        <v>204</v>
      </c>
      <c r="B6" s="258"/>
      <c r="C6" s="257"/>
      <c r="D6" s="258"/>
      <c r="E6" s="258"/>
    </row>
    <row r="7" spans="1:5">
      <c r="A7" s="257" t="s">
        <v>205</v>
      </c>
      <c r="B7" s="258"/>
      <c r="C7" s="257"/>
      <c r="D7" s="257"/>
      <c r="E7" s="257"/>
    </row>
    <row r="8" spans="1:5">
      <c r="A8" s="259"/>
      <c r="B8" s="259"/>
      <c r="C8" s="259"/>
      <c r="D8" s="254"/>
      <c r="E8" s="259"/>
    </row>
    <row r="9" spans="1:5">
      <c r="A9" s="260" t="s">
        <v>208</v>
      </c>
      <c r="B9" s="261"/>
      <c r="C9" s="262"/>
      <c r="D9" s="263" t="s">
        <v>603</v>
      </c>
      <c r="E9" s="263"/>
    </row>
    <row r="10" spans="1:5">
      <c r="A10" s="260" t="s">
        <v>215</v>
      </c>
      <c r="B10" s="259" t="s">
        <v>216</v>
      </c>
      <c r="C10" s="263" t="s">
        <v>495</v>
      </c>
      <c r="D10" s="263" t="s">
        <v>221</v>
      </c>
      <c r="E10" s="263" t="s">
        <v>217</v>
      </c>
    </row>
    <row r="11" spans="1:5">
      <c r="A11" s="264"/>
      <c r="B11" s="265"/>
      <c r="C11" s="265"/>
      <c r="D11" s="265"/>
      <c r="E11" s="265"/>
    </row>
    <row r="12" spans="1:5">
      <c r="A12" s="266">
        <v>1</v>
      </c>
      <c r="B12" s="243" t="s">
        <v>790</v>
      </c>
      <c r="C12" s="233"/>
      <c r="D12" s="233"/>
      <c r="E12" s="233"/>
    </row>
    <row r="13" spans="1:5">
      <c r="A13" s="266">
        <v>2</v>
      </c>
      <c r="B13" s="243" t="s">
        <v>579</v>
      </c>
      <c r="C13" s="350">
        <v>125846.59999999999</v>
      </c>
      <c r="D13" s="350">
        <v>784036.13928692695</v>
      </c>
      <c r="E13" s="350">
        <v>658189.53928692697</v>
      </c>
    </row>
    <row r="14" spans="1:5">
      <c r="A14" s="266">
        <v>3</v>
      </c>
      <c r="B14" s="243" t="s">
        <v>791</v>
      </c>
      <c r="C14" s="27"/>
      <c r="D14" s="27"/>
      <c r="E14" s="27"/>
    </row>
    <row r="15" spans="1:5">
      <c r="A15" s="266">
        <v>4</v>
      </c>
      <c r="B15" s="243" t="s">
        <v>792</v>
      </c>
      <c r="C15" s="27">
        <v>230670.18999999994</v>
      </c>
      <c r="D15" s="27">
        <v>888606.08200000005</v>
      </c>
      <c r="E15" s="27">
        <v>657935.89200000011</v>
      </c>
    </row>
    <row r="16" spans="1:5">
      <c r="A16" s="266">
        <v>5</v>
      </c>
      <c r="B16" s="243" t="s">
        <v>386</v>
      </c>
      <c r="C16" s="642">
        <f>SUM(C13:C15)</f>
        <v>356516.78999999992</v>
      </c>
      <c r="D16" s="642">
        <f t="shared" ref="D16:E16" si="0">SUM(D13:D15)</f>
        <v>1672642.2212869269</v>
      </c>
      <c r="E16" s="642">
        <f t="shared" si="0"/>
        <v>1316125.4312869271</v>
      </c>
    </row>
    <row r="17" spans="1:5">
      <c r="A17" s="266">
        <v>6</v>
      </c>
      <c r="B17" s="243"/>
      <c r="C17" s="27"/>
      <c r="D17" s="27"/>
      <c r="E17" s="27"/>
    </row>
    <row r="18" spans="1:5">
      <c r="A18" s="266">
        <v>7</v>
      </c>
      <c r="B18" s="267" t="s">
        <v>249</v>
      </c>
      <c r="C18" s="643">
        <f>+C16</f>
        <v>356516.78999999992</v>
      </c>
      <c r="D18" s="643">
        <f t="shared" ref="D18:E18" si="1">+D16</f>
        <v>1672642.2212869269</v>
      </c>
      <c r="E18" s="643">
        <f t="shared" si="1"/>
        <v>1316125.4312869271</v>
      </c>
    </row>
    <row r="19" spans="1:5">
      <c r="A19" s="266">
        <v>8</v>
      </c>
      <c r="B19" s="243"/>
      <c r="C19" s="243"/>
      <c r="D19" s="243"/>
      <c r="E19" s="243"/>
    </row>
    <row r="20" spans="1:5">
      <c r="A20" s="266">
        <v>9</v>
      </c>
      <c r="B20" s="269" t="s">
        <v>627</v>
      </c>
      <c r="C20" s="248">
        <f>+C43</f>
        <v>-106035</v>
      </c>
      <c r="D20" s="248">
        <f>+D43</f>
        <v>-463926</v>
      </c>
      <c r="E20" s="248">
        <f t="shared" ref="E20" si="2">+D20-C20</f>
        <v>-357891</v>
      </c>
    </row>
    <row r="21" spans="1:5">
      <c r="A21" s="266">
        <v>10</v>
      </c>
      <c r="B21" s="269" t="s">
        <v>628</v>
      </c>
      <c r="C21" s="248">
        <f>ROUND(C39*C44,0)</f>
        <v>-18746</v>
      </c>
      <c r="D21" s="248">
        <f t="shared" ref="D21:E21" si="3">ROUND(D39*D44,0)</f>
        <v>-121499</v>
      </c>
      <c r="E21" s="248">
        <f t="shared" si="3"/>
        <v>-102753</v>
      </c>
    </row>
    <row r="22" spans="1:5" ht="16.5" thickBot="1">
      <c r="A22" s="266">
        <v>11</v>
      </c>
      <c r="B22" s="269" t="s">
        <v>240</v>
      </c>
      <c r="C22" s="690">
        <f>-C18-C20-C21</f>
        <v>-231735.78999999992</v>
      </c>
      <c r="D22" s="690">
        <f t="shared" ref="D22:E22" si="4">-D18-D20-D21</f>
        <v>-1087217.2212869269</v>
      </c>
      <c r="E22" s="251">
        <f t="shared" si="4"/>
        <v>-855481.43128692708</v>
      </c>
    </row>
    <row r="23" spans="1:5" ht="16.5" thickTop="1">
      <c r="A23" s="266">
        <v>12</v>
      </c>
      <c r="B23" s="269"/>
      <c r="C23" s="27"/>
      <c r="D23" s="270"/>
      <c r="E23" s="253"/>
    </row>
    <row r="24" spans="1:5">
      <c r="A24" s="266">
        <v>13</v>
      </c>
      <c r="B24" s="269" t="s">
        <v>793</v>
      </c>
      <c r="C24" s="27"/>
      <c r="D24" s="270"/>
      <c r="E24" s="27"/>
    </row>
    <row r="25" spans="1:5">
      <c r="A25" s="266">
        <v>14</v>
      </c>
      <c r="B25" s="269" t="s">
        <v>622</v>
      </c>
      <c r="C25" s="233">
        <v>4867209.59375</v>
      </c>
      <c r="D25" s="233">
        <v>39320406.800000004</v>
      </c>
      <c r="E25" s="233">
        <v>34453197.206250004</v>
      </c>
    </row>
    <row r="26" spans="1:5">
      <c r="A26" s="266">
        <v>15</v>
      </c>
      <c r="B26" s="269" t="s">
        <v>606</v>
      </c>
      <c r="C26" s="27">
        <v>-6745.0508333333337</v>
      </c>
      <c r="D26" s="27">
        <v>-1621335.7692869266</v>
      </c>
      <c r="E26" s="27">
        <v>-1614590.7184535933</v>
      </c>
    </row>
    <row r="27" spans="1:5">
      <c r="A27" s="266">
        <v>16</v>
      </c>
      <c r="B27" s="243" t="s">
        <v>794</v>
      </c>
      <c r="C27" s="27">
        <v>260.27819959496463</v>
      </c>
      <c r="D27" s="27">
        <v>274523.51918051654</v>
      </c>
      <c r="E27" s="27">
        <v>274263.24098092155</v>
      </c>
    </row>
    <row r="28" spans="1:5">
      <c r="A28" s="266">
        <v>17</v>
      </c>
      <c r="B28" s="243"/>
      <c r="C28" s="248"/>
      <c r="D28" s="248"/>
      <c r="E28" s="248"/>
    </row>
    <row r="29" spans="1:5" ht="16.5" thickBot="1">
      <c r="A29" s="266">
        <v>18</v>
      </c>
      <c r="B29" s="243" t="s">
        <v>795</v>
      </c>
      <c r="C29" s="690">
        <f>SUM(C25:C28)</f>
        <v>4860724.8211162621</v>
      </c>
      <c r="D29" s="690">
        <f t="shared" ref="D29:E29" si="5">SUM(D25:D28)</f>
        <v>37973594.549893595</v>
      </c>
      <c r="E29" s="690">
        <f t="shared" si="5"/>
        <v>33112869.728777334</v>
      </c>
    </row>
    <row r="30" spans="1:5" ht="16.5" thickTop="1">
      <c r="A30" s="266">
        <v>19</v>
      </c>
      <c r="B30" s="269"/>
      <c r="C30" s="27"/>
      <c r="D30" s="27"/>
      <c r="E30" s="27"/>
    </row>
    <row r="31" spans="1:5">
      <c r="A31" s="266">
        <v>20</v>
      </c>
      <c r="B31" s="243" t="s">
        <v>629</v>
      </c>
      <c r="C31" s="243"/>
      <c r="D31" s="243"/>
      <c r="E31" s="271"/>
    </row>
    <row r="32" spans="1:5">
      <c r="A32" s="266">
        <v>21</v>
      </c>
      <c r="B32" s="267" t="s">
        <v>662</v>
      </c>
      <c r="C32" s="233"/>
      <c r="D32" s="233"/>
      <c r="E32" s="233"/>
    </row>
    <row r="33" spans="1:5">
      <c r="A33" s="266">
        <v>22</v>
      </c>
      <c r="B33" s="243"/>
      <c r="C33" s="243"/>
      <c r="D33" s="243"/>
      <c r="E33" s="243"/>
    </row>
    <row r="34" spans="1:5">
      <c r="A34" s="266">
        <v>23</v>
      </c>
      <c r="B34" s="269" t="s">
        <v>630</v>
      </c>
      <c r="C34" s="233">
        <f>-C18</f>
        <v>-356516.78999999992</v>
      </c>
      <c r="D34" s="233">
        <f t="shared" ref="D34:E34" si="6">-D18</f>
        <v>-1672642.2212869269</v>
      </c>
      <c r="E34" s="233">
        <f t="shared" si="6"/>
        <v>-1316125.4312869271</v>
      </c>
    </row>
    <row r="35" spans="1:5">
      <c r="A35" s="266">
        <v>24</v>
      </c>
      <c r="B35" s="243" t="s">
        <v>631</v>
      </c>
      <c r="C35" s="268"/>
      <c r="D35" s="268"/>
      <c r="E35" s="243"/>
    </row>
    <row r="36" spans="1:5">
      <c r="A36" s="266">
        <v>25</v>
      </c>
      <c r="B36" s="243" t="s">
        <v>632</v>
      </c>
      <c r="C36" s="272"/>
      <c r="D36" s="243"/>
      <c r="E36" s="273"/>
    </row>
    <row r="37" spans="1:5">
      <c r="A37" s="266">
        <v>26</v>
      </c>
      <c r="B37" s="267" t="s">
        <v>633</v>
      </c>
      <c r="C37" s="274"/>
      <c r="D37" s="274"/>
      <c r="E37" s="248"/>
    </row>
    <row r="38" spans="1:5">
      <c r="A38" s="266">
        <v>27</v>
      </c>
      <c r="B38" s="267" t="s">
        <v>634</v>
      </c>
      <c r="C38" s="275"/>
      <c r="D38" s="276"/>
      <c r="E38" s="27">
        <v>0</v>
      </c>
    </row>
    <row r="39" spans="1:5">
      <c r="A39" s="266">
        <v>28</v>
      </c>
      <c r="B39" s="267" t="s">
        <v>635</v>
      </c>
      <c r="C39" s="644">
        <v>-53560.742657408118</v>
      </c>
      <c r="D39" s="645">
        <v>-347140.13928692788</v>
      </c>
      <c r="E39" s="646">
        <v>-293579.39662951976</v>
      </c>
    </row>
    <row r="40" spans="1:5">
      <c r="A40" s="2">
        <v>29</v>
      </c>
      <c r="C40" s="197"/>
      <c r="D40" s="197"/>
      <c r="E40" s="197"/>
    </row>
    <row r="41" spans="1:5">
      <c r="A41" s="2">
        <v>30</v>
      </c>
      <c r="B41" s="2" t="s">
        <v>636</v>
      </c>
      <c r="C41" s="631">
        <f>+C34-C39</f>
        <v>-302956.0473425918</v>
      </c>
      <c r="D41" s="631">
        <f t="shared" ref="D41:E41" si="7">+D34-D39</f>
        <v>-1325502.081999999</v>
      </c>
      <c r="E41" s="631">
        <f t="shared" si="7"/>
        <v>-1022546.0346574073</v>
      </c>
    </row>
    <row r="42" spans="1:5">
      <c r="A42" s="2">
        <v>31</v>
      </c>
      <c r="B42" s="2" t="s">
        <v>637</v>
      </c>
    </row>
    <row r="43" spans="1:5">
      <c r="A43" s="2">
        <v>32</v>
      </c>
      <c r="B43" s="2" t="s">
        <v>638</v>
      </c>
      <c r="C43" s="32">
        <f>ROUND(C41*C44,0)</f>
        <v>-106035</v>
      </c>
      <c r="D43" s="32">
        <f t="shared" ref="D43:E43" si="8">ROUND(D41*D44,0)</f>
        <v>-463926</v>
      </c>
      <c r="E43" s="32">
        <f t="shared" si="8"/>
        <v>-357891</v>
      </c>
    </row>
    <row r="44" spans="1:5">
      <c r="A44" s="2">
        <v>33</v>
      </c>
      <c r="B44" s="2" t="s">
        <v>639</v>
      </c>
      <c r="C44" s="2">
        <v>0.35</v>
      </c>
      <c r="D44" s="2">
        <v>0.35</v>
      </c>
      <c r="E44" s="2">
        <v>0.35</v>
      </c>
    </row>
  </sheetData>
  <pageMargins left="0.7" right="0.7" top="0.75" bottom="0.75" header="0.75" footer="0.3"/>
  <pageSetup scale="83" orientation="portrait" r:id="rId1"/>
  <headerFooter>
    <oddHeader>&amp;R&amp;"Times New Roman,Regular"&amp;12Exhibit KHB-2
Page 2.18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0"/>
  <sheetViews>
    <sheetView topLeftCell="A8" zoomScaleNormal="100" workbookViewId="0">
      <selection activeCell="B52" sqref="B52"/>
    </sheetView>
  </sheetViews>
  <sheetFormatPr defaultColWidth="9.140625" defaultRowHeight="15.75"/>
  <cols>
    <col min="1" max="1" width="7.42578125" style="2" customWidth="1"/>
    <col min="2" max="2" width="68.28515625" style="2" customWidth="1"/>
    <col min="3" max="3" width="7.28515625" style="2" customWidth="1"/>
    <col min="4" max="4" width="10.28515625" style="2" bestFit="1" customWidth="1"/>
    <col min="5" max="5" width="16.7109375" style="2" bestFit="1" customWidth="1"/>
    <col min="6" max="16384" width="9.140625" style="2"/>
  </cols>
  <sheetData>
    <row r="1" spans="1:5">
      <c r="A1" s="2" t="str">
        <f>CO</f>
        <v>Puget Sound Energy</v>
      </c>
    </row>
    <row r="2" spans="1:5">
      <c r="A2" s="2" t="str">
        <f>DOCKET</f>
        <v>Docket UE-090704/UG-090705</v>
      </c>
    </row>
    <row r="4" spans="1:5">
      <c r="A4" s="218" t="s">
        <v>201</v>
      </c>
      <c r="B4" s="691"/>
      <c r="C4" s="287"/>
      <c r="D4" s="287"/>
      <c r="E4" s="287"/>
    </row>
    <row r="5" spans="1:5">
      <c r="A5" s="218" t="s">
        <v>721</v>
      </c>
      <c r="B5" s="287"/>
      <c r="C5" s="287"/>
      <c r="D5" s="287"/>
      <c r="E5" s="287"/>
    </row>
    <row r="6" spans="1:5">
      <c r="A6" s="219" t="str">
        <f>TY</f>
        <v>FOR THE TWELVE MONTHS ENDED DECEMBER 31, 2008</v>
      </c>
      <c r="B6" s="692"/>
      <c r="C6" s="692"/>
      <c r="D6" s="692"/>
      <c r="E6" s="692"/>
    </row>
    <row r="7" spans="1:5">
      <c r="A7" s="218" t="s">
        <v>205</v>
      </c>
      <c r="B7" s="542"/>
      <c r="C7" s="542"/>
      <c r="D7" s="470"/>
      <c r="E7" s="470"/>
    </row>
    <row r="8" spans="1:5">
      <c r="A8" s="220"/>
      <c r="B8" s="470"/>
      <c r="C8" s="470"/>
      <c r="D8" s="470"/>
      <c r="E8" s="470"/>
    </row>
    <row r="9" spans="1:5">
      <c r="A9" s="693" t="s">
        <v>208</v>
      </c>
      <c r="B9" s="694"/>
      <c r="C9" s="694"/>
      <c r="D9" s="695"/>
      <c r="E9" s="695"/>
    </row>
    <row r="10" spans="1:5">
      <c r="A10" s="696" t="s">
        <v>215</v>
      </c>
      <c r="B10" s="697" t="s">
        <v>216</v>
      </c>
      <c r="C10" s="696"/>
      <c r="D10" s="698"/>
      <c r="E10" s="699" t="s">
        <v>217</v>
      </c>
    </row>
    <row r="11" spans="1:5">
      <c r="A11" s="229"/>
      <c r="B11" s="470"/>
      <c r="C11" s="470"/>
      <c r="D11" s="470"/>
      <c r="E11" s="470"/>
    </row>
    <row r="12" spans="1:5">
      <c r="A12" s="231">
        <v>1</v>
      </c>
      <c r="B12" s="700" t="s">
        <v>402</v>
      </c>
      <c r="C12" s="351"/>
      <c r="D12" s="351"/>
      <c r="E12" s="351"/>
    </row>
    <row r="13" spans="1:5">
      <c r="A13" s="231">
        <f t="shared" ref="A13:A39" si="0">A12+1</f>
        <v>2</v>
      </c>
      <c r="B13" s="358" t="s">
        <v>403</v>
      </c>
      <c r="C13" s="351"/>
      <c r="D13" s="701"/>
      <c r="E13" s="704">
        <v>56528843.190000005</v>
      </c>
    </row>
    <row r="14" spans="1:5">
      <c r="A14" s="231">
        <f t="shared" si="0"/>
        <v>3</v>
      </c>
      <c r="B14" s="358" t="s">
        <v>404</v>
      </c>
      <c r="C14" s="702"/>
      <c r="D14" s="701"/>
      <c r="E14" s="701">
        <v>71715878.550000012</v>
      </c>
    </row>
    <row r="15" spans="1:5">
      <c r="A15" s="231">
        <f t="shared" si="0"/>
        <v>4</v>
      </c>
      <c r="B15" s="358" t="s">
        <v>405</v>
      </c>
      <c r="C15" s="702"/>
      <c r="D15" s="701"/>
      <c r="E15" s="701">
        <v>7416312.6799999997</v>
      </c>
    </row>
    <row r="16" spans="1:5">
      <c r="A16" s="231">
        <f t="shared" si="0"/>
        <v>5</v>
      </c>
      <c r="B16" s="359" t="s">
        <v>406</v>
      </c>
      <c r="C16" s="702"/>
      <c r="D16" s="701"/>
      <c r="E16" s="701">
        <v>-42536502.539999999</v>
      </c>
    </row>
    <row r="17" spans="1:5">
      <c r="A17" s="231">
        <f t="shared" si="0"/>
        <v>6</v>
      </c>
      <c r="B17" s="360" t="s">
        <v>407</v>
      </c>
      <c r="C17" s="702"/>
      <c r="D17" s="701"/>
      <c r="E17" s="701">
        <v>2695592.29</v>
      </c>
    </row>
    <row r="18" spans="1:5">
      <c r="A18" s="231">
        <f t="shared" si="0"/>
        <v>7</v>
      </c>
      <c r="B18" s="360" t="s">
        <v>408</v>
      </c>
      <c r="C18" s="702"/>
      <c r="D18" s="701"/>
      <c r="E18" s="701">
        <v>-188208.99</v>
      </c>
    </row>
    <row r="19" spans="1:5">
      <c r="A19" s="231">
        <f t="shared" si="0"/>
        <v>8</v>
      </c>
      <c r="B19" s="360" t="s">
        <v>409</v>
      </c>
      <c r="C19" s="702"/>
      <c r="D19" s="701"/>
      <c r="E19" s="705">
        <f>SUM(E13:E18)</f>
        <v>95631915.180000037</v>
      </c>
    </row>
    <row r="20" spans="1:5">
      <c r="A20" s="231">
        <f t="shared" si="0"/>
        <v>9</v>
      </c>
      <c r="B20" s="232"/>
      <c r="C20" s="232"/>
      <c r="D20" s="232"/>
      <c r="E20" s="701"/>
    </row>
    <row r="21" spans="1:5">
      <c r="A21" s="231">
        <f t="shared" si="0"/>
        <v>10</v>
      </c>
      <c r="B21" s="399" t="s">
        <v>410</v>
      </c>
      <c r="C21" s="702"/>
      <c r="D21" s="356"/>
      <c r="E21" s="701"/>
    </row>
    <row r="22" spans="1:5">
      <c r="A22" s="231">
        <f t="shared" si="0"/>
        <v>11</v>
      </c>
      <c r="B22" s="232" t="s">
        <v>202</v>
      </c>
      <c r="C22" s="232"/>
      <c r="D22" s="356">
        <f>+'Conv Fact P2.48'!E15</f>
        <v>3.6219999999999998E-3</v>
      </c>
      <c r="E22" s="701">
        <f>-$E$19*D22</f>
        <v>-346378.79678196012</v>
      </c>
    </row>
    <row r="23" spans="1:5">
      <c r="A23" s="231">
        <f t="shared" si="0"/>
        <v>12</v>
      </c>
      <c r="B23" s="232" t="s">
        <v>237</v>
      </c>
      <c r="C23" s="232"/>
      <c r="D23" s="356">
        <f>+'Conv Fact P2.48'!E16</f>
        <v>2E-3</v>
      </c>
      <c r="E23" s="701">
        <f t="shared" ref="E23:E24" si="1">-$E$19*D23</f>
        <v>-191263.83036000008</v>
      </c>
    </row>
    <row r="24" spans="1:5">
      <c r="A24" s="231">
        <f t="shared" si="0"/>
        <v>13</v>
      </c>
      <c r="B24" s="232" t="s">
        <v>411</v>
      </c>
      <c r="C24" s="232"/>
      <c r="D24" s="356">
        <f>+'Conv Fact P2.48'!E17</f>
        <v>3.8589999999999999E-2</v>
      </c>
      <c r="E24" s="701">
        <f t="shared" si="1"/>
        <v>-3690435.6067962013</v>
      </c>
    </row>
    <row r="25" spans="1:5">
      <c r="A25" s="231">
        <f t="shared" si="0"/>
        <v>14</v>
      </c>
      <c r="B25" s="232" t="s">
        <v>226</v>
      </c>
      <c r="C25" s="232"/>
      <c r="D25" s="701"/>
      <c r="E25" s="705">
        <f>SUM(E22:E24)</f>
        <v>-4228078.2339381613</v>
      </c>
    </row>
    <row r="26" spans="1:5">
      <c r="A26" s="231">
        <f t="shared" si="0"/>
        <v>15</v>
      </c>
      <c r="B26" s="232"/>
      <c r="C26" s="232"/>
      <c r="D26" s="701"/>
      <c r="E26" s="701"/>
    </row>
    <row r="27" spans="1:5">
      <c r="A27" s="231">
        <f t="shared" si="0"/>
        <v>16</v>
      </c>
      <c r="B27" s="563" t="s">
        <v>412</v>
      </c>
      <c r="C27" s="232"/>
      <c r="D27" s="701"/>
      <c r="E27" s="701"/>
    </row>
    <row r="28" spans="1:5">
      <c r="A28" s="231">
        <f t="shared" si="0"/>
        <v>17</v>
      </c>
      <c r="B28" s="358" t="s">
        <v>403</v>
      </c>
      <c r="C28" s="232"/>
      <c r="D28" s="701"/>
      <c r="E28" s="701">
        <v>-53979048</v>
      </c>
    </row>
    <row r="29" spans="1:5">
      <c r="A29" s="231">
        <f t="shared" si="0"/>
        <v>18</v>
      </c>
      <c r="B29" s="358" t="s">
        <v>404</v>
      </c>
      <c r="C29" s="232"/>
      <c r="D29" s="701"/>
      <c r="E29" s="701">
        <v>-69266041.150000006</v>
      </c>
    </row>
    <row r="30" spans="1:5">
      <c r="A30" s="231">
        <f t="shared" si="0"/>
        <v>19</v>
      </c>
      <c r="B30" s="358" t="s">
        <v>405</v>
      </c>
      <c r="C30" s="232"/>
      <c r="D30" s="701"/>
      <c r="E30" s="701">
        <v>-7082151.9500000002</v>
      </c>
    </row>
    <row r="31" spans="1:5">
      <c r="A31" s="231">
        <f t="shared" si="0"/>
        <v>20</v>
      </c>
      <c r="B31" s="359" t="s">
        <v>406</v>
      </c>
      <c r="C31" s="232"/>
      <c r="D31" s="701"/>
      <c r="E31" s="701">
        <v>40663860.560000002</v>
      </c>
    </row>
    <row r="32" spans="1:5">
      <c r="A32" s="231">
        <f t="shared" si="0"/>
        <v>21</v>
      </c>
      <c r="B32" s="360" t="s">
        <v>407</v>
      </c>
      <c r="C32" s="232"/>
      <c r="D32" s="701"/>
      <c r="E32" s="701">
        <v>-755294.7</v>
      </c>
    </row>
    <row r="33" spans="1:5">
      <c r="A33" s="231">
        <f t="shared" si="0"/>
        <v>22</v>
      </c>
      <c r="B33" s="360" t="s">
        <v>413</v>
      </c>
      <c r="C33" s="243"/>
      <c r="D33" s="701"/>
      <c r="E33" s="701">
        <v>-167.09</v>
      </c>
    </row>
    <row r="34" spans="1:5">
      <c r="A34" s="231">
        <f t="shared" si="0"/>
        <v>23</v>
      </c>
      <c r="B34" s="360" t="s">
        <v>414</v>
      </c>
      <c r="C34" s="243"/>
      <c r="D34" s="701"/>
      <c r="E34" s="701">
        <v>-52.21</v>
      </c>
    </row>
    <row r="35" spans="1:5">
      <c r="A35" s="231">
        <f t="shared" si="0"/>
        <v>24</v>
      </c>
      <c r="B35" s="243" t="s">
        <v>415</v>
      </c>
      <c r="C35" s="243"/>
      <c r="D35" s="701"/>
      <c r="E35" s="705">
        <f>SUM(E28:E34)</f>
        <v>-90418894.540000007</v>
      </c>
    </row>
    <row r="36" spans="1:5">
      <c r="A36" s="231">
        <f t="shared" si="0"/>
        <v>25</v>
      </c>
      <c r="B36" s="243"/>
      <c r="C36" s="243"/>
      <c r="D36" s="703"/>
      <c r="E36" s="703"/>
    </row>
    <row r="37" spans="1:5">
      <c r="A37" s="231">
        <f t="shared" si="0"/>
        <v>26</v>
      </c>
      <c r="B37" s="243" t="s">
        <v>416</v>
      </c>
      <c r="C37" s="243"/>
      <c r="D37" s="703"/>
      <c r="E37" s="703">
        <f>-E19-E25-E35</f>
        <v>-984942.40606187284</v>
      </c>
    </row>
    <row r="38" spans="1:5">
      <c r="A38" s="231">
        <f t="shared" si="0"/>
        <v>27</v>
      </c>
      <c r="B38" s="243" t="s">
        <v>287</v>
      </c>
      <c r="C38" s="243"/>
      <c r="D38" s="703"/>
      <c r="E38" s="703">
        <f>E37*0.35</f>
        <v>-344729.84212165547</v>
      </c>
    </row>
    <row r="39" spans="1:5" ht="16.5" thickBot="1">
      <c r="A39" s="231">
        <f t="shared" si="0"/>
        <v>28</v>
      </c>
      <c r="B39" s="243" t="s">
        <v>240</v>
      </c>
      <c r="C39" s="243"/>
      <c r="D39" s="701"/>
      <c r="E39" s="706">
        <f>E37-E38</f>
        <v>-640212.56394021737</v>
      </c>
    </row>
    <row r="40" spans="1:5" ht="16.5" thickTop="1">
      <c r="A40" s="232"/>
      <c r="B40" s="232"/>
      <c r="C40" s="232"/>
      <c r="D40" s="232"/>
      <c r="E40" s="232"/>
    </row>
  </sheetData>
  <pageMargins left="0.7" right="0.7" top="0.75" bottom="0.75" header="0.75" footer="0.3"/>
  <pageSetup scale="82" orientation="portrait" r:id="rId1"/>
  <headerFooter>
    <oddHeader>&amp;R&amp;"Times New Roman,Regular"&amp;12Exhibit KHB-2
Page 2.19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2:I52"/>
  <sheetViews>
    <sheetView topLeftCell="A12" zoomScaleNormal="100" workbookViewId="0">
      <selection activeCell="B52" sqref="B52"/>
    </sheetView>
  </sheetViews>
  <sheetFormatPr defaultColWidth="6" defaultRowHeight="15.75"/>
  <cols>
    <col min="1" max="1" width="6" style="18"/>
    <col min="2" max="2" width="33.7109375" style="18" customWidth="1"/>
    <col min="3" max="9" width="20.7109375" style="18" customWidth="1"/>
    <col min="10" max="16384" width="6" style="18"/>
  </cols>
  <sheetData>
    <row r="2" spans="1:9">
      <c r="A2" s="770" t="s">
        <v>53</v>
      </c>
      <c r="B2" s="770"/>
      <c r="C2" s="770"/>
      <c r="D2" s="770"/>
      <c r="E2" s="770"/>
      <c r="F2" s="770"/>
      <c r="G2" s="770"/>
      <c r="H2" s="771"/>
      <c r="I2" s="771"/>
    </row>
    <row r="3" spans="1:9">
      <c r="A3" s="770" t="s">
        <v>55</v>
      </c>
      <c r="B3" s="770"/>
      <c r="C3" s="770"/>
      <c r="D3" s="770"/>
      <c r="E3" s="770"/>
      <c r="F3" s="770"/>
      <c r="G3" s="770"/>
      <c r="H3" s="771"/>
      <c r="I3" s="771"/>
    </row>
    <row r="4" spans="1:9">
      <c r="A4" s="770" t="s">
        <v>54</v>
      </c>
      <c r="B4" s="770"/>
      <c r="C4" s="770"/>
      <c r="D4" s="770"/>
      <c r="E4" s="770"/>
      <c r="F4" s="770"/>
      <c r="G4" s="770"/>
      <c r="H4" s="771"/>
      <c r="I4" s="771"/>
    </row>
    <row r="5" spans="1:9">
      <c r="A5" s="770" t="s">
        <v>56</v>
      </c>
      <c r="B5" s="770"/>
      <c r="C5" s="770"/>
      <c r="D5" s="770"/>
      <c r="E5" s="770"/>
      <c r="F5" s="770"/>
      <c r="G5" s="770"/>
      <c r="H5" s="771"/>
      <c r="I5" s="771"/>
    </row>
    <row r="6" spans="1:9">
      <c r="A6" s="11"/>
      <c r="B6" s="11"/>
      <c r="C6" s="11" t="s">
        <v>44</v>
      </c>
      <c r="D6" s="11" t="s">
        <v>58</v>
      </c>
      <c r="E6" s="11" t="s">
        <v>62</v>
      </c>
      <c r="F6" s="11" t="s">
        <v>64</v>
      </c>
      <c r="G6" s="11" t="s">
        <v>67</v>
      </c>
      <c r="H6" s="11" t="s">
        <v>71</v>
      </c>
      <c r="I6" s="11" t="s">
        <v>73</v>
      </c>
    </row>
    <row r="7" spans="1:9">
      <c r="A7" s="12" t="s">
        <v>37</v>
      </c>
      <c r="B7" s="12"/>
      <c r="C7" s="12" t="s">
        <v>45</v>
      </c>
      <c r="D7" s="12" t="s">
        <v>59</v>
      </c>
      <c r="E7" s="12" t="s">
        <v>613</v>
      </c>
      <c r="F7" s="12" t="s">
        <v>65</v>
      </c>
      <c r="G7" s="12" t="s">
        <v>68</v>
      </c>
      <c r="H7" s="12" t="s">
        <v>72</v>
      </c>
      <c r="I7" s="12" t="s">
        <v>74</v>
      </c>
    </row>
    <row r="8" spans="1:9">
      <c r="A8" s="13" t="s">
        <v>38</v>
      </c>
      <c r="B8" s="12" t="s">
        <v>39</v>
      </c>
      <c r="C8" s="12" t="s">
        <v>40</v>
      </c>
      <c r="D8" s="12" t="s">
        <v>61</v>
      </c>
      <c r="E8" s="12" t="s">
        <v>63</v>
      </c>
      <c r="F8" s="12" t="s">
        <v>66</v>
      </c>
      <c r="G8" s="12" t="s">
        <v>69</v>
      </c>
      <c r="H8" s="12" t="s">
        <v>70</v>
      </c>
      <c r="I8" s="12" t="s">
        <v>75</v>
      </c>
    </row>
    <row r="9" spans="1:9">
      <c r="A9" s="14"/>
      <c r="B9" s="15"/>
      <c r="C9" s="14" t="s">
        <v>77</v>
      </c>
      <c r="D9" s="14" t="s">
        <v>78</v>
      </c>
      <c r="E9" s="14" t="s">
        <v>80</v>
      </c>
      <c r="F9" s="14" t="s">
        <v>42</v>
      </c>
      <c r="G9" s="14" t="s">
        <v>57</v>
      </c>
      <c r="H9" s="14" t="s">
        <v>81</v>
      </c>
      <c r="I9" s="17" t="s">
        <v>52</v>
      </c>
    </row>
    <row r="10" spans="1:9">
      <c r="A10" s="20">
        <v>1</v>
      </c>
      <c r="B10" s="22" t="s">
        <v>0</v>
      </c>
      <c r="C10" s="23"/>
      <c r="D10" s="23"/>
      <c r="E10" s="23"/>
      <c r="F10" s="23"/>
      <c r="G10" s="23"/>
    </row>
    <row r="11" spans="1:9">
      <c r="A11" s="20">
        <f>1+A10</f>
        <v>2</v>
      </c>
      <c r="B11" s="22" t="s">
        <v>1</v>
      </c>
      <c r="C11" s="29">
        <v>1988945643.9899998</v>
      </c>
      <c r="D11" s="29">
        <f>+'Adj 10.01 P2.8'!G39-'Adj 10.01 P2.8'!F38</f>
        <v>-19690654</v>
      </c>
      <c r="E11" s="29">
        <f>+'Adj 10.02 P2.9'!E28</f>
        <v>139034099.32848093</v>
      </c>
      <c r="F11" s="29">
        <v>0</v>
      </c>
      <c r="G11" s="29">
        <v>0</v>
      </c>
      <c r="H11" s="30">
        <v>0</v>
      </c>
      <c r="I11" s="30">
        <v>0</v>
      </c>
    </row>
    <row r="12" spans="1:9">
      <c r="A12" s="20">
        <f t="shared" ref="A12:A51" si="0">1+A11</f>
        <v>3</v>
      </c>
      <c r="B12" s="24" t="s">
        <v>2</v>
      </c>
      <c r="C12" s="23">
        <v>369319.57</v>
      </c>
      <c r="D12" s="23">
        <f>+'Adj 10.01 P2.8'!F38</f>
        <v>-4359</v>
      </c>
      <c r="E12" s="23">
        <f>+'Adj 10.02 P2.9'!E33</f>
        <v>-15682</v>
      </c>
      <c r="F12" s="23"/>
      <c r="G12" s="23"/>
      <c r="I12" s="23"/>
    </row>
    <row r="13" spans="1:9">
      <c r="A13" s="20">
        <f t="shared" si="0"/>
        <v>4</v>
      </c>
      <c r="B13" s="24" t="s">
        <v>3</v>
      </c>
      <c r="C13" s="23">
        <v>173342970.81999999</v>
      </c>
      <c r="D13" s="23"/>
      <c r="E13" s="23"/>
      <c r="F13" s="23">
        <f>+'Adj 10.03 P2.10'!E12</f>
        <v>-152409715.24756333</v>
      </c>
      <c r="G13" s="23"/>
      <c r="I13" s="23"/>
    </row>
    <row r="14" spans="1:9">
      <c r="A14" s="20">
        <f t="shared" si="0"/>
        <v>5</v>
      </c>
      <c r="B14" s="24" t="s">
        <v>4</v>
      </c>
      <c r="C14" s="23">
        <v>55432485.620000005</v>
      </c>
      <c r="D14" s="23"/>
      <c r="E14" s="23">
        <f>+'Adj 10.02 P2.9'!E39</f>
        <v>438314</v>
      </c>
      <c r="F14" s="23">
        <f>+'Adj 10.03 P2.10'!E16</f>
        <v>-16695640.109999999</v>
      </c>
      <c r="G14" s="23"/>
      <c r="I14" s="23"/>
    </row>
    <row r="15" spans="1:9">
      <c r="A15" s="20">
        <f t="shared" si="0"/>
        <v>6</v>
      </c>
      <c r="B15" s="8" t="s">
        <v>5</v>
      </c>
      <c r="C15" s="32">
        <f>SUM(C11:C14)</f>
        <v>2218090419.9999995</v>
      </c>
      <c r="D15" s="32">
        <f>SUM(D11:D14)</f>
        <v>-19695013</v>
      </c>
      <c r="E15" s="32">
        <f>SUM(E11:E14)</f>
        <v>139456731.32848093</v>
      </c>
      <c r="F15" s="32">
        <f>SUM(F11:F14)</f>
        <v>-169105355.35756332</v>
      </c>
      <c r="G15" s="32">
        <f t="shared" ref="G15:I15" si="1">SUM(G11:G14)</f>
        <v>0</v>
      </c>
      <c r="H15" s="32">
        <f t="shared" si="1"/>
        <v>0</v>
      </c>
      <c r="I15" s="32">
        <f t="shared" si="1"/>
        <v>0</v>
      </c>
    </row>
    <row r="16" spans="1:9">
      <c r="A16" s="20">
        <f t="shared" si="0"/>
        <v>7</v>
      </c>
      <c r="B16" s="24"/>
      <c r="C16" s="23"/>
      <c r="D16" s="23" t="s">
        <v>60</v>
      </c>
      <c r="E16" s="23" t="s">
        <v>60</v>
      </c>
      <c r="F16" s="23" t="s">
        <v>60</v>
      </c>
      <c r="G16" s="23"/>
      <c r="I16" s="23"/>
    </row>
    <row r="17" spans="1:9">
      <c r="A17" s="20">
        <f t="shared" si="0"/>
        <v>8</v>
      </c>
      <c r="B17" s="22" t="s">
        <v>6</v>
      </c>
      <c r="C17" s="23"/>
      <c r="D17" s="23"/>
      <c r="E17" s="23"/>
      <c r="F17" s="23"/>
      <c r="G17" s="23"/>
      <c r="I17" s="23"/>
    </row>
    <row r="18" spans="1:9">
      <c r="A18" s="20">
        <f t="shared" si="0"/>
        <v>9</v>
      </c>
      <c r="B18" s="24" t="s">
        <v>7</v>
      </c>
      <c r="C18" s="23"/>
      <c r="D18" s="23"/>
      <c r="E18" s="23"/>
      <c r="F18" s="23"/>
      <c r="G18" s="23"/>
      <c r="I18" s="23"/>
    </row>
    <row r="19" spans="1:9">
      <c r="A19" s="20">
        <f t="shared" si="0"/>
        <v>10</v>
      </c>
      <c r="B19" s="24" t="s">
        <v>8</v>
      </c>
      <c r="C19" s="29">
        <v>212332675.87</v>
      </c>
      <c r="D19" s="29">
        <v>0</v>
      </c>
      <c r="E19" s="29">
        <v>0</v>
      </c>
      <c r="F19" s="29">
        <f>+'Adj 10.03 P2.10'!E20</f>
        <v>-10365050.657177895</v>
      </c>
      <c r="G19" s="29">
        <v>0</v>
      </c>
      <c r="H19" s="30">
        <v>0</v>
      </c>
      <c r="I19" s="29">
        <v>0</v>
      </c>
    </row>
    <row r="20" spans="1:9">
      <c r="A20" s="20">
        <f t="shared" si="0"/>
        <v>11</v>
      </c>
      <c r="B20" s="24" t="s">
        <v>9</v>
      </c>
      <c r="C20" s="23">
        <v>920346550.78999996</v>
      </c>
      <c r="D20" s="23"/>
      <c r="E20" s="23"/>
      <c r="F20" s="23">
        <f>+'Adj 10.03 P2.10'!E25</f>
        <v>-272409514.59343266</v>
      </c>
      <c r="G20" s="23"/>
      <c r="I20" s="23"/>
    </row>
    <row r="21" spans="1:9">
      <c r="A21" s="20">
        <f t="shared" si="0"/>
        <v>12</v>
      </c>
      <c r="B21" s="25" t="s">
        <v>10</v>
      </c>
      <c r="C21" s="23">
        <v>70713345.829999998</v>
      </c>
      <c r="D21" s="23"/>
      <c r="E21" s="23"/>
      <c r="F21" s="23">
        <f>+'Adj 10.03 P2.10'!E26</f>
        <v>5439700.03431651</v>
      </c>
      <c r="G21" s="23"/>
      <c r="I21" s="23"/>
    </row>
    <row r="22" spans="1:9">
      <c r="A22" s="20">
        <f t="shared" si="0"/>
        <v>13</v>
      </c>
      <c r="B22" s="25" t="s">
        <v>11</v>
      </c>
      <c r="C22" s="23">
        <v>-40663860.560000002</v>
      </c>
      <c r="D22" s="23"/>
      <c r="E22" s="23"/>
      <c r="F22" s="23">
        <v>0</v>
      </c>
      <c r="G22" s="23"/>
      <c r="I22" s="23"/>
    </row>
    <row r="23" spans="1:9">
      <c r="A23" s="20">
        <f t="shared" si="0"/>
        <v>14</v>
      </c>
      <c r="B23" s="26" t="s">
        <v>12</v>
      </c>
      <c r="C23" s="33">
        <f>SUM(C19:C22)</f>
        <v>1162728711.9299998</v>
      </c>
      <c r="D23" s="33">
        <f t="shared" ref="D23:F23" si="2">SUM(D19:D22)</f>
        <v>0</v>
      </c>
      <c r="E23" s="33">
        <f t="shared" si="2"/>
        <v>0</v>
      </c>
      <c r="F23" s="33">
        <f t="shared" si="2"/>
        <v>-277334865.21629405</v>
      </c>
      <c r="G23" s="33">
        <f t="shared" ref="G23" si="3">SUM(G19:G22)</f>
        <v>0</v>
      </c>
      <c r="H23" s="33">
        <f t="shared" ref="H23" si="4">SUM(H19:H22)</f>
        <v>0</v>
      </c>
      <c r="I23" s="33">
        <f t="shared" ref="I23" si="5">SUM(I19:I22)</f>
        <v>0</v>
      </c>
    </row>
    <row r="24" spans="1:9">
      <c r="A24" s="20">
        <f t="shared" si="0"/>
        <v>15</v>
      </c>
      <c r="B24" s="25"/>
      <c r="C24" s="23"/>
      <c r="D24" s="23"/>
      <c r="E24" s="23"/>
      <c r="F24" s="23"/>
      <c r="G24" s="23"/>
      <c r="I24" s="23"/>
    </row>
    <row r="25" spans="1:9">
      <c r="A25" s="20">
        <f t="shared" si="0"/>
        <v>16</v>
      </c>
      <c r="B25" s="25" t="s">
        <v>13</v>
      </c>
      <c r="C25" s="29">
        <v>102819798.43000001</v>
      </c>
      <c r="D25" s="29">
        <v>0</v>
      </c>
      <c r="E25" s="29">
        <v>0</v>
      </c>
      <c r="F25" s="29">
        <f>+'Adj 10.03 P2.10'!E29</f>
        <v>-3324288.3253816217</v>
      </c>
      <c r="G25" s="29">
        <v>0</v>
      </c>
      <c r="H25" s="30">
        <v>0</v>
      </c>
      <c r="I25" s="29">
        <v>0</v>
      </c>
    </row>
    <row r="26" spans="1:9">
      <c r="A26" s="20">
        <f t="shared" si="0"/>
        <v>17</v>
      </c>
      <c r="B26" s="24" t="s">
        <v>14</v>
      </c>
      <c r="C26" s="23">
        <v>9234124.120000001</v>
      </c>
      <c r="D26" s="23"/>
      <c r="E26" s="23"/>
      <c r="F26" s="23">
        <f>+'Adj 10.03 P2.10'!E30</f>
        <v>0.25</v>
      </c>
      <c r="G26" s="23"/>
      <c r="I26" s="23"/>
    </row>
    <row r="27" spans="1:9">
      <c r="A27" s="20">
        <f t="shared" si="0"/>
        <v>18</v>
      </c>
      <c r="B27" s="24" t="s">
        <v>15</v>
      </c>
      <c r="C27" s="23">
        <v>76776330.769999996</v>
      </c>
      <c r="D27" s="23"/>
      <c r="E27" s="23"/>
      <c r="F27" s="23"/>
      <c r="G27" s="23"/>
      <c r="I27" s="23"/>
    </row>
    <row r="28" spans="1:9">
      <c r="A28" s="20">
        <f t="shared" si="0"/>
        <v>19</v>
      </c>
      <c r="B28" s="24" t="s">
        <v>612</v>
      </c>
      <c r="C28" s="23">
        <v>43145324.380612001</v>
      </c>
      <c r="D28" s="23">
        <f>+'Adj 10.01 P2.8'!F41</f>
        <v>-71335</v>
      </c>
      <c r="E28" s="23">
        <f>+'Adj 10.02 P2.9'!D43</f>
        <v>505112.28087175789</v>
      </c>
      <c r="F28" s="23"/>
      <c r="G28" s="23"/>
      <c r="I28" s="23"/>
    </row>
    <row r="29" spans="1:9">
      <c r="A29" s="20">
        <f t="shared" si="0"/>
        <v>20</v>
      </c>
      <c r="B29" s="24" t="s">
        <v>16</v>
      </c>
      <c r="C29" s="23">
        <v>10019492.62167</v>
      </c>
      <c r="D29" s="23"/>
      <c r="E29" s="23"/>
      <c r="F29" s="23"/>
      <c r="G29" s="23"/>
      <c r="I29" s="23"/>
    </row>
    <row r="30" spans="1:9">
      <c r="A30" s="20">
        <f t="shared" si="0"/>
        <v>21</v>
      </c>
      <c r="B30" s="25" t="s">
        <v>17</v>
      </c>
      <c r="C30" s="23">
        <v>53980110.359999999</v>
      </c>
      <c r="D30" s="23"/>
      <c r="E30" s="23"/>
      <c r="F30" s="23"/>
      <c r="G30" s="23"/>
      <c r="I30" s="23"/>
    </row>
    <row r="31" spans="1:9">
      <c r="A31" s="20">
        <f t="shared" si="0"/>
        <v>22</v>
      </c>
      <c r="B31" s="24" t="s">
        <v>18</v>
      </c>
      <c r="C31" s="23">
        <v>89418695.754489005</v>
      </c>
      <c r="D31" s="23">
        <f>+'Adj 10.01 P2.8'!F42</f>
        <v>-39390</v>
      </c>
      <c r="E31" s="23">
        <f>+'Adj 10.02 P2.9'!D44</f>
        <v>278913.46265696187</v>
      </c>
      <c r="F31" s="23"/>
      <c r="G31" s="23"/>
      <c r="I31" s="23">
        <f>+'Adj 10.06 P2.13'!E21</f>
        <v>4359.4466666666667</v>
      </c>
    </row>
    <row r="32" spans="1:9">
      <c r="A32" s="20">
        <f t="shared" si="0"/>
        <v>23</v>
      </c>
      <c r="B32" s="24" t="s">
        <v>19</v>
      </c>
      <c r="C32" s="23">
        <v>173307040.37213799</v>
      </c>
      <c r="D32" s="23"/>
      <c r="E32" s="23"/>
      <c r="F32" s="23"/>
      <c r="G32" s="23"/>
      <c r="I32" s="23">
        <f>+'Adj 10.06 P2.13'!E20</f>
        <v>310979</v>
      </c>
    </row>
    <row r="33" spans="1:9">
      <c r="A33" s="20">
        <f t="shared" si="0"/>
        <v>24</v>
      </c>
      <c r="B33" s="24" t="s">
        <v>20</v>
      </c>
      <c r="C33" s="23">
        <v>34012299.127779998</v>
      </c>
      <c r="D33" s="23"/>
      <c r="E33" s="23"/>
      <c r="F33" s="23"/>
      <c r="G33" s="23"/>
      <c r="I33" s="23"/>
    </row>
    <row r="34" spans="1:9">
      <c r="A34" s="20">
        <f t="shared" si="0"/>
        <v>25</v>
      </c>
      <c r="B34" s="22" t="s">
        <v>21</v>
      </c>
      <c r="C34" s="23">
        <v>6493409.2999999998</v>
      </c>
      <c r="D34" s="23"/>
      <c r="E34" s="23"/>
      <c r="F34" s="23"/>
      <c r="G34" s="23"/>
      <c r="I34" s="23"/>
    </row>
    <row r="35" spans="1:9">
      <c r="A35" s="20">
        <f t="shared" si="0"/>
        <v>26</v>
      </c>
      <c r="B35" s="25" t="s">
        <v>22</v>
      </c>
      <c r="C35" s="23">
        <v>-483686.12</v>
      </c>
      <c r="D35" s="23"/>
      <c r="E35" s="23"/>
      <c r="F35" s="23"/>
      <c r="G35" s="23"/>
      <c r="I35" s="23"/>
    </row>
    <row r="36" spans="1:9">
      <c r="A36" s="20">
        <f t="shared" si="0"/>
        <v>27</v>
      </c>
      <c r="B36" s="25" t="s">
        <v>23</v>
      </c>
      <c r="C36" s="23">
        <v>7537999</v>
      </c>
      <c r="D36" s="23"/>
      <c r="E36" s="23"/>
      <c r="F36" s="23"/>
      <c r="G36" s="23"/>
      <c r="I36" s="23"/>
    </row>
    <row r="37" spans="1:9">
      <c r="A37" s="20">
        <f t="shared" si="0"/>
        <v>28</v>
      </c>
      <c r="B37" s="24" t="s">
        <v>24</v>
      </c>
      <c r="C37" s="23">
        <v>188816367.51742402</v>
      </c>
      <c r="D37" s="23">
        <f>+'Adj 10.01 P2.8'!F45</f>
        <v>-760031</v>
      </c>
      <c r="E37" s="23">
        <f>+'Adj 10.02 P2.9'!E49</f>
        <v>5381635.2619660785</v>
      </c>
      <c r="F37" s="23">
        <f>+'Adj 10.03 P2.10'!E36</f>
        <v>-45537.072870299977</v>
      </c>
      <c r="G37" s="23"/>
      <c r="I37" s="23">
        <v>0</v>
      </c>
    </row>
    <row r="38" spans="1:9">
      <c r="A38" s="20">
        <f t="shared" si="0"/>
        <v>29</v>
      </c>
      <c r="B38" s="24" t="s">
        <v>25</v>
      </c>
      <c r="C38" s="23">
        <v>4629482</v>
      </c>
      <c r="D38" s="23">
        <f>+'Adj 10.01 P2.8'!G50</f>
        <v>-6588490</v>
      </c>
      <c r="E38" s="23">
        <f>+'Adj 10.02 P2.9'!E53</f>
        <v>46651875</v>
      </c>
      <c r="F38" s="23">
        <f>+'Adj 10.03 P2.10'!E38</f>
        <v>39059767.252443932</v>
      </c>
      <c r="G38" s="27">
        <f>+'Adj 10.04 P2.11'!D29</f>
        <v>3180272.05</v>
      </c>
      <c r="H38" s="31">
        <f>+'Adj 10.05 P2.12'!D32</f>
        <v>858285.63475342758</v>
      </c>
      <c r="I38" s="23">
        <f>+'Adj 10.06 P2.13'!E27</f>
        <v>-108481</v>
      </c>
    </row>
    <row r="39" spans="1:9">
      <c r="A39" s="20">
        <f t="shared" si="0"/>
        <v>30</v>
      </c>
      <c r="B39" s="24" t="s">
        <v>26</v>
      </c>
      <c r="C39" s="23">
        <v>30323152.180600002</v>
      </c>
      <c r="D39" s="23"/>
      <c r="E39" s="23"/>
      <c r="G39" s="27">
        <f>+'Adj 10.04 P2.11'!D30</f>
        <v>17053775.819399998</v>
      </c>
      <c r="I39" s="23">
        <f>+'Adj 10.06 P2.13'!E28</f>
        <v>-1887.4075793999361</v>
      </c>
    </row>
    <row r="40" spans="1:9">
      <c r="A40" s="20">
        <f t="shared" si="0"/>
        <v>31</v>
      </c>
      <c r="B40" s="28" t="s">
        <v>27</v>
      </c>
      <c r="C40" s="33">
        <f t="shared" ref="C40:I40" si="6">SUM(C23:C39)</f>
        <v>1992758651.7447126</v>
      </c>
      <c r="D40" s="33">
        <f t="shared" si="6"/>
        <v>-7459246</v>
      </c>
      <c r="E40" s="33">
        <f t="shared" si="6"/>
        <v>52817536.005494796</v>
      </c>
      <c r="F40" s="33">
        <f t="shared" si="6"/>
        <v>-241644923.11210206</v>
      </c>
      <c r="G40" s="33">
        <f t="shared" si="6"/>
        <v>20234047.869399998</v>
      </c>
      <c r="H40" s="33">
        <f t="shared" si="6"/>
        <v>858285.63475342758</v>
      </c>
      <c r="I40" s="33">
        <f t="shared" si="6"/>
        <v>204970.03908726672</v>
      </c>
    </row>
    <row r="41" spans="1:9">
      <c r="A41" s="20">
        <f t="shared" si="0"/>
        <v>32</v>
      </c>
      <c r="B41" s="28"/>
      <c r="C41" s="16"/>
      <c r="D41" s="16"/>
      <c r="E41" s="16"/>
      <c r="F41" s="16"/>
      <c r="G41" s="16"/>
      <c r="H41" s="16"/>
      <c r="I41" s="16"/>
    </row>
    <row r="42" spans="1:9" ht="16.5" thickBot="1">
      <c r="A42" s="20">
        <f t="shared" si="0"/>
        <v>33</v>
      </c>
      <c r="B42" s="8" t="s">
        <v>28</v>
      </c>
      <c r="C42" s="34">
        <f t="shared" ref="C42:I42" si="7">+C15-C40</f>
        <v>225331768.25528693</v>
      </c>
      <c r="D42" s="34">
        <f t="shared" si="7"/>
        <v>-12235767</v>
      </c>
      <c r="E42" s="34">
        <f t="shared" si="7"/>
        <v>86639195.322986126</v>
      </c>
      <c r="F42" s="34">
        <f t="shared" si="7"/>
        <v>72539567.754538745</v>
      </c>
      <c r="G42" s="34">
        <f t="shared" si="7"/>
        <v>-20234047.869399998</v>
      </c>
      <c r="H42" s="34">
        <f t="shared" si="7"/>
        <v>-858285.63475342758</v>
      </c>
      <c r="I42" s="34">
        <f t="shared" si="7"/>
        <v>-204970.03908726672</v>
      </c>
    </row>
    <row r="43" spans="1:9" ht="16.5" thickTop="1">
      <c r="A43" s="20">
        <f t="shared" si="0"/>
        <v>34</v>
      </c>
      <c r="B43" s="24"/>
      <c r="C43" s="23"/>
      <c r="D43" s="23"/>
      <c r="E43" s="23"/>
      <c r="F43" s="23"/>
      <c r="G43" s="23"/>
      <c r="I43" s="23"/>
    </row>
    <row r="44" spans="1:9">
      <c r="A44" s="20">
        <f t="shared" si="0"/>
        <v>35</v>
      </c>
      <c r="B44" s="8" t="s">
        <v>29</v>
      </c>
      <c r="C44" s="23"/>
      <c r="D44" s="23"/>
      <c r="E44" s="23"/>
      <c r="F44" s="23"/>
      <c r="G44" s="23"/>
      <c r="I44" s="23"/>
    </row>
    <row r="45" spans="1:9">
      <c r="A45" s="20">
        <f t="shared" si="0"/>
        <v>36</v>
      </c>
      <c r="B45" s="24" t="s">
        <v>611</v>
      </c>
      <c r="C45" s="29">
        <v>6183573987.7212172</v>
      </c>
      <c r="D45" s="29">
        <v>0</v>
      </c>
      <c r="E45" s="29">
        <v>0</v>
      </c>
      <c r="F45" s="29">
        <v>0</v>
      </c>
      <c r="G45" s="29">
        <v>0</v>
      </c>
      <c r="H45" s="30">
        <v>0</v>
      </c>
      <c r="I45" s="29">
        <f>+'Adj 10.06 P2.13'!E14</f>
        <v>7298533.3383333338</v>
      </c>
    </row>
    <row r="46" spans="1:9">
      <c r="A46" s="20">
        <f t="shared" si="0"/>
        <v>37</v>
      </c>
      <c r="B46" s="24" t="s">
        <v>30</v>
      </c>
      <c r="C46" s="23">
        <f>+'EXH KBH-2 Summary P2.1'!C47</f>
        <v>-2533770194.8602018</v>
      </c>
      <c r="D46" s="23"/>
      <c r="E46" s="23"/>
      <c r="F46" s="23"/>
      <c r="G46" s="23"/>
      <c r="I46" s="23">
        <f>+'Adj 10.06 P2.13'!E15</f>
        <v>-1066623</v>
      </c>
    </row>
    <row r="47" spans="1:9">
      <c r="A47" s="20">
        <f t="shared" si="0"/>
        <v>38</v>
      </c>
      <c r="B47" s="24" t="s">
        <v>31</v>
      </c>
      <c r="C47" s="23">
        <f>+'EXH KBH-2 Summary P2.1'!C48</f>
        <v>286749772</v>
      </c>
      <c r="D47" s="23"/>
      <c r="E47" s="23"/>
      <c r="F47" s="23"/>
      <c r="G47" s="23"/>
      <c r="I47" s="23"/>
    </row>
    <row r="48" spans="1:9">
      <c r="A48" s="20">
        <f t="shared" si="0"/>
        <v>39</v>
      </c>
      <c r="B48" s="24" t="s">
        <v>32</v>
      </c>
      <c r="C48" s="23">
        <f>+'EXH KBH-2 Summary P2.1'!C49</f>
        <v>-515196416</v>
      </c>
      <c r="D48" s="23"/>
      <c r="E48" s="23"/>
      <c r="F48" s="23"/>
      <c r="G48" s="23"/>
      <c r="I48" s="23">
        <f>+'Adj 10.06 P2.13'!E16</f>
        <v>-2156642</v>
      </c>
    </row>
    <row r="49" spans="1:9">
      <c r="A49" s="20">
        <f t="shared" si="0"/>
        <v>40</v>
      </c>
      <c r="B49" s="24" t="s">
        <v>33</v>
      </c>
      <c r="C49" s="23">
        <f>+'EXH KBH-2 Summary P2.1'!C50</f>
        <v>127698202</v>
      </c>
      <c r="D49" s="23"/>
      <c r="E49" s="23"/>
      <c r="F49" s="23"/>
      <c r="G49" s="23"/>
      <c r="I49" s="23"/>
    </row>
    <row r="50" spans="1:9">
      <c r="A50" s="20">
        <f t="shared" si="0"/>
        <v>41</v>
      </c>
      <c r="B50" s="24" t="s">
        <v>34</v>
      </c>
      <c r="C50" s="23">
        <f>+'EXH KBH-2 Summary P2.1'!C51</f>
        <v>-89746677.579166666</v>
      </c>
      <c r="D50" s="23"/>
      <c r="E50" s="23"/>
      <c r="F50" s="23"/>
      <c r="G50" s="23"/>
      <c r="I50" s="23"/>
    </row>
    <row r="51" spans="1:9" ht="16.5" thickBot="1">
      <c r="A51" s="20">
        <f t="shared" si="0"/>
        <v>42</v>
      </c>
      <c r="B51" s="24" t="s">
        <v>35</v>
      </c>
      <c r="C51" s="34">
        <f>SUM(C45:C50)</f>
        <v>3459308673.2818484</v>
      </c>
      <c r="D51" s="34">
        <f t="shared" ref="D51:I51" si="8">SUM(D45:D50)</f>
        <v>0</v>
      </c>
      <c r="E51" s="34">
        <f t="shared" si="8"/>
        <v>0</v>
      </c>
      <c r="F51" s="34">
        <f t="shared" si="8"/>
        <v>0</v>
      </c>
      <c r="G51" s="34">
        <f t="shared" si="8"/>
        <v>0</v>
      </c>
      <c r="H51" s="34">
        <f t="shared" si="8"/>
        <v>0</v>
      </c>
      <c r="I51" s="34">
        <f t="shared" si="8"/>
        <v>4075268.3383333338</v>
      </c>
    </row>
    <row r="52" spans="1:9" ht="16.5" thickTop="1">
      <c r="A52" s="25"/>
      <c r="B52" s="25"/>
    </row>
  </sheetData>
  <mergeCells count="4">
    <mergeCell ref="A2:I2"/>
    <mergeCell ref="A3:I3"/>
    <mergeCell ref="A4:I4"/>
    <mergeCell ref="A5:I5"/>
  </mergeCells>
  <pageMargins left="0.5" right="0.5" top="0.75" bottom="0.3" header="0.3" footer="0.25"/>
  <pageSetup scale="68" orientation="landscape" r:id="rId1"/>
  <headerFooter scaleWithDoc="0">
    <oddHeader xml:space="preserve">&amp;R&amp;"Times New Roman,Regular"UE-090704/UG-090705
Exhibit No. KHB-2
Page 2.2
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9"/>
  <sheetViews>
    <sheetView zoomScaleNormal="100" workbookViewId="0">
      <selection activeCell="B52" sqref="B52"/>
    </sheetView>
  </sheetViews>
  <sheetFormatPr defaultColWidth="17.7109375" defaultRowHeight="15.75"/>
  <cols>
    <col min="1" max="1" width="8" style="2" customWidth="1"/>
    <col min="2" max="8" width="17.7109375" style="2" customWidth="1"/>
    <col min="9" max="16384" width="17.7109375" style="2"/>
  </cols>
  <sheetData>
    <row r="1" spans="1:8">
      <c r="A1" s="2" t="str">
        <f>CO</f>
        <v>Puget Sound Energy</v>
      </c>
    </row>
    <row r="2" spans="1:8">
      <c r="A2" s="2" t="str">
        <f>DOCKET</f>
        <v>Docket UE-090704/UG-090705</v>
      </c>
    </row>
    <row r="4" spans="1:8">
      <c r="A4" s="46" t="s">
        <v>201</v>
      </c>
      <c r="B4" s="38"/>
      <c r="C4" s="38"/>
      <c r="D4" s="38"/>
      <c r="E4" s="38"/>
      <c r="F4" s="38"/>
      <c r="G4" s="38"/>
      <c r="H4" s="38"/>
    </row>
    <row r="5" spans="1:8">
      <c r="A5" s="46" t="s">
        <v>799</v>
      </c>
      <c r="B5" s="38"/>
      <c r="C5" s="38"/>
      <c r="D5" s="38"/>
      <c r="E5" s="38"/>
      <c r="F5" s="38"/>
      <c r="G5" s="47"/>
      <c r="H5" s="47"/>
    </row>
    <row r="6" spans="1:8">
      <c r="A6" s="38" t="str">
        <f>TY</f>
        <v>FOR THE TWELVE MONTHS ENDED DECEMBER 31, 2008</v>
      </c>
      <c r="B6" s="38"/>
      <c r="C6" s="38"/>
      <c r="D6" s="38"/>
      <c r="E6" s="38"/>
      <c r="F6" s="38"/>
      <c r="G6" s="48"/>
      <c r="H6" s="48"/>
    </row>
    <row r="7" spans="1:8">
      <c r="A7" s="46" t="s">
        <v>205</v>
      </c>
      <c r="B7" s="38"/>
      <c r="C7" s="38"/>
      <c r="D7" s="38"/>
      <c r="E7" s="38"/>
      <c r="F7" s="38"/>
      <c r="G7" s="48"/>
      <c r="H7" s="38"/>
    </row>
    <row r="8" spans="1:8">
      <c r="A8" s="49"/>
      <c r="B8" s="49"/>
      <c r="C8" s="51"/>
      <c r="D8" s="51"/>
      <c r="E8" s="51"/>
      <c r="F8" s="51"/>
      <c r="G8" s="51"/>
      <c r="H8" s="51" t="s">
        <v>206</v>
      </c>
    </row>
    <row r="9" spans="1:8">
      <c r="A9" s="51" t="s">
        <v>208</v>
      </c>
      <c r="B9" s="49"/>
      <c r="C9" s="51" t="s">
        <v>210</v>
      </c>
      <c r="D9" s="51" t="s">
        <v>211</v>
      </c>
      <c r="E9" s="51" t="s">
        <v>212</v>
      </c>
      <c r="F9" s="51" t="s">
        <v>212</v>
      </c>
      <c r="G9" s="51" t="s">
        <v>210</v>
      </c>
      <c r="H9" s="51" t="s">
        <v>213</v>
      </c>
    </row>
    <row r="10" spans="1:8">
      <c r="A10" s="53" t="s">
        <v>215</v>
      </c>
      <c r="B10" s="53" t="s">
        <v>220</v>
      </c>
      <c r="C10" s="53" t="s">
        <v>213</v>
      </c>
      <c r="D10" s="53" t="s">
        <v>222</v>
      </c>
      <c r="E10" s="53" t="s">
        <v>223</v>
      </c>
      <c r="F10" s="53" t="s">
        <v>224</v>
      </c>
      <c r="G10" s="53" t="s">
        <v>222</v>
      </c>
      <c r="H10" s="53" t="s">
        <v>225</v>
      </c>
    </row>
    <row r="11" spans="1:8">
      <c r="A11" s="96"/>
      <c r="B11" s="58"/>
      <c r="C11" s="58"/>
      <c r="D11" s="58"/>
      <c r="E11" s="58"/>
      <c r="F11" s="58"/>
      <c r="G11" s="58"/>
      <c r="H11" s="58"/>
    </row>
    <row r="12" spans="1:8">
      <c r="A12" s="57">
        <v>1</v>
      </c>
      <c r="B12" s="58" t="s">
        <v>230</v>
      </c>
      <c r="C12" s="57" t="s">
        <v>231</v>
      </c>
      <c r="D12" s="58"/>
      <c r="E12" s="58"/>
      <c r="F12" s="58"/>
      <c r="G12" s="57" t="s">
        <v>232</v>
      </c>
      <c r="H12" s="58"/>
    </row>
    <row r="13" spans="1:8">
      <c r="A13" s="57">
        <f t="shared" ref="A13:A27" si="0">A12+1</f>
        <v>2</v>
      </c>
      <c r="B13" s="115">
        <v>2004</v>
      </c>
      <c r="C13" s="72">
        <v>5022599.13</v>
      </c>
      <c r="D13" s="116">
        <v>1406581058</v>
      </c>
      <c r="E13" s="116">
        <v>58008246</v>
      </c>
      <c r="F13" s="116">
        <v>361860</v>
      </c>
      <c r="G13" s="116">
        <f>D13-E13-F13</f>
        <v>1348210952</v>
      </c>
      <c r="H13" s="117">
        <f>ROUND(C13/G13,6)</f>
        <v>3.725E-3</v>
      </c>
    </row>
    <row r="14" spans="1:8">
      <c r="A14" s="57">
        <f t="shared" si="0"/>
        <v>3</v>
      </c>
      <c r="B14" s="115">
        <v>2005</v>
      </c>
      <c r="C14" s="72">
        <v>5360801.83</v>
      </c>
      <c r="D14" s="116">
        <v>1529132527</v>
      </c>
      <c r="E14" s="116">
        <v>87141570.299999997</v>
      </c>
      <c r="F14" s="116">
        <v>350696.76</v>
      </c>
      <c r="G14" s="116">
        <f>D14-E14-F14</f>
        <v>1441640259.9400001</v>
      </c>
      <c r="H14" s="117">
        <f>ROUND(C14/G14,6)</f>
        <v>3.7190000000000001E-3</v>
      </c>
    </row>
    <row r="15" spans="1:8">
      <c r="A15" s="57">
        <f t="shared" si="0"/>
        <v>4</v>
      </c>
      <c r="B15" s="115">
        <v>2007</v>
      </c>
      <c r="C15" s="72">
        <v>6199333.7096000006</v>
      </c>
      <c r="D15" s="116">
        <v>1922618327</v>
      </c>
      <c r="E15" s="116">
        <v>111070231.16</v>
      </c>
      <c r="F15" s="116">
        <v>373023.94</v>
      </c>
      <c r="G15" s="116">
        <f>D15-E15-F15</f>
        <v>1811175071.8999999</v>
      </c>
      <c r="H15" s="118">
        <f>ROUND(C15/G15,6)</f>
        <v>3.4229999999999998E-3</v>
      </c>
    </row>
    <row r="16" spans="1:8">
      <c r="A16" s="57">
        <f t="shared" si="0"/>
        <v>5</v>
      </c>
      <c r="B16" s="119" t="s">
        <v>247</v>
      </c>
      <c r="C16" s="120"/>
      <c r="D16" s="120"/>
      <c r="E16" s="120"/>
      <c r="F16" s="120"/>
      <c r="G16" s="121"/>
      <c r="H16" s="117">
        <f>ROUND(IF(ISERROR(AVERAGE(H13,H14,H15)),0,AVERAGE(H13,H14,H15)),6)</f>
        <v>3.6219999999999998E-3</v>
      </c>
    </row>
    <row r="17" spans="1:8">
      <c r="A17" s="57">
        <f t="shared" si="0"/>
        <v>6</v>
      </c>
      <c r="B17" s="58"/>
      <c r="C17" s="58"/>
      <c r="D17" s="58"/>
      <c r="E17" s="58"/>
      <c r="F17" s="58"/>
      <c r="G17" s="58"/>
      <c r="H17" s="58"/>
    </row>
    <row r="18" spans="1:8">
      <c r="A18" s="57">
        <f t="shared" si="0"/>
        <v>7</v>
      </c>
      <c r="B18" s="122" t="s">
        <v>257</v>
      </c>
      <c r="C18" s="72"/>
      <c r="D18" s="116">
        <f>+'EXH KBH-2 Summary P2.1'!C16</f>
        <v>2218090419.9999995</v>
      </c>
      <c r="E18" s="116">
        <f>+'EXH KBH-2 Summary P2.1'!C14</f>
        <v>173342970.81999999</v>
      </c>
      <c r="F18" s="116">
        <f>+'EXH KBH-2 Summary P2.1'!C13</f>
        <v>369319.57</v>
      </c>
      <c r="G18" s="116">
        <f>D18-E18-F18</f>
        <v>2044378129.6099997</v>
      </c>
      <c r="H18" s="123"/>
    </row>
    <row r="19" spans="1:8">
      <c r="A19" s="57">
        <f t="shared" si="0"/>
        <v>8</v>
      </c>
      <c r="B19" s="58"/>
      <c r="C19" s="75"/>
      <c r="D19" s="124"/>
      <c r="E19" s="75"/>
      <c r="F19" s="75"/>
      <c r="G19" s="75"/>
      <c r="H19" s="124"/>
    </row>
    <row r="20" spans="1:8">
      <c r="A20" s="57">
        <f t="shared" si="0"/>
        <v>9</v>
      </c>
      <c r="B20" s="58" t="s">
        <v>265</v>
      </c>
      <c r="C20" s="75"/>
      <c r="D20" s="75"/>
      <c r="E20" s="75"/>
      <c r="F20" s="75"/>
      <c r="G20" s="125">
        <f>H16</f>
        <v>3.6219999999999998E-3</v>
      </c>
      <c r="H20" s="75"/>
    </row>
    <row r="21" spans="1:8">
      <c r="A21" s="57">
        <f t="shared" si="0"/>
        <v>10</v>
      </c>
      <c r="B21" s="58" t="s">
        <v>269</v>
      </c>
      <c r="C21" s="75"/>
      <c r="D21" s="75"/>
      <c r="E21" s="75"/>
      <c r="F21" s="75"/>
      <c r="G21" s="72">
        <f>ROUND(G18*G20,0)</f>
        <v>7404738</v>
      </c>
      <c r="H21" s="75"/>
    </row>
    <row r="22" spans="1:8">
      <c r="A22" s="57">
        <f t="shared" si="0"/>
        <v>11</v>
      </c>
      <c r="B22" s="58"/>
      <c r="C22" s="75"/>
      <c r="D22" s="75"/>
      <c r="E22" s="75"/>
      <c r="F22" s="75"/>
      <c r="G22" s="75"/>
      <c r="H22" s="75"/>
    </row>
    <row r="23" spans="1:8">
      <c r="A23" s="57">
        <f t="shared" si="0"/>
        <v>12</v>
      </c>
      <c r="B23" s="76" t="s">
        <v>275</v>
      </c>
      <c r="C23" s="75"/>
      <c r="D23" s="75"/>
      <c r="E23" s="126"/>
      <c r="F23" s="121"/>
      <c r="G23" s="75">
        <v>8976050.8900000006</v>
      </c>
      <c r="H23" s="75"/>
    </row>
    <row r="24" spans="1:8">
      <c r="A24" s="57">
        <f t="shared" si="0"/>
        <v>13</v>
      </c>
      <c r="B24" s="127" t="s">
        <v>249</v>
      </c>
      <c r="C24" s="75"/>
      <c r="D24" s="75"/>
      <c r="E24" s="75"/>
      <c r="F24" s="75"/>
      <c r="G24" s="70"/>
      <c r="H24" s="72">
        <f>ROUND(G21-G23,0)</f>
        <v>-1571313</v>
      </c>
    </row>
    <row r="25" spans="1:8">
      <c r="A25" s="57">
        <f t="shared" si="0"/>
        <v>14</v>
      </c>
      <c r="B25" s="128"/>
      <c r="C25" s="75"/>
      <c r="D25" s="75"/>
      <c r="E25" s="75"/>
      <c r="F25" s="75"/>
      <c r="G25" s="75"/>
      <c r="H25" s="75"/>
    </row>
    <row r="26" spans="1:8">
      <c r="A26" s="57">
        <f t="shared" si="0"/>
        <v>15</v>
      </c>
      <c r="B26" s="127" t="s">
        <v>287</v>
      </c>
      <c r="C26" s="75"/>
      <c r="D26" s="75"/>
      <c r="E26" s="75"/>
      <c r="F26" s="75"/>
      <c r="G26" s="106">
        <v>0.35</v>
      </c>
      <c r="H26" s="75">
        <f>ROUND(-H24*G26,0)</f>
        <v>549960</v>
      </c>
    </row>
    <row r="27" spans="1:8" ht="16.5" thickBot="1">
      <c r="A27" s="57">
        <f t="shared" si="0"/>
        <v>16</v>
      </c>
      <c r="B27" s="127" t="s">
        <v>240</v>
      </c>
      <c r="C27" s="75"/>
      <c r="D27" s="75"/>
      <c r="E27" s="75"/>
      <c r="F27" s="75"/>
      <c r="G27" s="75"/>
      <c r="H27" s="129">
        <f>-H24-H26</f>
        <v>1021353</v>
      </c>
    </row>
    <row r="28" spans="1:8" ht="16.5" thickTop="1">
      <c r="A28" s="88"/>
      <c r="B28" s="58"/>
      <c r="C28" s="58"/>
      <c r="D28" s="58"/>
      <c r="E28" s="58"/>
      <c r="F28" s="58"/>
      <c r="G28" s="58"/>
      <c r="H28" s="58"/>
    </row>
    <row r="29" spans="1:8">
      <c r="A29" s="57"/>
      <c r="B29" s="58"/>
      <c r="C29" s="58"/>
      <c r="D29" s="58"/>
      <c r="E29" s="58"/>
      <c r="F29" s="58"/>
      <c r="G29" s="58"/>
      <c r="H29" s="58"/>
    </row>
  </sheetData>
  <pageMargins left="0.7" right="0.7" top="0.75" bottom="0.75" header="0.75" footer="0.3"/>
  <pageSetup scale="68" orientation="portrait" r:id="rId1"/>
  <headerFooter>
    <oddHeader>&amp;R&amp;"Times New Roman,Regular"&amp;12Exhibit KHB-2
Page 2.20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3"/>
  <sheetViews>
    <sheetView topLeftCell="A10" zoomScaleNormal="100" workbookViewId="0">
      <selection activeCell="F37" sqref="F37"/>
    </sheetView>
  </sheetViews>
  <sheetFormatPr defaultColWidth="9.140625" defaultRowHeight="15.75"/>
  <cols>
    <col min="1" max="1" width="7.42578125" style="2" customWidth="1"/>
    <col min="2" max="2" width="62.42578125" style="2" customWidth="1"/>
    <col min="3" max="3" width="12" style="2" bestFit="1" customWidth="1"/>
    <col min="4" max="4" width="14" style="2" bestFit="1" customWidth="1"/>
    <col min="5" max="5" width="12" style="2" bestFit="1" customWidth="1"/>
    <col min="6" max="6" width="15.140625" style="2" bestFit="1" customWidth="1"/>
    <col min="7" max="16384" width="9.140625" style="2"/>
  </cols>
  <sheetData>
    <row r="1" spans="1:6">
      <c r="A1" s="2" t="str">
        <f>CO</f>
        <v>Puget Sound Energy</v>
      </c>
    </row>
    <row r="2" spans="1:6">
      <c r="A2" s="2" t="str">
        <f>DOCKET</f>
        <v>Docket UE-090704/UG-090705</v>
      </c>
    </row>
    <row r="4" spans="1:6">
      <c r="A4" s="938" t="s">
        <v>710</v>
      </c>
      <c r="B4" s="938"/>
      <c r="C4" s="938"/>
      <c r="D4" s="938"/>
      <c r="E4" s="938"/>
      <c r="F4" s="938"/>
    </row>
    <row r="5" spans="1:6">
      <c r="A5" s="777" t="s">
        <v>822</v>
      </c>
      <c r="B5" s="769"/>
      <c r="C5" s="769"/>
      <c r="D5" s="769"/>
      <c r="E5" s="769"/>
      <c r="F5" s="769"/>
    </row>
    <row r="6" spans="1:6">
      <c r="A6" s="778" t="str">
        <f>TY</f>
        <v>FOR THE TWELVE MONTHS ENDED DECEMBER 31, 2008</v>
      </c>
      <c r="B6" s="768"/>
      <c r="C6" s="768"/>
      <c r="D6" s="768"/>
      <c r="E6" s="768"/>
      <c r="F6" s="768"/>
    </row>
    <row r="7" spans="1:6">
      <c r="A7" s="778" t="s">
        <v>819</v>
      </c>
      <c r="B7" s="779"/>
      <c r="C7" s="779"/>
      <c r="D7" s="779"/>
      <c r="E7" s="779"/>
      <c r="F7" s="779"/>
    </row>
    <row r="8" spans="1:6">
      <c r="A8" s="295" t="s">
        <v>208</v>
      </c>
      <c r="B8" s="296"/>
      <c r="C8" s="297"/>
      <c r="D8" s="298"/>
      <c r="E8" s="297"/>
      <c r="F8" s="299"/>
    </row>
    <row r="9" spans="1:6" ht="31.5">
      <c r="A9" s="300" t="s">
        <v>215</v>
      </c>
      <c r="B9" s="301" t="s">
        <v>216</v>
      </c>
      <c r="C9" s="302" t="s">
        <v>417</v>
      </c>
      <c r="D9" s="300" t="s">
        <v>418</v>
      </c>
      <c r="E9" s="302" t="s">
        <v>419</v>
      </c>
      <c r="F9" s="303" t="s">
        <v>420</v>
      </c>
    </row>
    <row r="10" spans="1:6">
      <c r="A10" s="304"/>
      <c r="B10" s="197"/>
      <c r="C10" s="297"/>
      <c r="D10" s="304"/>
      <c r="E10" s="297"/>
      <c r="F10" s="299"/>
    </row>
    <row r="11" spans="1:6">
      <c r="A11" s="304">
        <v>1</v>
      </c>
      <c r="B11" s="305" t="s">
        <v>421</v>
      </c>
      <c r="C11" s="306"/>
      <c r="D11" s="307"/>
      <c r="E11" s="306"/>
      <c r="F11" s="308"/>
    </row>
    <row r="12" spans="1:6">
      <c r="A12" s="304">
        <f>A11+1</f>
        <v>2</v>
      </c>
      <c r="B12" s="197" t="s">
        <v>4</v>
      </c>
      <c r="C12" s="297"/>
      <c r="D12" s="197"/>
      <c r="E12" s="297"/>
      <c r="F12" s="299"/>
    </row>
    <row r="13" spans="1:6">
      <c r="A13" s="304">
        <f t="shared" ref="A13:A37" si="0">A12+1</f>
        <v>3</v>
      </c>
      <c r="B13" s="309" t="s">
        <v>422</v>
      </c>
      <c r="C13" s="310">
        <v>169627.5</v>
      </c>
      <c r="D13" s="311">
        <v>1017765</v>
      </c>
      <c r="E13" s="312">
        <v>1017765</v>
      </c>
      <c r="F13" s="313">
        <f>E13-C13-1</f>
        <v>848136.5</v>
      </c>
    </row>
    <row r="14" spans="1:6">
      <c r="A14" s="304">
        <f t="shared" si="0"/>
        <v>4</v>
      </c>
      <c r="B14" s="197" t="s">
        <v>423</v>
      </c>
      <c r="C14" s="314">
        <v>169627.5</v>
      </c>
      <c r="D14" s="315">
        <v>1017765</v>
      </c>
      <c r="E14" s="297">
        <v>1017765</v>
      </c>
      <c r="F14" s="299">
        <f>F13</f>
        <v>848136.5</v>
      </c>
    </row>
    <row r="15" spans="1:6">
      <c r="A15" s="304">
        <f t="shared" si="0"/>
        <v>5</v>
      </c>
      <c r="B15" s="197"/>
      <c r="C15" s="297"/>
      <c r="D15" s="197"/>
      <c r="E15" s="297"/>
      <c r="F15" s="299"/>
    </row>
    <row r="16" spans="1:6">
      <c r="A16" s="304">
        <f t="shared" si="0"/>
        <v>6</v>
      </c>
      <c r="B16" s="197"/>
      <c r="C16" s="314"/>
      <c r="D16" s="304"/>
      <c r="E16" s="297"/>
      <c r="F16" s="299"/>
    </row>
    <row r="17" spans="1:6">
      <c r="A17" s="304">
        <f>A16+1</f>
        <v>7</v>
      </c>
      <c r="B17" s="305" t="s">
        <v>424</v>
      </c>
      <c r="C17" s="312"/>
      <c r="D17" s="316"/>
      <c r="E17" s="312"/>
      <c r="F17" s="313"/>
    </row>
    <row r="18" spans="1:6">
      <c r="A18" s="304">
        <f t="shared" si="0"/>
        <v>8</v>
      </c>
      <c r="B18" s="309" t="s">
        <v>425</v>
      </c>
      <c r="C18" s="297"/>
      <c r="D18" s="197"/>
      <c r="E18" s="297"/>
      <c r="F18" s="317"/>
    </row>
    <row r="19" spans="1:6">
      <c r="A19" s="304">
        <f t="shared" si="0"/>
        <v>9</v>
      </c>
      <c r="B19" s="309" t="s">
        <v>426</v>
      </c>
      <c r="C19" s="314">
        <v>2048627</v>
      </c>
      <c r="D19" s="318">
        <v>0</v>
      </c>
      <c r="E19" s="297">
        <v>0</v>
      </c>
      <c r="F19" s="317">
        <f>E19-C19</f>
        <v>-2048627</v>
      </c>
    </row>
    <row r="20" spans="1:6">
      <c r="A20" s="304">
        <f t="shared" si="0"/>
        <v>10</v>
      </c>
      <c r="B20" s="309" t="s">
        <v>427</v>
      </c>
      <c r="C20" s="319"/>
      <c r="D20" s="197"/>
      <c r="E20" s="297"/>
      <c r="F20" s="320"/>
    </row>
    <row r="21" spans="1:6">
      <c r="A21" s="304">
        <f t="shared" si="0"/>
        <v>11</v>
      </c>
      <c r="B21" s="309" t="s">
        <v>428</v>
      </c>
      <c r="C21" s="319"/>
      <c r="D21" s="321"/>
      <c r="E21" s="297"/>
      <c r="F21" s="320"/>
    </row>
    <row r="22" spans="1:6">
      <c r="A22" s="304">
        <f t="shared" si="0"/>
        <v>12</v>
      </c>
      <c r="B22" s="309" t="s">
        <v>429</v>
      </c>
      <c r="C22" s="319">
        <v>247903.82</v>
      </c>
      <c r="D22" s="321">
        <v>484912.68000000011</v>
      </c>
      <c r="E22" s="297">
        <v>484912.68000000011</v>
      </c>
      <c r="F22" s="317">
        <f t="shared" ref="F22:F30" si="1">E22-C22</f>
        <v>237008.8600000001</v>
      </c>
    </row>
    <row r="23" spans="1:6">
      <c r="A23" s="304">
        <f t="shared" si="0"/>
        <v>13</v>
      </c>
      <c r="B23" s="309" t="s">
        <v>430</v>
      </c>
      <c r="C23" s="322">
        <v>2987000</v>
      </c>
      <c r="D23" s="321">
        <v>2300000</v>
      </c>
      <c r="E23" s="297">
        <v>2300000</v>
      </c>
      <c r="F23" s="317">
        <f t="shared" si="1"/>
        <v>-687000</v>
      </c>
    </row>
    <row r="24" spans="1:6">
      <c r="A24" s="304">
        <f t="shared" si="0"/>
        <v>14</v>
      </c>
      <c r="B24" s="323" t="s">
        <v>431</v>
      </c>
      <c r="C24" s="324">
        <v>783838.11</v>
      </c>
      <c r="D24" s="321">
        <v>807353.25329999998</v>
      </c>
      <c r="E24" s="297">
        <v>783838</v>
      </c>
      <c r="F24" s="317">
        <f t="shared" si="1"/>
        <v>-0.10999999998603016</v>
      </c>
    </row>
    <row r="25" spans="1:6">
      <c r="A25" s="304">
        <f t="shared" si="0"/>
        <v>15</v>
      </c>
      <c r="B25" s="323" t="s">
        <v>432</v>
      </c>
      <c r="C25" s="324">
        <v>27737607.219999999</v>
      </c>
      <c r="D25" s="321">
        <v>28612146.413200002</v>
      </c>
      <c r="E25" s="314">
        <v>27737607</v>
      </c>
      <c r="F25" s="317">
        <f t="shared" si="1"/>
        <v>-0.2199999988079071</v>
      </c>
    </row>
    <row r="26" spans="1:6">
      <c r="A26" s="304">
        <f t="shared" si="0"/>
        <v>16</v>
      </c>
      <c r="B26" s="323" t="s">
        <v>804</v>
      </c>
      <c r="C26" s="324">
        <v>-2376.064476</v>
      </c>
      <c r="D26" s="321">
        <v>0</v>
      </c>
      <c r="E26" s="314">
        <v>0</v>
      </c>
      <c r="F26" s="317">
        <f t="shared" si="1"/>
        <v>2376.064476</v>
      </c>
    </row>
    <row r="27" spans="1:6">
      <c r="A27" s="304">
        <f t="shared" si="0"/>
        <v>17</v>
      </c>
      <c r="B27" s="325" t="s">
        <v>433</v>
      </c>
      <c r="C27" s="324">
        <v>193717.80369</v>
      </c>
      <c r="D27" s="321">
        <v>506302.09892032295</v>
      </c>
      <c r="E27" s="314">
        <v>506302.09892032295</v>
      </c>
      <c r="F27" s="317">
        <f t="shared" si="1"/>
        <v>312584.29523032298</v>
      </c>
    </row>
    <row r="28" spans="1:6">
      <c r="A28" s="304">
        <f t="shared" si="0"/>
        <v>18</v>
      </c>
      <c r="B28" s="325" t="s">
        <v>434</v>
      </c>
      <c r="C28" s="324">
        <v>1622419.5483720002</v>
      </c>
      <c r="D28" s="321">
        <v>2252355.0804927759</v>
      </c>
      <c r="E28" s="314">
        <v>2252355.0804927759</v>
      </c>
      <c r="F28" s="317">
        <f t="shared" si="1"/>
        <v>629935.53212077566</v>
      </c>
    </row>
    <row r="29" spans="1:6">
      <c r="A29" s="304">
        <f t="shared" si="0"/>
        <v>19</v>
      </c>
      <c r="B29" s="309" t="s">
        <v>435</v>
      </c>
      <c r="C29" s="326">
        <v>13138.279919999999</v>
      </c>
      <c r="D29" s="321">
        <v>0</v>
      </c>
      <c r="E29" s="314">
        <v>0</v>
      </c>
      <c r="F29" s="317">
        <f t="shared" si="1"/>
        <v>-13138.279919999999</v>
      </c>
    </row>
    <row r="30" spans="1:6">
      <c r="A30" s="304">
        <f t="shared" si="0"/>
        <v>20</v>
      </c>
      <c r="B30" s="309" t="s">
        <v>436</v>
      </c>
      <c r="C30" s="326">
        <v>13504.977418499999</v>
      </c>
      <c r="D30" s="321">
        <v>0</v>
      </c>
      <c r="E30" s="314">
        <v>0</v>
      </c>
      <c r="F30" s="317">
        <f t="shared" si="1"/>
        <v>-13504.977418499999</v>
      </c>
    </row>
    <row r="31" spans="1:6">
      <c r="A31" s="304">
        <f t="shared" si="0"/>
        <v>21</v>
      </c>
      <c r="B31" s="309" t="s">
        <v>437</v>
      </c>
      <c r="C31" s="310"/>
      <c r="D31" s="311"/>
      <c r="E31" s="327"/>
      <c r="F31" s="328"/>
    </row>
    <row r="32" spans="1:6">
      <c r="A32" s="304">
        <f t="shared" si="0"/>
        <v>22</v>
      </c>
      <c r="B32" s="329" t="s">
        <v>438</v>
      </c>
      <c r="C32" s="330">
        <f>SUM(C19:C31)</f>
        <v>35645380.694924496</v>
      </c>
      <c r="D32" s="331">
        <f>SUM(D19:D31)</f>
        <v>34963069.525913104</v>
      </c>
      <c r="E32" s="314">
        <f>SUM(E19:E31)</f>
        <v>34065014.859413102</v>
      </c>
      <c r="F32" s="314">
        <f>SUM(F19:F31)</f>
        <v>-1580365.8355113994</v>
      </c>
    </row>
    <row r="33" spans="1:6">
      <c r="A33" s="304">
        <f t="shared" si="0"/>
        <v>23</v>
      </c>
      <c r="B33" s="197"/>
      <c r="C33" s="314"/>
      <c r="D33" s="314"/>
      <c r="E33" s="314"/>
      <c r="F33" s="332"/>
    </row>
    <row r="34" spans="1:6">
      <c r="A34" s="304">
        <f t="shared" si="0"/>
        <v>24</v>
      </c>
      <c r="B34" s="333" t="s">
        <v>439</v>
      </c>
      <c r="C34" s="297"/>
      <c r="D34" s="297"/>
      <c r="E34" s="297"/>
      <c r="F34" s="299">
        <f>-F14+F32</f>
        <v>-2428502.3355113994</v>
      </c>
    </row>
    <row r="35" spans="1:6">
      <c r="A35" s="304">
        <f t="shared" si="0"/>
        <v>25</v>
      </c>
      <c r="B35" s="314" t="s">
        <v>440</v>
      </c>
      <c r="C35" s="334"/>
      <c r="D35" s="335">
        <v>0.35</v>
      </c>
      <c r="E35" s="297"/>
      <c r="F35" s="299">
        <f>F34*-D35</f>
        <v>849975.8174289898</v>
      </c>
    </row>
    <row r="36" spans="1:6">
      <c r="A36" s="304">
        <f t="shared" si="0"/>
        <v>26</v>
      </c>
      <c r="B36" s="336"/>
      <c r="C36" s="334"/>
      <c r="D36" s="334"/>
      <c r="E36" s="297"/>
      <c r="F36" s="299"/>
    </row>
    <row r="37" spans="1:6">
      <c r="A37" s="304">
        <f t="shared" si="0"/>
        <v>27</v>
      </c>
      <c r="B37" s="337" t="s">
        <v>441</v>
      </c>
      <c r="C37" s="338"/>
      <c r="D37" s="338"/>
      <c r="E37" s="297"/>
      <c r="F37" s="313">
        <f>-F34-F35-1</f>
        <v>1578525.5180824096</v>
      </c>
    </row>
    <row r="38" spans="1:6">
      <c r="A38" s="266"/>
      <c r="B38" s="243"/>
      <c r="C38" s="339"/>
    </row>
    <row r="39" spans="1:6">
      <c r="A39" s="266"/>
      <c r="B39" s="243"/>
      <c r="C39" s="339"/>
    </row>
    <row r="40" spans="1:6">
      <c r="A40" s="266"/>
      <c r="B40" s="243"/>
      <c r="C40" s="339"/>
    </row>
    <row r="41" spans="1:6">
      <c r="A41" s="266"/>
      <c r="B41" s="243"/>
      <c r="C41" s="340"/>
    </row>
    <row r="42" spans="1:6">
      <c r="A42" s="243"/>
      <c r="B42" s="243"/>
      <c r="C42" s="243"/>
    </row>
    <row r="43" spans="1:6">
      <c r="A43" s="18"/>
      <c r="B43" s="18"/>
      <c r="C43" s="18"/>
    </row>
  </sheetData>
  <mergeCells count="4">
    <mergeCell ref="A5:F5"/>
    <mergeCell ref="A6:F6"/>
    <mergeCell ref="A7:F7"/>
    <mergeCell ref="A4:F4"/>
  </mergeCells>
  <pageMargins left="0.7" right="0.7" top="0.75" bottom="0.75" header="0.75" footer="0.3"/>
  <pageSetup scale="73" orientation="portrait" r:id="rId1"/>
  <headerFooter>
    <oddHeader>&amp;R&amp;"Times New Roman,Regular"&amp;12Exhibit KHB-2
Page 2.21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topLeftCell="A4" zoomScaleNormal="100" workbookViewId="0">
      <selection activeCell="B52" sqref="B52"/>
    </sheetView>
  </sheetViews>
  <sheetFormatPr defaultColWidth="9.140625" defaultRowHeight="15.75"/>
  <cols>
    <col min="1" max="1" width="6.28515625" style="2" customWidth="1"/>
    <col min="2" max="2" width="50.28515625" style="2" customWidth="1"/>
    <col min="3" max="3" width="17.140625" style="2" customWidth="1"/>
    <col min="4" max="4" width="18.42578125" style="2" customWidth="1"/>
    <col min="5" max="5" width="16.85546875" style="2" customWidth="1"/>
    <col min="6" max="6" width="15.28515625" style="2" customWidth="1"/>
    <col min="7" max="16384" width="9.140625" style="2"/>
  </cols>
  <sheetData>
    <row r="1" spans="1:6">
      <c r="A1" s="2" t="str">
        <f>CO</f>
        <v>Puget Sound Energy</v>
      </c>
    </row>
    <row r="2" spans="1:6">
      <c r="A2" s="2" t="str">
        <f>DOCKET</f>
        <v>Docket UE-090704/UG-090705</v>
      </c>
    </row>
    <row r="3" spans="1:6">
      <c r="A3" s="367"/>
      <c r="B3" s="367"/>
      <c r="C3" s="367"/>
      <c r="D3" s="367"/>
      <c r="E3" s="367"/>
      <c r="F3" s="367"/>
    </row>
    <row r="4" spans="1:6">
      <c r="A4" s="938" t="s">
        <v>710</v>
      </c>
      <c r="B4" s="938"/>
      <c r="C4" s="938"/>
      <c r="D4" s="938"/>
      <c r="E4" s="938"/>
      <c r="F4" s="938"/>
    </row>
    <row r="5" spans="1:6">
      <c r="A5" s="938" t="s">
        <v>821</v>
      </c>
      <c r="B5" s="938"/>
      <c r="C5" s="938"/>
      <c r="D5" s="938"/>
      <c r="E5" s="938"/>
      <c r="F5" s="938"/>
    </row>
    <row r="6" spans="1:6">
      <c r="A6" s="936" t="str">
        <f>TY</f>
        <v>FOR THE TWELVE MONTHS ENDED DECEMBER 31, 2008</v>
      </c>
      <c r="B6" s="939"/>
      <c r="C6" s="939"/>
      <c r="D6" s="939"/>
      <c r="E6" s="939"/>
      <c r="F6" s="939"/>
    </row>
    <row r="7" spans="1:6">
      <c r="A7" s="940" t="s">
        <v>819</v>
      </c>
      <c r="B7" s="941"/>
      <c r="C7" s="941"/>
      <c r="D7" s="941"/>
      <c r="E7" s="941"/>
      <c r="F7" s="941"/>
    </row>
    <row r="8" spans="1:6">
      <c r="A8" s="942"/>
      <c r="B8" s="943"/>
      <c r="C8" s="943"/>
      <c r="D8" s="943"/>
      <c r="E8" s="943"/>
      <c r="F8" s="943"/>
    </row>
    <row r="9" spans="1:6">
      <c r="A9" s="944"/>
      <c r="B9" s="945" t="s">
        <v>216</v>
      </c>
      <c r="C9" s="946" t="s">
        <v>442</v>
      </c>
      <c r="D9" s="946" t="s">
        <v>443</v>
      </c>
      <c r="E9" s="944" t="s">
        <v>444</v>
      </c>
      <c r="F9" s="944" t="s">
        <v>226</v>
      </c>
    </row>
    <row r="10" spans="1:6">
      <c r="A10" s="947"/>
      <c r="B10" s="947"/>
      <c r="C10" s="947"/>
      <c r="D10" s="947"/>
      <c r="E10" s="947"/>
      <c r="F10" s="947"/>
    </row>
    <row r="11" spans="1:6">
      <c r="A11" s="948">
        <v>1</v>
      </c>
      <c r="B11" s="949" t="s">
        <v>445</v>
      </c>
      <c r="C11" s="950">
        <v>25089976.240948901</v>
      </c>
      <c r="D11" s="950">
        <v>10427003</v>
      </c>
      <c r="E11" s="950">
        <v>682879</v>
      </c>
      <c r="F11" s="950">
        <v>36199858.240948901</v>
      </c>
    </row>
    <row r="12" spans="1:6">
      <c r="A12" s="948">
        <v>2</v>
      </c>
      <c r="B12" s="951" t="s">
        <v>446</v>
      </c>
      <c r="C12" s="952">
        <v>22610385.899999999</v>
      </c>
      <c r="D12" s="952">
        <v>10434323</v>
      </c>
      <c r="E12" s="952">
        <v>687927</v>
      </c>
      <c r="F12" s="952">
        <v>33732635.899999999</v>
      </c>
    </row>
    <row r="13" spans="1:6">
      <c r="A13" s="948">
        <v>3</v>
      </c>
      <c r="B13" s="951" t="s">
        <v>447</v>
      </c>
      <c r="C13" s="953">
        <f>C11-C12</f>
        <v>2479590.3409489021</v>
      </c>
      <c r="D13" s="953">
        <f t="shared" ref="D13:F13" si="0">D11-D12</f>
        <v>-7320</v>
      </c>
      <c r="E13" s="953">
        <f t="shared" si="0"/>
        <v>-5048</v>
      </c>
      <c r="F13" s="953">
        <f t="shared" si="0"/>
        <v>2467222.3409489021</v>
      </c>
    </row>
    <row r="14" spans="1:6">
      <c r="A14" s="948">
        <v>4</v>
      </c>
      <c r="B14" s="951"/>
      <c r="C14" s="953"/>
      <c r="D14" s="953"/>
      <c r="E14" s="953"/>
      <c r="F14" s="953"/>
    </row>
    <row r="15" spans="1:6">
      <c r="A15" s="948">
        <v>5</v>
      </c>
      <c r="B15" s="954" t="s">
        <v>448</v>
      </c>
      <c r="C15" s="947"/>
      <c r="D15" s="947"/>
      <c r="E15" s="947"/>
      <c r="F15" s="955">
        <f>F13</f>
        <v>2467222.3409489021</v>
      </c>
    </row>
    <row r="16" spans="1:6">
      <c r="A16" s="948">
        <v>6</v>
      </c>
      <c r="B16" s="951" t="s">
        <v>248</v>
      </c>
      <c r="C16" s="956"/>
      <c r="D16" s="957"/>
      <c r="E16" s="957">
        <v>0.35</v>
      </c>
      <c r="F16" s="952">
        <f>-F15*E16</f>
        <v>-863527.8193321157</v>
      </c>
    </row>
    <row r="17" spans="1:6">
      <c r="A17" s="948">
        <v>7</v>
      </c>
      <c r="B17" s="951" t="s">
        <v>258</v>
      </c>
      <c r="C17" s="947"/>
      <c r="D17" s="958"/>
      <c r="E17" s="958"/>
      <c r="F17" s="959">
        <f>-F15-F16</f>
        <v>-1603694.5216167863</v>
      </c>
    </row>
    <row r="18" spans="1:6">
      <c r="A18" s="948"/>
      <c r="B18" s="960"/>
      <c r="C18" s="960"/>
      <c r="D18" s="960"/>
      <c r="E18" s="960"/>
      <c r="F18" s="960"/>
    </row>
    <row r="19" spans="1:6">
      <c r="A19" s="304"/>
      <c r="B19" s="197"/>
      <c r="C19" s="197"/>
      <c r="D19" s="197"/>
      <c r="E19" s="334"/>
      <c r="F19" s="961"/>
    </row>
    <row r="20" spans="1:6">
      <c r="A20" s="304"/>
      <c r="B20" s="197"/>
      <c r="C20" s="197"/>
      <c r="D20" s="197"/>
      <c r="E20" s="297"/>
      <c r="F20" s="297"/>
    </row>
    <row r="21" spans="1:6">
      <c r="A21" s="304"/>
      <c r="B21" s="962"/>
      <c r="C21" s="197"/>
      <c r="D21" s="197"/>
      <c r="E21" s="297"/>
      <c r="F21" s="297"/>
    </row>
    <row r="22" spans="1:6">
      <c r="A22" s="304"/>
      <c r="B22" s="962"/>
      <c r="C22" s="197"/>
      <c r="D22" s="197"/>
      <c r="E22" s="297"/>
      <c r="F22" s="297"/>
    </row>
    <row r="23" spans="1:6">
      <c r="A23" s="304"/>
      <c r="B23" s="962"/>
      <c r="C23" s="197"/>
      <c r="D23" s="197"/>
      <c r="E23" s="297"/>
      <c r="F23" s="297"/>
    </row>
    <row r="24" spans="1:6">
      <c r="A24" s="963" t="s">
        <v>400</v>
      </c>
      <c r="B24" s="963"/>
      <c r="C24" s="963"/>
      <c r="D24" s="963"/>
      <c r="E24" s="963"/>
      <c r="F24" s="963"/>
    </row>
    <row r="25" spans="1:6">
      <c r="A25" s="197"/>
      <c r="B25" s="197"/>
      <c r="C25" s="197"/>
      <c r="D25" s="197"/>
      <c r="E25" s="197"/>
      <c r="F25" s="197"/>
    </row>
    <row r="26" spans="1:6">
      <c r="A26" s="944"/>
      <c r="B26" s="945" t="s">
        <v>216</v>
      </c>
      <c r="C26" s="946" t="s">
        <v>442</v>
      </c>
      <c r="D26" s="946" t="s">
        <v>443</v>
      </c>
      <c r="E26" s="944" t="s">
        <v>444</v>
      </c>
      <c r="F26" s="944" t="s">
        <v>226</v>
      </c>
    </row>
    <row r="27" spans="1:6">
      <c r="A27" s="947"/>
      <c r="B27" s="947"/>
      <c r="C27" s="947"/>
      <c r="D27" s="947"/>
      <c r="E27" s="947"/>
      <c r="F27" s="947"/>
    </row>
    <row r="28" spans="1:6">
      <c r="A28" s="948">
        <v>1</v>
      </c>
      <c r="B28" s="949" t="s">
        <v>445</v>
      </c>
      <c r="C28" s="952">
        <v>22610385.899999999</v>
      </c>
      <c r="D28" s="952">
        <v>10434323</v>
      </c>
      <c r="E28" s="952">
        <v>687927</v>
      </c>
      <c r="F28" s="952">
        <v>33732635.899999999</v>
      </c>
    </row>
    <row r="29" spans="1:6">
      <c r="A29" s="948">
        <v>2</v>
      </c>
      <c r="B29" s="951" t="s">
        <v>446</v>
      </c>
      <c r="C29" s="952">
        <v>22610385.899999999</v>
      </c>
      <c r="D29" s="952">
        <v>10434323</v>
      </c>
      <c r="E29" s="952">
        <v>687927</v>
      </c>
      <c r="F29" s="952">
        <v>33732635.899999999</v>
      </c>
    </row>
    <row r="30" spans="1:6">
      <c r="A30" s="948">
        <v>3</v>
      </c>
      <c r="B30" s="951" t="s">
        <v>447</v>
      </c>
      <c r="C30" s="953">
        <f>C28-C29</f>
        <v>0</v>
      </c>
      <c r="D30" s="953">
        <f t="shared" ref="D30:F30" si="1">D28-D29</f>
        <v>0</v>
      </c>
      <c r="E30" s="953">
        <f t="shared" si="1"/>
        <v>0</v>
      </c>
      <c r="F30" s="953">
        <f t="shared" si="1"/>
        <v>0</v>
      </c>
    </row>
    <row r="31" spans="1:6">
      <c r="A31" s="948">
        <v>4</v>
      </c>
      <c r="B31" s="951"/>
      <c r="C31" s="953"/>
      <c r="D31" s="953"/>
      <c r="E31" s="953"/>
      <c r="F31" s="953"/>
    </row>
    <row r="32" spans="1:6">
      <c r="A32" s="948">
        <v>5</v>
      </c>
      <c r="B32" s="954" t="s">
        <v>448</v>
      </c>
      <c r="C32" s="947"/>
      <c r="D32" s="947"/>
      <c r="E32" s="947"/>
      <c r="F32" s="955">
        <f>F30</f>
        <v>0</v>
      </c>
    </row>
    <row r="33" spans="1:6">
      <c r="A33" s="948">
        <v>6</v>
      </c>
      <c r="B33" s="951" t="s">
        <v>248</v>
      </c>
      <c r="C33" s="956"/>
      <c r="D33" s="957"/>
      <c r="E33" s="957">
        <v>0.35</v>
      </c>
      <c r="F33" s="952">
        <f>-F32*E33</f>
        <v>0</v>
      </c>
    </row>
    <row r="34" spans="1:6">
      <c r="A34" s="948">
        <v>7</v>
      </c>
      <c r="B34" s="951" t="s">
        <v>258</v>
      </c>
      <c r="C34" s="947"/>
      <c r="D34" s="958"/>
      <c r="E34" s="958"/>
      <c r="F34" s="959">
        <f>-F32-F33</f>
        <v>0</v>
      </c>
    </row>
    <row r="35" spans="1:6">
      <c r="A35" s="197"/>
      <c r="B35" s="197"/>
      <c r="C35" s="197"/>
      <c r="D35" s="197"/>
      <c r="E35" s="197"/>
      <c r="F35" s="197"/>
    </row>
    <row r="36" spans="1:6">
      <c r="A36" s="304"/>
      <c r="B36" s="197"/>
      <c r="C36" s="197"/>
      <c r="D36" s="197"/>
      <c r="E36" s="334"/>
      <c r="F36" s="961"/>
    </row>
    <row r="37" spans="1:6">
      <c r="A37" s="304"/>
      <c r="B37" s="197"/>
      <c r="C37" s="197"/>
      <c r="D37" s="197"/>
      <c r="E37" s="297"/>
      <c r="F37" s="297"/>
    </row>
    <row r="38" spans="1:6">
      <c r="A38" s="304"/>
      <c r="B38" s="962"/>
      <c r="C38" s="197"/>
      <c r="D38" s="197"/>
      <c r="E38" s="297"/>
      <c r="F38" s="297"/>
    </row>
    <row r="39" spans="1:6">
      <c r="A39" s="266"/>
      <c r="B39" s="243"/>
      <c r="C39" s="243"/>
      <c r="D39" s="340"/>
      <c r="E39" s="340"/>
    </row>
    <row r="40" spans="1:6">
      <c r="A40" s="243"/>
      <c r="B40" s="243"/>
      <c r="C40" s="243"/>
      <c r="D40" s="243"/>
      <c r="E40" s="243"/>
    </row>
    <row r="41" spans="1:6">
      <c r="A41" s="18"/>
      <c r="B41" s="18"/>
      <c r="C41" s="18"/>
      <c r="D41" s="18"/>
      <c r="E41" s="18"/>
    </row>
  </sheetData>
  <mergeCells count="5">
    <mergeCell ref="A6:F6"/>
    <mergeCell ref="A7:F7"/>
    <mergeCell ref="A24:F24"/>
    <mergeCell ref="A4:F4"/>
    <mergeCell ref="A5:F5"/>
  </mergeCells>
  <pageMargins left="0.7" right="0.7" top="0.75" bottom="0.75" header="0.75" footer="0.3"/>
  <pageSetup scale="72" orientation="portrait" r:id="rId1"/>
  <headerFooter>
    <oddHeader>&amp;R&amp;"Times New Roman,Regular"&amp;12Exhibit KHB-2
Page 2.22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1"/>
  <sheetViews>
    <sheetView zoomScaleNormal="100" workbookViewId="0">
      <selection activeCell="B52" sqref="B52"/>
    </sheetView>
  </sheetViews>
  <sheetFormatPr defaultColWidth="9.140625" defaultRowHeight="15.75"/>
  <cols>
    <col min="1" max="1" width="7.42578125" style="2" customWidth="1"/>
    <col min="2" max="2" width="68.28515625" style="2" customWidth="1"/>
    <col min="3" max="3" width="7.28515625" style="2" customWidth="1"/>
    <col min="4" max="4" width="15.5703125" style="2" customWidth="1"/>
    <col min="5" max="5" width="3.28515625" style="2" customWidth="1"/>
    <col min="6" max="16384" width="9.140625" style="2"/>
  </cols>
  <sheetData>
    <row r="1" spans="1:5">
      <c r="A1" s="2" t="str">
        <f>CO</f>
        <v>Puget Sound Energy</v>
      </c>
    </row>
    <row r="2" spans="1:5">
      <c r="A2" s="2" t="str">
        <f>DOCKET</f>
        <v>Docket UE-090704/UG-090705</v>
      </c>
    </row>
    <row r="4" spans="1:5">
      <c r="A4" s="343" t="s">
        <v>201</v>
      </c>
      <c r="B4" s="343"/>
      <c r="C4" s="343"/>
      <c r="D4" s="343"/>
      <c r="E4" s="288"/>
    </row>
    <row r="5" spans="1:5">
      <c r="A5" s="343" t="s">
        <v>820</v>
      </c>
      <c r="B5" s="344"/>
      <c r="C5" s="344"/>
      <c r="D5" s="344"/>
      <c r="E5" s="288"/>
    </row>
    <row r="6" spans="1:5">
      <c r="A6" s="344" t="str">
        <f>TY</f>
        <v>FOR THE TWELVE MONTHS ENDED DECEMBER 31, 2008</v>
      </c>
      <c r="B6" s="344"/>
      <c r="C6" s="344"/>
      <c r="D6" s="344"/>
      <c r="E6" s="345"/>
    </row>
    <row r="7" spans="1:5">
      <c r="A7" s="343" t="s">
        <v>205</v>
      </c>
      <c r="B7" s="344"/>
      <c r="C7" s="344"/>
      <c r="D7" s="344"/>
      <c r="E7" s="346"/>
    </row>
    <row r="8" spans="1:5">
      <c r="A8" s="220"/>
      <c r="B8" s="223"/>
      <c r="C8" s="220"/>
      <c r="D8" s="220"/>
      <c r="E8" s="346"/>
    </row>
    <row r="9" spans="1:5">
      <c r="A9" s="222" t="s">
        <v>208</v>
      </c>
      <c r="B9" s="220"/>
      <c r="C9" s="220"/>
      <c r="D9" s="220"/>
      <c r="E9" s="347"/>
    </row>
    <row r="10" spans="1:5">
      <c r="A10" s="226" t="s">
        <v>215</v>
      </c>
      <c r="B10" s="348" t="s">
        <v>216</v>
      </c>
      <c r="C10" s="227"/>
      <c r="D10" s="226" t="s">
        <v>219</v>
      </c>
      <c r="E10" s="349"/>
    </row>
    <row r="11" spans="1:5">
      <c r="A11" s="232"/>
      <c r="B11" s="232"/>
      <c r="C11" s="232"/>
      <c r="D11" s="232"/>
      <c r="E11" s="346"/>
    </row>
    <row r="12" spans="1:5">
      <c r="A12" s="231">
        <v>1</v>
      </c>
      <c r="B12" s="232" t="s">
        <v>449</v>
      </c>
      <c r="C12" s="232"/>
      <c r="D12" s="350">
        <v>77127850.266716003</v>
      </c>
      <c r="E12" s="351"/>
    </row>
    <row r="13" spans="1:5">
      <c r="A13" s="231">
        <f t="shared" ref="A13:A23" si="0">A12+1</f>
        <v>2</v>
      </c>
      <c r="B13" s="232" t="s">
        <v>450</v>
      </c>
      <c r="C13" s="232"/>
      <c r="D13" s="235">
        <v>77534151.18671599</v>
      </c>
      <c r="E13" s="340"/>
    </row>
    <row r="14" spans="1:5">
      <c r="A14" s="231">
        <f t="shared" si="0"/>
        <v>3</v>
      </c>
      <c r="B14" s="232" t="s">
        <v>451</v>
      </c>
      <c r="C14" s="232"/>
      <c r="D14" s="350">
        <f>(D12-D13)</f>
        <v>-406300.91999998689</v>
      </c>
      <c r="E14" s="340"/>
    </row>
    <row r="15" spans="1:5">
      <c r="A15" s="231">
        <f t="shared" si="0"/>
        <v>4</v>
      </c>
      <c r="B15" s="232"/>
      <c r="C15" s="232"/>
      <c r="D15" s="232"/>
      <c r="E15" s="340"/>
    </row>
    <row r="16" spans="1:5">
      <c r="A16" s="231">
        <f t="shared" si="0"/>
        <v>5</v>
      </c>
      <c r="B16" s="352" t="s">
        <v>452</v>
      </c>
      <c r="C16" s="232"/>
      <c r="D16" s="350">
        <v>4067207.0751200002</v>
      </c>
      <c r="E16" s="340"/>
    </row>
    <row r="17" spans="1:5">
      <c r="A17" s="231">
        <f t="shared" si="0"/>
        <v>6</v>
      </c>
      <c r="B17" s="236" t="s">
        <v>450</v>
      </c>
      <c r="C17" s="232"/>
      <c r="D17" s="235">
        <v>4067207</v>
      </c>
      <c r="E17" s="340"/>
    </row>
    <row r="18" spans="1:5">
      <c r="A18" s="231">
        <f t="shared" si="0"/>
        <v>7</v>
      </c>
      <c r="B18" s="236" t="s">
        <v>453</v>
      </c>
      <c r="C18" s="232"/>
      <c r="D18" s="350">
        <f>(D16-D17)</f>
        <v>7.5120000168681145E-2</v>
      </c>
      <c r="E18" s="340"/>
    </row>
    <row r="19" spans="1:5">
      <c r="A19" s="231">
        <f t="shared" si="0"/>
        <v>8</v>
      </c>
      <c r="B19" s="232"/>
      <c r="C19" s="247"/>
      <c r="D19" s="273"/>
      <c r="E19" s="340"/>
    </row>
    <row r="20" spans="1:5">
      <c r="A20" s="231">
        <f t="shared" si="0"/>
        <v>9</v>
      </c>
      <c r="B20" s="236" t="s">
        <v>454</v>
      </c>
      <c r="C20" s="247"/>
      <c r="D20" s="268">
        <f>D18+D14</f>
        <v>-406300.84487998672</v>
      </c>
      <c r="E20" s="340"/>
    </row>
    <row r="21" spans="1:5">
      <c r="A21" s="231">
        <f t="shared" si="0"/>
        <v>10</v>
      </c>
      <c r="B21" s="232"/>
      <c r="C21" s="247"/>
      <c r="D21" s="268"/>
      <c r="E21" s="340"/>
    </row>
    <row r="22" spans="1:5">
      <c r="A22" s="231">
        <f t="shared" si="0"/>
        <v>11</v>
      </c>
      <c r="B22" s="236" t="s">
        <v>248</v>
      </c>
      <c r="C22" s="353">
        <f>FIT</f>
        <v>0.35</v>
      </c>
      <c r="D22" s="27">
        <f>ROUND(-D20*C22,0)</f>
        <v>142205</v>
      </c>
      <c r="E22" s="340"/>
    </row>
    <row r="23" spans="1:5" ht="16.5" thickBot="1">
      <c r="A23" s="231">
        <f t="shared" si="0"/>
        <v>12</v>
      </c>
      <c r="B23" s="236" t="s">
        <v>258</v>
      </c>
      <c r="C23" s="354"/>
      <c r="D23" s="355">
        <f>-D20-D22</f>
        <v>264095.84487998672</v>
      </c>
      <c r="E23" s="340"/>
    </row>
    <row r="24" spans="1:5" ht="16.5" thickTop="1">
      <c r="A24" s="266"/>
      <c r="B24" s="243"/>
      <c r="C24" s="243"/>
      <c r="D24" s="356"/>
      <c r="E24" s="340"/>
    </row>
    <row r="25" spans="1:5">
      <c r="A25" s="266"/>
      <c r="B25" s="243"/>
      <c r="C25" s="243"/>
      <c r="D25" s="340"/>
      <c r="E25" s="340"/>
    </row>
    <row r="26" spans="1:5">
      <c r="A26" s="266"/>
      <c r="B26" s="243"/>
      <c r="C26" s="243"/>
      <c r="D26" s="340"/>
      <c r="E26" s="340"/>
    </row>
    <row r="27" spans="1:5">
      <c r="A27" s="266"/>
      <c r="B27" s="357"/>
      <c r="C27" s="243"/>
      <c r="D27" s="340"/>
      <c r="E27" s="340"/>
    </row>
    <row r="28" spans="1:5">
      <c r="A28" s="266"/>
      <c r="B28" s="358"/>
      <c r="C28" s="243"/>
      <c r="D28" s="340"/>
      <c r="E28" s="340"/>
    </row>
    <row r="29" spans="1:5">
      <c r="A29" s="266"/>
      <c r="B29" s="358"/>
      <c r="C29" s="243"/>
      <c r="D29" s="340"/>
      <c r="E29" s="340"/>
    </row>
    <row r="30" spans="1:5">
      <c r="A30" s="266"/>
      <c r="B30" s="358"/>
      <c r="C30" s="243"/>
      <c r="D30" s="340"/>
      <c r="E30" s="340"/>
    </row>
    <row r="31" spans="1:5">
      <c r="A31" s="266"/>
      <c r="B31" s="359"/>
      <c r="C31" s="243"/>
      <c r="D31" s="340"/>
      <c r="E31" s="340"/>
    </row>
    <row r="32" spans="1:5">
      <c r="A32" s="266"/>
      <c r="B32" s="360"/>
      <c r="C32" s="243"/>
      <c r="D32" s="340"/>
      <c r="E32" s="340"/>
    </row>
    <row r="33" spans="1:5">
      <c r="A33" s="266"/>
      <c r="B33" s="360"/>
      <c r="C33" s="243"/>
      <c r="D33" s="340"/>
      <c r="E33" s="340"/>
    </row>
    <row r="34" spans="1:5">
      <c r="A34" s="266"/>
      <c r="B34" s="360"/>
      <c r="C34" s="243"/>
      <c r="D34" s="340"/>
      <c r="E34" s="340"/>
    </row>
    <row r="35" spans="1:5">
      <c r="A35" s="266"/>
      <c r="B35" s="243"/>
      <c r="C35" s="243"/>
      <c r="D35" s="340"/>
      <c r="E35" s="340"/>
    </row>
    <row r="36" spans="1:5">
      <c r="A36" s="266"/>
      <c r="B36" s="243"/>
      <c r="C36" s="243"/>
      <c r="D36" s="339"/>
      <c r="E36" s="339"/>
    </row>
    <row r="37" spans="1:5">
      <c r="A37" s="266"/>
      <c r="B37" s="243"/>
      <c r="C37" s="243"/>
      <c r="D37" s="339"/>
      <c r="E37" s="339"/>
    </row>
    <row r="38" spans="1:5">
      <c r="A38" s="266"/>
      <c r="B38" s="243"/>
      <c r="C38" s="243"/>
      <c r="D38" s="339"/>
      <c r="E38" s="339"/>
    </row>
    <row r="39" spans="1:5">
      <c r="A39" s="266"/>
      <c r="B39" s="243"/>
      <c r="C39" s="243"/>
      <c r="D39" s="340"/>
      <c r="E39" s="340"/>
    </row>
    <row r="40" spans="1:5">
      <c r="A40" s="243"/>
      <c r="B40" s="243"/>
      <c r="C40" s="243"/>
      <c r="D40" s="243"/>
      <c r="E40" s="243"/>
    </row>
    <row r="41" spans="1:5">
      <c r="A41" s="18"/>
      <c r="B41" s="18"/>
      <c r="C41" s="18"/>
      <c r="D41" s="18"/>
      <c r="E41" s="18"/>
    </row>
  </sheetData>
  <pageMargins left="0.7" right="0.7" top="0.75" bottom="0.75" header="0.75" footer="0.3"/>
  <pageSetup scale="88" orientation="portrait" r:id="rId1"/>
  <headerFooter>
    <oddHeader>&amp;R&amp;"Times New Roman,Regular"&amp;12Exhibit KHB-2
Page 2.23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1"/>
  <sheetViews>
    <sheetView zoomScaleNormal="100" workbookViewId="0">
      <selection activeCell="B52" sqref="B52"/>
    </sheetView>
  </sheetViews>
  <sheetFormatPr defaultColWidth="9.140625" defaultRowHeight="15.75"/>
  <cols>
    <col min="1" max="1" width="7.42578125" style="2" customWidth="1"/>
    <col min="2" max="2" width="2.5703125" style="2" customWidth="1"/>
    <col min="3" max="3" width="39.85546875" style="2" customWidth="1"/>
    <col min="4" max="4" width="15.5703125" style="2" customWidth="1"/>
    <col min="5" max="5" width="4.7109375" style="2" customWidth="1"/>
    <col min="6" max="6" width="14.42578125" style="2" customWidth="1"/>
    <col min="7" max="7" width="2.85546875" style="2" customWidth="1"/>
    <col min="8" max="8" width="16" style="2" customWidth="1"/>
    <col min="9" max="9" width="3.7109375" style="2" customWidth="1"/>
    <col min="10" max="16384" width="9.140625" style="2"/>
  </cols>
  <sheetData>
    <row r="1" spans="1:9">
      <c r="A1" s="2" t="str">
        <f>CO</f>
        <v>Puget Sound Energy</v>
      </c>
    </row>
    <row r="2" spans="1:9">
      <c r="A2" s="2" t="str">
        <f>DOCKET</f>
        <v>Docket UE-090704/UG-090705</v>
      </c>
    </row>
    <row r="4" spans="1:9">
      <c r="A4" s="936" t="s">
        <v>710</v>
      </c>
      <c r="B4" s="937"/>
      <c r="C4" s="937"/>
      <c r="D4" s="937"/>
      <c r="E4" s="937"/>
      <c r="F4" s="937"/>
      <c r="G4" s="937"/>
      <c r="H4" s="937"/>
      <c r="I4" s="937"/>
    </row>
    <row r="5" spans="1:9">
      <c r="A5" s="936" t="s">
        <v>818</v>
      </c>
      <c r="B5" s="937"/>
      <c r="C5" s="937"/>
      <c r="D5" s="937"/>
      <c r="E5" s="937"/>
      <c r="F5" s="937"/>
      <c r="G5" s="937"/>
      <c r="H5" s="937"/>
      <c r="I5" s="937"/>
    </row>
    <row r="6" spans="1:9">
      <c r="A6" s="938" t="str">
        <f>TY</f>
        <v>FOR THE TWELVE MONTHS ENDED DECEMBER 31, 2008</v>
      </c>
      <c r="B6" s="938"/>
      <c r="C6" s="938"/>
      <c r="D6" s="938"/>
      <c r="E6" s="938"/>
      <c r="F6" s="938"/>
      <c r="G6" s="938"/>
      <c r="H6" s="938"/>
      <c r="I6" s="938"/>
    </row>
    <row r="7" spans="1:9">
      <c r="A7" s="938" t="s">
        <v>819</v>
      </c>
      <c r="B7" s="938"/>
      <c r="C7" s="938"/>
      <c r="D7" s="938"/>
      <c r="E7" s="938"/>
      <c r="F7" s="938"/>
      <c r="G7" s="938"/>
      <c r="H7" s="938"/>
      <c r="I7" s="938"/>
    </row>
    <row r="10" spans="1:9">
      <c r="A10" s="90" t="s">
        <v>455</v>
      </c>
    </row>
    <row r="11" spans="1:9">
      <c r="A11" s="362">
        <v>1</v>
      </c>
    </row>
    <row r="12" spans="1:9">
      <c r="A12" s="362">
        <v>2</v>
      </c>
      <c r="F12" s="366" t="s">
        <v>401</v>
      </c>
      <c r="G12" s="367"/>
      <c r="H12" s="366" t="s">
        <v>400</v>
      </c>
    </row>
    <row r="13" spans="1:9">
      <c r="A13" s="362">
        <v>3</v>
      </c>
    </row>
    <row r="14" spans="1:9">
      <c r="A14" s="362">
        <v>4</v>
      </c>
      <c r="B14" s="362"/>
      <c r="C14" s="361" t="s">
        <v>456</v>
      </c>
      <c r="D14" s="362"/>
      <c r="E14" s="368"/>
      <c r="F14" s="369"/>
      <c r="G14" s="370"/>
      <c r="H14" s="371"/>
      <c r="I14" s="365"/>
    </row>
    <row r="15" spans="1:9">
      <c r="A15" s="362">
        <v>5</v>
      </c>
      <c r="B15" s="362"/>
      <c r="C15" s="362"/>
      <c r="D15" s="372"/>
      <c r="E15" s="368"/>
      <c r="F15" s="369"/>
      <c r="G15" s="370"/>
      <c r="H15" s="371"/>
      <c r="I15" s="365"/>
    </row>
    <row r="16" spans="1:9" ht="18.75">
      <c r="A16" s="362">
        <v>6</v>
      </c>
      <c r="B16" s="362"/>
      <c r="C16" s="362" t="s">
        <v>457</v>
      </c>
      <c r="D16" s="373">
        <v>0.59050000000000002</v>
      </c>
      <c r="E16" s="368"/>
      <c r="F16" s="369">
        <v>624952</v>
      </c>
      <c r="G16" s="374">
        <v>1</v>
      </c>
      <c r="H16" s="369">
        <v>624952</v>
      </c>
      <c r="I16" s="375"/>
    </row>
    <row r="17" spans="1:9" ht="18.75">
      <c r="A17" s="362">
        <v>7</v>
      </c>
      <c r="B17" s="362"/>
      <c r="C17" s="362" t="s">
        <v>458</v>
      </c>
      <c r="D17" s="362"/>
      <c r="E17" s="368"/>
      <c r="F17" s="376">
        <v>308934.52931929001</v>
      </c>
      <c r="G17" s="374">
        <v>2</v>
      </c>
      <c r="H17" s="376">
        <v>154467.26465964501</v>
      </c>
      <c r="I17" s="375">
        <v>3</v>
      </c>
    </row>
    <row r="18" spans="1:9" ht="18.75">
      <c r="A18" s="362">
        <v>8</v>
      </c>
      <c r="B18" s="362"/>
      <c r="C18" s="362" t="s">
        <v>340</v>
      </c>
      <c r="D18" s="362"/>
      <c r="E18" s="368"/>
      <c r="F18" s="369">
        <f>F17-F16</f>
        <v>-316017.47068070999</v>
      </c>
      <c r="G18" s="377"/>
      <c r="H18" s="935">
        <f>H17-H16</f>
        <v>-470484.73534035496</v>
      </c>
      <c r="I18" s="375"/>
    </row>
    <row r="19" spans="1:9" ht="18.75">
      <c r="A19" s="362">
        <v>9</v>
      </c>
      <c r="B19" s="362"/>
      <c r="C19" s="362"/>
      <c r="D19" s="362"/>
      <c r="E19" s="368"/>
      <c r="F19" s="369"/>
      <c r="G19" s="377"/>
      <c r="H19" s="369"/>
      <c r="I19" s="375"/>
    </row>
    <row r="20" spans="1:9" ht="18.75">
      <c r="A20" s="362">
        <v>10</v>
      </c>
      <c r="B20" s="362"/>
      <c r="C20" s="362" t="s">
        <v>25</v>
      </c>
      <c r="D20" s="378">
        <v>0.35</v>
      </c>
      <c r="E20" s="368"/>
      <c r="F20" s="376">
        <f>-F18*D20</f>
        <v>110606.11473824849</v>
      </c>
      <c r="G20" s="377"/>
      <c r="H20" s="376">
        <f>-H18*D20</f>
        <v>164669.65736912424</v>
      </c>
      <c r="I20" s="375"/>
    </row>
    <row r="21" spans="1:9" ht="18.75">
      <c r="A21" s="362">
        <v>11</v>
      </c>
      <c r="B21" s="362"/>
      <c r="C21" s="362"/>
      <c r="D21" s="362"/>
      <c r="E21" s="368"/>
      <c r="F21" s="369"/>
      <c r="G21" s="377"/>
      <c r="H21" s="369"/>
      <c r="I21" s="375"/>
    </row>
    <row r="22" spans="1:9" ht="19.5" thickBot="1">
      <c r="A22" s="362">
        <v>12</v>
      </c>
      <c r="B22" s="362"/>
      <c r="C22" s="362" t="s">
        <v>459</v>
      </c>
      <c r="D22" s="362"/>
      <c r="E22" s="368"/>
      <c r="F22" s="379">
        <f>F18+F20</f>
        <v>-205411.35594246149</v>
      </c>
      <c r="G22" s="377"/>
      <c r="H22" s="379">
        <f>H18+H20</f>
        <v>-305815.07797123073</v>
      </c>
      <c r="I22" s="375"/>
    </row>
    <row r="23" spans="1:9" ht="19.5" thickTop="1">
      <c r="A23" s="362">
        <v>13</v>
      </c>
      <c r="B23" s="362"/>
      <c r="C23" s="362"/>
      <c r="D23" s="362"/>
      <c r="E23" s="368"/>
      <c r="F23" s="380"/>
      <c r="G23" s="377"/>
      <c r="H23" s="380"/>
      <c r="I23" s="375"/>
    </row>
    <row r="24" spans="1:9" ht="16.5" thickBot="1">
      <c r="A24" s="362">
        <v>14</v>
      </c>
      <c r="B24" s="362"/>
      <c r="C24" s="362" t="s">
        <v>460</v>
      </c>
      <c r="D24" s="381">
        <v>0.62126199999999998</v>
      </c>
      <c r="E24" s="368"/>
      <c r="F24" s="379">
        <f>F22/D24</f>
        <v>-330635.6351144308</v>
      </c>
      <c r="G24" s="380"/>
      <c r="H24" s="379">
        <f>H22/D24</f>
        <v>-492248.16256463574</v>
      </c>
      <c r="I24" s="380"/>
    </row>
    <row r="25" spans="1:9" ht="16.5" thickTop="1"/>
    <row r="27" spans="1:9">
      <c r="A27" s="362"/>
      <c r="B27" s="362"/>
      <c r="C27" s="362"/>
      <c r="D27" s="362"/>
      <c r="E27" s="363"/>
      <c r="F27" s="362"/>
      <c r="G27" s="364"/>
      <c r="H27" s="362"/>
      <c r="I27" s="365"/>
    </row>
    <row r="28" spans="1:9">
      <c r="A28" s="362"/>
      <c r="B28" s="362"/>
      <c r="C28" s="362"/>
      <c r="D28" s="362"/>
      <c r="E28" s="363"/>
      <c r="F28" s="362"/>
      <c r="G28" s="364"/>
      <c r="H28" s="362"/>
      <c r="I28" s="365"/>
    </row>
    <row r="29" spans="1:9">
      <c r="A29" s="362"/>
      <c r="B29" s="362"/>
      <c r="C29" s="362"/>
      <c r="D29" s="362"/>
      <c r="E29" s="363"/>
      <c r="F29" s="362"/>
      <c r="G29" s="364"/>
      <c r="H29" s="362"/>
      <c r="I29" s="365"/>
    </row>
    <row r="30" spans="1:9" ht="18.75">
      <c r="A30" s="362"/>
      <c r="B30" s="362"/>
      <c r="C30" s="362"/>
      <c r="D30" s="362"/>
      <c r="E30" s="382">
        <v>1</v>
      </c>
      <c r="F30" s="780" t="s">
        <v>461</v>
      </c>
      <c r="G30" s="780"/>
      <c r="H30" s="780"/>
      <c r="I30" s="365"/>
    </row>
    <row r="31" spans="1:9" ht="18.75">
      <c r="A31" s="362"/>
      <c r="B31" s="362"/>
      <c r="C31" s="362"/>
      <c r="D31" s="362"/>
      <c r="E31" s="382">
        <v>2</v>
      </c>
      <c r="F31" s="383" t="s">
        <v>462</v>
      </c>
      <c r="G31" s="364"/>
      <c r="H31" s="362"/>
      <c r="I31" s="365"/>
    </row>
    <row r="32" spans="1:9" ht="18.75">
      <c r="A32" s="362"/>
      <c r="B32" s="362"/>
      <c r="C32" s="362"/>
      <c r="D32" s="362"/>
      <c r="E32" s="382">
        <v>3</v>
      </c>
      <c r="F32" s="383" t="s">
        <v>463</v>
      </c>
      <c r="G32" s="364"/>
      <c r="H32" s="362"/>
      <c r="I32" s="365"/>
    </row>
    <row r="35" spans="1:5">
      <c r="A35" s="266"/>
      <c r="B35" s="243"/>
      <c r="C35" s="243"/>
      <c r="D35" s="340"/>
      <c r="E35" s="340"/>
    </row>
    <row r="36" spans="1:5">
      <c r="A36" s="266"/>
      <c r="B36" s="243"/>
      <c r="C36" s="243"/>
      <c r="D36" s="339"/>
      <c r="E36" s="339"/>
    </row>
    <row r="37" spans="1:5">
      <c r="A37" s="266"/>
      <c r="B37" s="243"/>
      <c r="C37" s="243"/>
      <c r="D37" s="339"/>
      <c r="E37" s="339"/>
    </row>
    <row r="38" spans="1:5">
      <c r="A38" s="266"/>
      <c r="B38" s="243"/>
      <c r="C38" s="243"/>
      <c r="D38" s="339"/>
      <c r="E38" s="339"/>
    </row>
    <row r="39" spans="1:5">
      <c r="A39" s="266"/>
      <c r="B39" s="243"/>
      <c r="C39" s="243"/>
      <c r="D39" s="340"/>
      <c r="E39" s="340"/>
    </row>
    <row r="40" spans="1:5">
      <c r="A40" s="243"/>
      <c r="B40" s="243"/>
      <c r="C40" s="243"/>
      <c r="D40" s="243"/>
      <c r="E40" s="243"/>
    </row>
    <row r="41" spans="1:5">
      <c r="A41" s="18"/>
      <c r="B41" s="18"/>
      <c r="C41" s="18"/>
      <c r="D41" s="18"/>
      <c r="E41" s="18"/>
    </row>
  </sheetData>
  <mergeCells count="5">
    <mergeCell ref="F30:H30"/>
    <mergeCell ref="A4:I4"/>
    <mergeCell ref="A6:I6"/>
    <mergeCell ref="A7:I7"/>
    <mergeCell ref="A5:I5"/>
  </mergeCells>
  <pageMargins left="0.7" right="0.7" top="0.75" bottom="0.75" header="0.75" footer="0.3"/>
  <pageSetup scale="84" orientation="portrait" r:id="rId1"/>
  <headerFooter>
    <oddHeader>&amp;R&amp;"Times New Roman,Regular"&amp;12Exhibit KHB-2
Page 2.24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1"/>
  <sheetViews>
    <sheetView topLeftCell="A5" zoomScaleNormal="100" workbookViewId="0">
      <selection activeCell="B52" sqref="B52"/>
    </sheetView>
  </sheetViews>
  <sheetFormatPr defaultColWidth="9.140625" defaultRowHeight="15.75"/>
  <cols>
    <col min="1" max="1" width="7.42578125" style="2" customWidth="1"/>
    <col min="2" max="2" width="40.42578125" style="2" customWidth="1"/>
    <col min="3" max="3" width="7.28515625" style="2" customWidth="1"/>
    <col min="4" max="4" width="15.5703125" style="2" customWidth="1"/>
    <col min="5" max="5" width="24" style="2" customWidth="1"/>
    <col min="6" max="16384" width="9.140625" style="2"/>
  </cols>
  <sheetData>
    <row r="1" spans="1:5">
      <c r="A1" s="2" t="str">
        <f>CO</f>
        <v>Puget Sound Energy</v>
      </c>
    </row>
    <row r="2" spans="1:5">
      <c r="A2" s="2" t="str">
        <f>DOCKET</f>
        <v>Docket UE-090704/UG-090705</v>
      </c>
    </row>
    <row r="4" spans="1:5">
      <c r="A4" s="257"/>
      <c r="B4" s="929"/>
      <c r="C4" s="288"/>
      <c r="D4" s="288"/>
      <c r="E4" s="288"/>
    </row>
    <row r="5" spans="1:5">
      <c r="A5" s="257"/>
      <c r="B5" s="288"/>
      <c r="C5" s="288"/>
      <c r="D5" s="288"/>
      <c r="E5" s="288"/>
    </row>
    <row r="6" spans="1:5">
      <c r="A6" s="218" t="s">
        <v>201</v>
      </c>
      <c r="B6" s="219"/>
      <c r="C6" s="219"/>
      <c r="D6" s="219"/>
      <c r="E6" s="219"/>
    </row>
    <row r="7" spans="1:5">
      <c r="A7" s="219" t="s">
        <v>817</v>
      </c>
      <c r="B7" s="219"/>
      <c r="C7" s="219"/>
      <c r="D7" s="219"/>
      <c r="E7" s="445"/>
    </row>
    <row r="8" spans="1:5">
      <c r="A8" s="219" t="str">
        <f>TY</f>
        <v>FOR THE TWELVE MONTHS ENDED DECEMBER 31, 2008</v>
      </c>
      <c r="B8" s="219"/>
      <c r="C8" s="219"/>
      <c r="D8" s="219"/>
      <c r="E8" s="446"/>
    </row>
    <row r="9" spans="1:5">
      <c r="A9" s="344" t="s">
        <v>205</v>
      </c>
      <c r="B9" s="344"/>
      <c r="C9" s="344"/>
      <c r="D9" s="344"/>
      <c r="E9" s="344"/>
    </row>
    <row r="10" spans="1:5">
      <c r="A10" s="220"/>
      <c r="B10" s="223"/>
      <c r="C10" s="223"/>
      <c r="D10" s="220"/>
      <c r="E10" s="220"/>
    </row>
    <row r="11" spans="1:5">
      <c r="A11" s="225" t="s">
        <v>208</v>
      </c>
      <c r="B11" s="220"/>
      <c r="C11" s="220"/>
      <c r="D11" s="220"/>
      <c r="E11" s="222" t="s">
        <v>60</v>
      </c>
    </row>
    <row r="12" spans="1:5">
      <c r="A12" s="228" t="s">
        <v>215</v>
      </c>
      <c r="B12" s="348" t="s">
        <v>216</v>
      </c>
      <c r="C12" s="226"/>
      <c r="D12" s="226"/>
      <c r="E12" s="226" t="s">
        <v>219</v>
      </c>
    </row>
    <row r="13" spans="1:5">
      <c r="A13" s="231"/>
      <c r="B13" s="243"/>
      <c r="C13" s="930"/>
      <c r="D13" s="266"/>
      <c r="E13" s="266"/>
    </row>
    <row r="14" spans="1:5">
      <c r="A14" s="231">
        <f t="shared" ref="A14:A22" si="0">A13+1</f>
        <v>1</v>
      </c>
      <c r="B14" s="267" t="s">
        <v>464</v>
      </c>
      <c r="C14" s="255"/>
      <c r="D14" s="931">
        <v>5143995585.7999983</v>
      </c>
      <c r="E14" s="255"/>
    </row>
    <row r="15" spans="1:5">
      <c r="A15" s="231">
        <f t="shared" si="0"/>
        <v>2</v>
      </c>
      <c r="B15" s="236" t="s">
        <v>465</v>
      </c>
      <c r="C15" s="270"/>
      <c r="D15" s="932">
        <v>3.5E-4</v>
      </c>
      <c r="E15" s="255"/>
    </row>
    <row r="16" spans="1:5">
      <c r="A16" s="231">
        <f t="shared" si="0"/>
        <v>3</v>
      </c>
      <c r="B16" s="236"/>
      <c r="C16" s="270"/>
      <c r="D16" s="754"/>
      <c r="E16" s="255"/>
    </row>
    <row r="17" spans="1:5">
      <c r="A17" s="231">
        <f t="shared" si="0"/>
        <v>4</v>
      </c>
      <c r="B17" s="236" t="s">
        <v>466</v>
      </c>
      <c r="C17" s="270"/>
      <c r="D17" s="754"/>
      <c r="E17" s="241">
        <f>D14*D15</f>
        <v>1800398.4550299994</v>
      </c>
    </row>
    <row r="18" spans="1:5">
      <c r="A18" s="231">
        <f t="shared" si="0"/>
        <v>5</v>
      </c>
      <c r="B18" s="236" t="s">
        <v>467</v>
      </c>
      <c r="C18" s="270"/>
      <c r="D18" s="933"/>
      <c r="E18" s="661">
        <v>1878891</v>
      </c>
    </row>
    <row r="19" spans="1:5">
      <c r="A19" s="231">
        <f t="shared" si="0"/>
        <v>6</v>
      </c>
      <c r="B19" s="236" t="s">
        <v>249</v>
      </c>
      <c r="C19" s="934"/>
      <c r="D19" s="754"/>
      <c r="E19" s="581">
        <f>E17-E18</f>
        <v>-78492.544970000628</v>
      </c>
    </row>
    <row r="20" spans="1:5">
      <c r="A20" s="231">
        <f t="shared" si="0"/>
        <v>7</v>
      </c>
      <c r="B20" s="232"/>
      <c r="C20" s="255"/>
      <c r="D20" s="255" t="s">
        <v>60</v>
      </c>
      <c r="E20" s="255" t="s">
        <v>60</v>
      </c>
    </row>
    <row r="21" spans="1:5">
      <c r="A21" s="231">
        <f t="shared" si="0"/>
        <v>8</v>
      </c>
      <c r="B21" s="236" t="s">
        <v>262</v>
      </c>
      <c r="C21" s="174">
        <v>0.35</v>
      </c>
      <c r="D21" s="232"/>
      <c r="E21" s="237">
        <f>-E19*C21</f>
        <v>27472.390739500217</v>
      </c>
    </row>
    <row r="22" spans="1:5" ht="16.5" thickBot="1">
      <c r="A22" s="231">
        <f t="shared" si="0"/>
        <v>9</v>
      </c>
      <c r="B22" s="236" t="s">
        <v>240</v>
      </c>
      <c r="C22" s="249"/>
      <c r="D22" s="492"/>
      <c r="E22" s="355">
        <f>-E19-E21</f>
        <v>51020.154230500411</v>
      </c>
    </row>
    <row r="23" spans="1:5" ht="16.5" thickTop="1">
      <c r="A23" s="231"/>
      <c r="B23" s="232"/>
      <c r="C23" s="492"/>
      <c r="D23" s="492"/>
      <c r="E23" s="232"/>
    </row>
    <row r="24" spans="1:5">
      <c r="A24" s="266"/>
      <c r="B24" s="243"/>
      <c r="C24" s="243"/>
      <c r="D24" s="356"/>
      <c r="E24" s="340"/>
    </row>
    <row r="25" spans="1:5">
      <c r="A25" s="266"/>
      <c r="B25" s="243"/>
      <c r="C25" s="243"/>
      <c r="D25" s="340"/>
      <c r="E25" s="340"/>
    </row>
    <row r="26" spans="1:5">
      <c r="A26" s="266"/>
      <c r="B26" s="243"/>
      <c r="C26" s="243"/>
      <c r="D26" s="340"/>
      <c r="E26" s="340"/>
    </row>
    <row r="27" spans="1:5">
      <c r="A27" s="266"/>
      <c r="B27" s="357"/>
      <c r="C27" s="243"/>
      <c r="D27" s="340"/>
      <c r="E27" s="340"/>
    </row>
    <row r="28" spans="1:5">
      <c r="A28" s="266"/>
      <c r="B28" s="358"/>
      <c r="C28" s="243"/>
      <c r="D28" s="340"/>
      <c r="E28" s="340"/>
    </row>
    <row r="29" spans="1:5">
      <c r="A29" s="266"/>
      <c r="B29" s="358"/>
      <c r="C29" s="243"/>
      <c r="D29" s="340"/>
      <c r="E29" s="340"/>
    </row>
    <row r="30" spans="1:5">
      <c r="A30" s="266"/>
      <c r="B30" s="358"/>
      <c r="C30" s="243"/>
      <c r="D30" s="340"/>
      <c r="E30" s="340"/>
    </row>
    <row r="31" spans="1:5">
      <c r="A31" s="266"/>
      <c r="B31" s="359"/>
      <c r="C31" s="243"/>
      <c r="D31" s="340"/>
      <c r="E31" s="340"/>
    </row>
    <row r="32" spans="1:5">
      <c r="A32" s="266"/>
      <c r="B32" s="360"/>
      <c r="C32" s="243"/>
      <c r="D32" s="340"/>
      <c r="E32" s="340"/>
    </row>
    <row r="33" spans="1:5">
      <c r="A33" s="266"/>
      <c r="B33" s="360"/>
      <c r="C33" s="243"/>
      <c r="D33" s="340"/>
      <c r="E33" s="340"/>
    </row>
    <row r="34" spans="1:5">
      <c r="A34" s="266"/>
      <c r="B34" s="360"/>
      <c r="C34" s="243"/>
      <c r="D34" s="340"/>
      <c r="E34" s="340"/>
    </row>
    <row r="35" spans="1:5">
      <c r="A35" s="266"/>
      <c r="B35" s="243"/>
      <c r="C35" s="243"/>
      <c r="D35" s="340"/>
      <c r="E35" s="340"/>
    </row>
    <row r="36" spans="1:5">
      <c r="A36" s="266"/>
      <c r="B36" s="243"/>
      <c r="C36" s="243"/>
      <c r="D36" s="339"/>
      <c r="E36" s="339"/>
    </row>
    <row r="37" spans="1:5">
      <c r="A37" s="266"/>
      <c r="B37" s="243"/>
      <c r="C37" s="243"/>
      <c r="D37" s="339"/>
      <c r="E37" s="339"/>
    </row>
    <row r="38" spans="1:5">
      <c r="A38" s="266"/>
      <c r="B38" s="243"/>
      <c r="C38" s="243"/>
      <c r="D38" s="339"/>
      <c r="E38" s="339"/>
    </row>
    <row r="39" spans="1:5">
      <c r="A39" s="266"/>
      <c r="B39" s="243"/>
      <c r="C39" s="243"/>
      <c r="D39" s="340"/>
      <c r="E39" s="340"/>
    </row>
    <row r="40" spans="1:5">
      <c r="A40" s="243"/>
      <c r="B40" s="243"/>
      <c r="C40" s="243"/>
      <c r="D40" s="243"/>
      <c r="E40" s="243"/>
    </row>
    <row r="41" spans="1:5">
      <c r="A41" s="18"/>
      <c r="B41" s="18"/>
      <c r="C41" s="18"/>
      <c r="D41" s="18"/>
      <c r="E41" s="18"/>
    </row>
  </sheetData>
  <pageMargins left="0.7" right="0.7" top="0.75" bottom="0.75" header="0.75" footer="0.3"/>
  <pageSetup scale="95" orientation="portrait" r:id="rId1"/>
  <headerFooter>
    <oddHeader>&amp;R&amp;"Times New Roman,Regular"&amp;12Exhibit KHB-2
Page 2.25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1"/>
  <sheetViews>
    <sheetView zoomScaleNormal="100" workbookViewId="0">
      <selection activeCell="B52" sqref="B52"/>
    </sheetView>
  </sheetViews>
  <sheetFormatPr defaultColWidth="9.140625" defaultRowHeight="15.75"/>
  <cols>
    <col min="1" max="1" width="7.42578125" style="2" customWidth="1"/>
    <col min="2" max="2" width="68.28515625" style="2" customWidth="1"/>
    <col min="3" max="3" width="7.28515625" style="2" customWidth="1"/>
    <col min="4" max="4" width="15.5703125" style="2" customWidth="1"/>
    <col min="5" max="5" width="2" style="2" customWidth="1"/>
    <col min="6" max="16384" width="9.140625" style="2"/>
  </cols>
  <sheetData>
    <row r="1" spans="1:5">
      <c r="A1" s="2" t="str">
        <f>CO</f>
        <v>Puget Sound Energy</v>
      </c>
    </row>
    <row r="2" spans="1:5">
      <c r="A2" s="2" t="str">
        <f>DOCKET</f>
        <v>Docket UE-090704/UG-090705</v>
      </c>
    </row>
    <row r="4" spans="1:5">
      <c r="A4" s="388" t="s">
        <v>201</v>
      </c>
      <c r="B4" s="388"/>
      <c r="C4" s="388"/>
      <c r="D4" s="388"/>
      <c r="E4" s="288"/>
    </row>
    <row r="5" spans="1:5">
      <c r="A5" s="389" t="s">
        <v>816</v>
      </c>
      <c r="B5" s="389"/>
      <c r="C5" s="389"/>
      <c r="D5" s="389"/>
      <c r="E5" s="288"/>
    </row>
    <row r="6" spans="1:5">
      <c r="A6" s="389" t="s">
        <v>204</v>
      </c>
      <c r="B6" s="389"/>
      <c r="C6" s="389"/>
      <c r="D6" s="389"/>
      <c r="E6" s="345"/>
    </row>
    <row r="7" spans="1:5">
      <c r="A7" s="389" t="s">
        <v>207</v>
      </c>
      <c r="B7" s="389"/>
      <c r="C7" s="389"/>
      <c r="D7" s="389"/>
      <c r="E7" s="346"/>
    </row>
    <row r="8" spans="1:5">
      <c r="A8" s="220"/>
      <c r="B8" s="223"/>
      <c r="C8" s="220"/>
      <c r="D8" s="220"/>
      <c r="E8" s="346"/>
    </row>
    <row r="9" spans="1:5">
      <c r="A9" s="222" t="s">
        <v>208</v>
      </c>
      <c r="B9" s="220"/>
      <c r="C9" s="220"/>
      <c r="D9" s="220"/>
      <c r="E9" s="347"/>
    </row>
    <row r="10" spans="1:5">
      <c r="A10" s="226" t="s">
        <v>215</v>
      </c>
      <c r="B10" s="348" t="s">
        <v>216</v>
      </c>
      <c r="C10" s="227"/>
      <c r="D10" s="226" t="s">
        <v>219</v>
      </c>
      <c r="E10" s="349"/>
    </row>
    <row r="11" spans="1:5">
      <c r="A11" s="232"/>
      <c r="B11" s="232"/>
      <c r="C11" s="232"/>
      <c r="D11" s="232"/>
      <c r="E11" s="346"/>
    </row>
    <row r="12" spans="1:5">
      <c r="A12" s="231">
        <v>1</v>
      </c>
      <c r="B12" s="390" t="s">
        <v>468</v>
      </c>
      <c r="C12" s="390"/>
      <c r="D12" s="350">
        <v>61479.013170731705</v>
      </c>
      <c r="E12" s="351"/>
    </row>
    <row r="13" spans="1:5">
      <c r="A13" s="391">
        <v>2</v>
      </c>
      <c r="B13" s="392"/>
      <c r="C13" s="392"/>
      <c r="D13" s="392"/>
      <c r="E13" s="340"/>
    </row>
    <row r="14" spans="1:5" ht="16.5" thickBot="1">
      <c r="A14" s="391">
        <v>3</v>
      </c>
      <c r="B14" s="393" t="s">
        <v>240</v>
      </c>
      <c r="C14" s="393"/>
      <c r="D14" s="394">
        <v>-61479.013170731705</v>
      </c>
      <c r="E14" s="340"/>
    </row>
    <row r="15" spans="1:5" ht="16.5" thickTop="1">
      <c r="A15" s="391">
        <v>4</v>
      </c>
      <c r="B15" s="286"/>
      <c r="C15" s="395"/>
      <c r="D15" s="396"/>
      <c r="E15" s="340"/>
    </row>
    <row r="16" spans="1:5" ht="16.5" thickBot="1">
      <c r="A16" s="391">
        <v>5</v>
      </c>
      <c r="B16" s="286" t="s">
        <v>469</v>
      </c>
      <c r="C16" s="395"/>
      <c r="D16" s="397">
        <v>4846474.2075103223</v>
      </c>
      <c r="E16" s="340"/>
    </row>
    <row r="17" spans="1:5" ht="16.5" thickTop="1">
      <c r="A17" s="391">
        <v>6</v>
      </c>
      <c r="B17" s="395"/>
      <c r="C17" s="395"/>
      <c r="D17" s="395"/>
      <c r="E17" s="340"/>
    </row>
    <row r="18" spans="1:5">
      <c r="A18" s="266"/>
      <c r="B18" s="360"/>
      <c r="C18" s="398"/>
      <c r="D18" s="340"/>
      <c r="E18" s="340"/>
    </row>
    <row r="19" spans="1:5">
      <c r="A19" s="266"/>
      <c r="B19" s="360"/>
      <c r="C19" s="398"/>
      <c r="D19" s="340"/>
      <c r="E19" s="340"/>
    </row>
    <row r="20" spans="1:5">
      <c r="A20" s="266"/>
      <c r="B20" s="243"/>
      <c r="C20" s="243"/>
      <c r="D20" s="243"/>
      <c r="E20" s="340"/>
    </row>
    <row r="21" spans="1:5">
      <c r="A21" s="266"/>
      <c r="B21" s="399"/>
      <c r="C21" s="398"/>
      <c r="D21" s="356"/>
      <c r="E21" s="340"/>
    </row>
    <row r="22" spans="1:5">
      <c r="A22" s="266"/>
      <c r="B22" s="243"/>
      <c r="C22" s="243"/>
      <c r="D22" s="356"/>
      <c r="E22" s="340"/>
    </row>
    <row r="23" spans="1:5">
      <c r="A23" s="266"/>
      <c r="B23" s="243"/>
      <c r="C23" s="243"/>
      <c r="D23" s="356"/>
      <c r="E23" s="340"/>
    </row>
    <row r="24" spans="1:5">
      <c r="A24" s="266"/>
      <c r="B24" s="243"/>
      <c r="C24" s="243"/>
      <c r="D24" s="356"/>
      <c r="E24" s="340"/>
    </row>
    <row r="25" spans="1:5">
      <c r="A25" s="266"/>
      <c r="B25" s="243"/>
      <c r="C25" s="243"/>
      <c r="D25" s="340"/>
      <c r="E25" s="340"/>
    </row>
    <row r="26" spans="1:5">
      <c r="A26" s="266"/>
      <c r="B26" s="243"/>
      <c r="C26" s="243"/>
      <c r="D26" s="340"/>
      <c r="E26" s="340"/>
    </row>
    <row r="27" spans="1:5">
      <c r="A27" s="266"/>
      <c r="B27" s="357"/>
      <c r="C27" s="243"/>
      <c r="D27" s="340"/>
      <c r="E27" s="340"/>
    </row>
    <row r="28" spans="1:5">
      <c r="A28" s="266"/>
      <c r="B28" s="358"/>
      <c r="C28" s="243"/>
      <c r="D28" s="340"/>
      <c r="E28" s="340"/>
    </row>
    <row r="29" spans="1:5">
      <c r="A29" s="266"/>
      <c r="B29" s="358"/>
      <c r="C29" s="243"/>
      <c r="D29" s="340"/>
      <c r="E29" s="340"/>
    </row>
    <row r="30" spans="1:5">
      <c r="A30" s="266"/>
      <c r="B30" s="358"/>
      <c r="C30" s="243"/>
      <c r="D30" s="340"/>
      <c r="E30" s="340"/>
    </row>
    <row r="31" spans="1:5">
      <c r="A31" s="266"/>
      <c r="B31" s="359"/>
      <c r="C31" s="243"/>
      <c r="D31" s="340"/>
      <c r="E31" s="340"/>
    </row>
    <row r="32" spans="1:5">
      <c r="A32" s="266"/>
      <c r="B32" s="360"/>
      <c r="C32" s="243"/>
      <c r="D32" s="340"/>
      <c r="E32" s="340"/>
    </row>
    <row r="33" spans="1:5">
      <c r="A33" s="266"/>
      <c r="B33" s="360"/>
      <c r="C33" s="243"/>
      <c r="D33" s="340"/>
      <c r="E33" s="340"/>
    </row>
    <row r="34" spans="1:5">
      <c r="A34" s="266"/>
      <c r="B34" s="360"/>
      <c r="C34" s="243"/>
      <c r="D34" s="340"/>
      <c r="E34" s="340"/>
    </row>
    <row r="35" spans="1:5">
      <c r="A35" s="266"/>
      <c r="B35" s="243"/>
      <c r="C35" s="243"/>
      <c r="D35" s="340"/>
      <c r="E35" s="340"/>
    </row>
    <row r="36" spans="1:5">
      <c r="A36" s="266"/>
      <c r="B36" s="243"/>
      <c r="C36" s="243"/>
      <c r="D36" s="339"/>
      <c r="E36" s="339"/>
    </row>
    <row r="37" spans="1:5">
      <c r="A37" s="266"/>
      <c r="B37" s="243"/>
      <c r="C37" s="243"/>
      <c r="D37" s="339"/>
      <c r="E37" s="339"/>
    </row>
    <row r="38" spans="1:5">
      <c r="A38" s="266"/>
      <c r="B38" s="243"/>
      <c r="C38" s="243"/>
      <c r="D38" s="339"/>
      <c r="E38" s="339"/>
    </row>
    <row r="39" spans="1:5">
      <c r="A39" s="266"/>
      <c r="B39" s="243"/>
      <c r="C39" s="243"/>
      <c r="D39" s="340"/>
      <c r="E39" s="340"/>
    </row>
    <row r="40" spans="1:5">
      <c r="A40" s="243"/>
      <c r="B40" s="243"/>
      <c r="C40" s="243"/>
      <c r="D40" s="243"/>
      <c r="E40" s="243"/>
    </row>
    <row r="41" spans="1:5">
      <c r="A41" s="18"/>
      <c r="B41" s="18"/>
      <c r="C41" s="18"/>
      <c r="D41" s="18"/>
      <c r="E41" s="18"/>
    </row>
  </sheetData>
  <pageMargins left="0.7" right="0.7" top="0.75" bottom="0.75" header="0.75" footer="0.3"/>
  <pageSetup scale="89" orientation="portrait" r:id="rId1"/>
  <headerFooter>
    <oddHeader>&amp;R&amp;"Times New Roman,Regular"&amp;12Exhibit KHB-2
Page 2.26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1"/>
  <sheetViews>
    <sheetView zoomScaleNormal="100" workbookViewId="0">
      <selection activeCell="B52" sqref="B52"/>
    </sheetView>
  </sheetViews>
  <sheetFormatPr defaultColWidth="9.140625" defaultRowHeight="15.75"/>
  <cols>
    <col min="1" max="1" width="7.42578125" style="2" customWidth="1"/>
    <col min="2" max="2" width="45.28515625" style="2" customWidth="1"/>
    <col min="3" max="3" width="18.42578125" style="2" customWidth="1"/>
    <col min="4" max="4" width="11.85546875" style="2" customWidth="1"/>
    <col min="5" max="5" width="14.7109375" style="2" customWidth="1"/>
    <col min="6" max="16384" width="9.140625" style="2"/>
  </cols>
  <sheetData>
    <row r="1" spans="1:5">
      <c r="A1" s="2" t="str">
        <f>CO</f>
        <v>Puget Sound Energy</v>
      </c>
    </row>
    <row r="2" spans="1:5">
      <c r="A2" s="2" t="str">
        <f>DOCKET</f>
        <v>Docket UE-090704/UG-090705</v>
      </c>
    </row>
    <row r="4" spans="1:5">
      <c r="A4" s="218" t="s">
        <v>201</v>
      </c>
      <c r="B4" s="219"/>
      <c r="C4" s="219"/>
      <c r="D4" s="219"/>
      <c r="E4" s="219"/>
    </row>
    <row r="5" spans="1:5">
      <c r="A5" s="219" t="s">
        <v>815</v>
      </c>
      <c r="B5" s="445"/>
      <c r="C5" s="445"/>
      <c r="D5" s="445"/>
      <c r="E5" s="445"/>
    </row>
    <row r="6" spans="1:5">
      <c r="A6" s="219" t="str">
        <f>TY</f>
        <v>FOR THE TWELVE MONTHS ENDED DECEMBER 31, 2008</v>
      </c>
      <c r="B6" s="446"/>
      <c r="C6" s="446"/>
      <c r="D6" s="446"/>
      <c r="E6" s="446"/>
    </row>
    <row r="7" spans="1:5">
      <c r="A7" s="218" t="s">
        <v>205</v>
      </c>
      <c r="B7" s="219"/>
      <c r="C7" s="219"/>
      <c r="D7" s="219"/>
      <c r="E7" s="219"/>
    </row>
    <row r="8" spans="1:5">
      <c r="A8" s="260"/>
      <c r="B8" s="260"/>
      <c r="C8" s="260"/>
      <c r="D8" s="260"/>
      <c r="E8" s="260"/>
    </row>
    <row r="9" spans="1:5">
      <c r="A9" s="225" t="s">
        <v>208</v>
      </c>
      <c r="B9" s="923"/>
      <c r="C9" s="923"/>
      <c r="D9" s="923"/>
      <c r="E9" s="923"/>
    </row>
    <row r="10" spans="1:5">
      <c r="A10" s="228" t="s">
        <v>215</v>
      </c>
      <c r="B10" s="924"/>
      <c r="C10" s="226" t="s">
        <v>218</v>
      </c>
      <c r="D10" s="226" t="s">
        <v>470</v>
      </c>
      <c r="E10" s="228" t="s">
        <v>217</v>
      </c>
    </row>
    <row r="11" spans="1:5">
      <c r="A11" s="231"/>
      <c r="B11" s="255"/>
      <c r="C11" s="241"/>
      <c r="D11" s="241"/>
      <c r="E11" s="241"/>
    </row>
    <row r="12" spans="1:5">
      <c r="A12" s="231">
        <v>1</v>
      </c>
      <c r="B12" s="925" t="s">
        <v>471</v>
      </c>
      <c r="C12" s="581">
        <v>7537999</v>
      </c>
      <c r="D12" s="581">
        <v>0</v>
      </c>
      <c r="E12" s="581">
        <f>D12-C12</f>
        <v>-7537999</v>
      </c>
    </row>
    <row r="13" spans="1:5">
      <c r="A13" s="231">
        <f t="shared" ref="A13:A20" si="0">A12+1</f>
        <v>2</v>
      </c>
      <c r="B13" s="236"/>
      <c r="C13" s="926"/>
      <c r="D13" s="241"/>
      <c r="E13" s="241"/>
    </row>
    <row r="14" spans="1:5">
      <c r="A14" s="231">
        <f t="shared" si="0"/>
        <v>3</v>
      </c>
      <c r="B14" s="490" t="s">
        <v>472</v>
      </c>
      <c r="C14" s="927">
        <f>SUM(C12:C13)</f>
        <v>7537999</v>
      </c>
      <c r="D14" s="927">
        <f>SUM(D12:D13)</f>
        <v>0</v>
      </c>
      <c r="E14" s="927">
        <f>SUM(E12:E13)</f>
        <v>-7537999</v>
      </c>
    </row>
    <row r="15" spans="1:5">
      <c r="A15" s="231">
        <f t="shared" si="0"/>
        <v>4</v>
      </c>
      <c r="B15" s="236"/>
      <c r="C15" s="928"/>
      <c r="D15" s="928"/>
      <c r="E15" s="928"/>
    </row>
    <row r="16" spans="1:5">
      <c r="A16" s="231">
        <f t="shared" si="0"/>
        <v>5</v>
      </c>
      <c r="B16" s="236" t="s">
        <v>473</v>
      </c>
      <c r="C16" s="928"/>
      <c r="D16" s="928"/>
      <c r="E16" s="669">
        <f>-E14</f>
        <v>7537999</v>
      </c>
    </row>
    <row r="17" spans="1:5">
      <c r="A17" s="231">
        <f t="shared" si="0"/>
        <v>6</v>
      </c>
      <c r="B17" s="236"/>
      <c r="C17" s="928"/>
      <c r="D17" s="689"/>
      <c r="E17" s="232"/>
    </row>
    <row r="18" spans="1:5">
      <c r="A18" s="231">
        <f t="shared" si="0"/>
        <v>7</v>
      </c>
      <c r="B18" s="236" t="s">
        <v>474</v>
      </c>
      <c r="C18" s="174">
        <v>0.35</v>
      </c>
      <c r="D18" s="232"/>
      <c r="E18" s="237">
        <f>E16*C18</f>
        <v>2638299.65</v>
      </c>
    </row>
    <row r="19" spans="1:5">
      <c r="A19" s="231">
        <f t="shared" si="0"/>
        <v>8</v>
      </c>
      <c r="B19" s="232"/>
      <c r="C19" s="232"/>
      <c r="D19" s="232"/>
      <c r="E19" s="232"/>
    </row>
    <row r="20" spans="1:5" ht="16.5" thickBot="1">
      <c r="A20" s="231">
        <f t="shared" si="0"/>
        <v>9</v>
      </c>
      <c r="B20" s="236" t="s">
        <v>240</v>
      </c>
      <c r="C20" s="249"/>
      <c r="D20" s="492"/>
      <c r="E20" s="355">
        <f>+E16-E18</f>
        <v>4899699.3499999996</v>
      </c>
    </row>
    <row r="21" spans="1:5" ht="16.5" thickTop="1">
      <c r="A21" s="231"/>
      <c r="B21" s="270"/>
      <c r="C21" s="27"/>
      <c r="D21" s="27"/>
      <c r="E21" s="232"/>
    </row>
    <row r="22" spans="1:5">
      <c r="A22" s="266"/>
      <c r="B22" s="243"/>
      <c r="C22" s="243"/>
      <c r="D22" s="356"/>
      <c r="E22" s="340"/>
    </row>
    <row r="23" spans="1:5">
      <c r="A23" s="266"/>
      <c r="B23" s="243"/>
      <c r="C23" s="243"/>
      <c r="D23" s="356"/>
      <c r="E23" s="340"/>
    </row>
    <row r="24" spans="1:5">
      <c r="A24" s="266"/>
      <c r="B24" s="243"/>
      <c r="C24" s="243"/>
      <c r="D24" s="356"/>
      <c r="E24" s="340"/>
    </row>
    <row r="25" spans="1:5">
      <c r="A25" s="266"/>
      <c r="B25" s="243"/>
      <c r="C25" s="243"/>
      <c r="D25" s="340"/>
      <c r="E25" s="340"/>
    </row>
    <row r="26" spans="1:5">
      <c r="A26" s="266"/>
      <c r="B26" s="243"/>
      <c r="C26" s="243"/>
      <c r="D26" s="340"/>
      <c r="E26" s="340"/>
    </row>
    <row r="27" spans="1:5">
      <c r="A27" s="266"/>
      <c r="B27" s="357"/>
      <c r="C27" s="243"/>
      <c r="D27" s="340"/>
      <c r="E27" s="340"/>
    </row>
    <row r="28" spans="1:5">
      <c r="A28" s="266"/>
      <c r="B28" s="358"/>
      <c r="C28" s="243"/>
      <c r="D28" s="340"/>
      <c r="E28" s="340"/>
    </row>
    <row r="29" spans="1:5">
      <c r="A29" s="266"/>
      <c r="B29" s="358"/>
      <c r="C29" s="243"/>
      <c r="D29" s="340"/>
      <c r="E29" s="340"/>
    </row>
    <row r="30" spans="1:5">
      <c r="A30" s="266"/>
      <c r="B30" s="358"/>
      <c r="C30" s="243"/>
      <c r="D30" s="340"/>
      <c r="E30" s="340"/>
    </row>
    <row r="31" spans="1:5">
      <c r="A31" s="266"/>
      <c r="B31" s="359"/>
      <c r="C31" s="243"/>
      <c r="D31" s="340"/>
      <c r="E31" s="340"/>
    </row>
    <row r="32" spans="1:5">
      <c r="A32" s="266"/>
      <c r="B32" s="360"/>
      <c r="C32" s="243"/>
      <c r="D32" s="340"/>
      <c r="E32" s="340"/>
    </row>
    <row r="33" spans="1:5">
      <c r="A33" s="266"/>
      <c r="B33" s="360"/>
      <c r="C33" s="243"/>
      <c r="D33" s="340"/>
      <c r="E33" s="340"/>
    </row>
    <row r="34" spans="1:5">
      <c r="A34" s="266"/>
      <c r="B34" s="360"/>
      <c r="C34" s="243"/>
      <c r="D34" s="340"/>
      <c r="E34" s="340"/>
    </row>
    <row r="35" spans="1:5">
      <c r="A35" s="266"/>
      <c r="B35" s="243"/>
      <c r="C35" s="243"/>
      <c r="D35" s="340"/>
      <c r="E35" s="340"/>
    </row>
    <row r="36" spans="1:5">
      <c r="A36" s="266"/>
      <c r="B36" s="243"/>
      <c r="C36" s="243"/>
      <c r="D36" s="339"/>
      <c r="E36" s="339"/>
    </row>
    <row r="37" spans="1:5">
      <c r="A37" s="266"/>
      <c r="B37" s="243"/>
      <c r="C37" s="243"/>
      <c r="D37" s="339"/>
      <c r="E37" s="339"/>
    </row>
    <row r="38" spans="1:5">
      <c r="A38" s="266"/>
      <c r="B38" s="243"/>
      <c r="C38" s="243"/>
      <c r="D38" s="339"/>
      <c r="E38" s="339"/>
    </row>
    <row r="39" spans="1:5">
      <c r="A39" s="266"/>
      <c r="B39" s="243"/>
      <c r="C39" s="243"/>
      <c r="D39" s="340"/>
      <c r="E39" s="340"/>
    </row>
    <row r="40" spans="1:5">
      <c r="A40" s="243"/>
      <c r="B40" s="243"/>
      <c r="C40" s="243"/>
      <c r="D40" s="243"/>
      <c r="E40" s="243"/>
    </row>
    <row r="41" spans="1:5">
      <c r="A41" s="18"/>
      <c r="B41" s="18"/>
      <c r="C41" s="18"/>
      <c r="D41" s="18"/>
      <c r="E41" s="18"/>
    </row>
  </sheetData>
  <pageMargins left="0.7" right="0.7" top="0.75" bottom="0.75" header="0.75" footer="0.3"/>
  <pageSetup scale="84" orientation="portrait" r:id="rId1"/>
  <headerFooter>
    <oddHeader>&amp;R&amp;"Times New Roman,Regular"&amp;12Exhibit KHB-2
Page 2.27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1"/>
  <sheetViews>
    <sheetView topLeftCell="A5" zoomScaleNormal="100" workbookViewId="0">
      <selection activeCell="B5" sqref="B5:C5"/>
    </sheetView>
  </sheetViews>
  <sheetFormatPr defaultColWidth="9.140625" defaultRowHeight="15.75"/>
  <cols>
    <col min="1" max="1" width="7.42578125" style="2" customWidth="1"/>
    <col min="2" max="2" width="73.140625" style="2" customWidth="1"/>
    <col min="3" max="3" width="18.42578125" style="2" customWidth="1"/>
    <col min="4" max="4" width="15.5703125" style="2" customWidth="1"/>
    <col min="5" max="16384" width="9.140625" style="2"/>
  </cols>
  <sheetData>
    <row r="1" spans="1:4">
      <c r="A1" s="2" t="str">
        <f>CO</f>
        <v>Puget Sound Energy</v>
      </c>
    </row>
    <row r="2" spans="1:4">
      <c r="A2" s="2" t="str">
        <f>DOCKET</f>
        <v>Docket UE-090704/UG-090705</v>
      </c>
    </row>
    <row r="4" spans="1:4">
      <c r="A4" s="218" t="s">
        <v>201</v>
      </c>
      <c r="B4" s="219"/>
      <c r="C4" s="219"/>
      <c r="D4" s="219"/>
    </row>
    <row r="5" spans="1:4">
      <c r="A5" s="218" t="s">
        <v>814</v>
      </c>
      <c r="B5" s="219"/>
      <c r="C5" s="219"/>
      <c r="D5" s="445"/>
    </row>
    <row r="6" spans="1:4">
      <c r="A6" s="219" t="str">
        <f>TY</f>
        <v>FOR THE TWELVE MONTHS ENDED DECEMBER 31, 2008</v>
      </c>
      <c r="B6" s="218"/>
      <c r="C6" s="219"/>
      <c r="D6" s="446"/>
    </row>
    <row r="7" spans="1:4">
      <c r="A7" s="218" t="s">
        <v>205</v>
      </c>
      <c r="B7" s="218"/>
      <c r="C7" s="219"/>
      <c r="D7" s="219"/>
    </row>
    <row r="8" spans="1:4">
      <c r="A8" s="220"/>
      <c r="B8" s="220"/>
      <c r="C8" s="220"/>
      <c r="D8" s="220"/>
    </row>
    <row r="9" spans="1:4">
      <c r="A9" s="225" t="s">
        <v>208</v>
      </c>
      <c r="B9" s="220"/>
      <c r="C9" s="220"/>
      <c r="D9" s="220"/>
    </row>
    <row r="10" spans="1:4">
      <c r="A10" s="226" t="s">
        <v>215</v>
      </c>
      <c r="B10" s="901" t="s">
        <v>216</v>
      </c>
      <c r="C10" s="348"/>
      <c r="D10" s="226" t="s">
        <v>219</v>
      </c>
    </row>
    <row r="11" spans="1:4">
      <c r="A11" s="232"/>
      <c r="B11" s="232"/>
      <c r="C11" s="232"/>
      <c r="D11" s="232"/>
    </row>
    <row r="12" spans="1:4">
      <c r="A12" s="231">
        <v>1</v>
      </c>
      <c r="B12" s="907" t="s">
        <v>475</v>
      </c>
      <c r="C12" s="908"/>
      <c r="D12" s="909"/>
    </row>
    <row r="13" spans="1:4">
      <c r="A13" s="231">
        <f t="shared" ref="A13:A31" si="0">+A12+1</f>
        <v>2</v>
      </c>
      <c r="B13" s="236"/>
      <c r="C13" s="908"/>
      <c r="D13" s="909"/>
    </row>
    <row r="14" spans="1:4" ht="16.5" thickBot="1">
      <c r="A14" s="231">
        <f t="shared" si="0"/>
        <v>3</v>
      </c>
      <c r="B14" s="236" t="s">
        <v>476</v>
      </c>
      <c r="C14" s="910">
        <v>1139000</v>
      </c>
      <c r="D14" s="911"/>
    </row>
    <row r="15" spans="1:4" ht="16.5" thickTop="1">
      <c r="A15" s="231">
        <f t="shared" si="0"/>
        <v>4</v>
      </c>
      <c r="B15" s="236"/>
      <c r="C15" s="908"/>
      <c r="D15" s="909"/>
    </row>
    <row r="16" spans="1:4">
      <c r="A16" s="231">
        <f t="shared" si="0"/>
        <v>5</v>
      </c>
      <c r="B16" s="912" t="s">
        <v>477</v>
      </c>
      <c r="C16" s="913">
        <f>C14/2</f>
        <v>569500</v>
      </c>
      <c r="D16" s="914"/>
    </row>
    <row r="17" spans="1:4">
      <c r="A17" s="231">
        <f t="shared" si="0"/>
        <v>6</v>
      </c>
      <c r="B17" s="513" t="s">
        <v>478</v>
      </c>
      <c r="C17" s="915">
        <v>1317497</v>
      </c>
      <c r="D17" s="914"/>
    </row>
    <row r="18" spans="1:4" ht="16.5" thickBot="1">
      <c r="A18" s="231">
        <f t="shared" si="0"/>
        <v>7</v>
      </c>
      <c r="B18" s="236" t="s">
        <v>249</v>
      </c>
      <c r="C18" s="910">
        <f>+C16-C17</f>
        <v>-747997</v>
      </c>
      <c r="D18" s="339">
        <f>+C18</f>
        <v>-747997</v>
      </c>
    </row>
    <row r="19" spans="1:4" ht="16.5" thickTop="1">
      <c r="A19" s="231">
        <f t="shared" si="0"/>
        <v>8</v>
      </c>
      <c r="B19" s="236"/>
      <c r="C19" s="243"/>
      <c r="D19" s="916"/>
    </row>
    <row r="20" spans="1:4" ht="16.5" thickBot="1">
      <c r="A20" s="231">
        <f t="shared" si="0"/>
        <v>9</v>
      </c>
      <c r="B20" s="236" t="s">
        <v>479</v>
      </c>
      <c r="C20" s="910">
        <v>329000</v>
      </c>
      <c r="D20" s="232"/>
    </row>
    <row r="21" spans="1:4" ht="16.5" thickTop="1">
      <c r="A21" s="231">
        <f t="shared" si="0"/>
        <v>10</v>
      </c>
      <c r="B21" s="236"/>
      <c r="C21" s="684"/>
      <c r="D21" s="232"/>
    </row>
    <row r="22" spans="1:4">
      <c r="A22" s="231">
        <f t="shared" si="0"/>
        <v>11</v>
      </c>
      <c r="B22" s="912" t="s">
        <v>480</v>
      </c>
      <c r="C22" s="913">
        <f>C20/2</f>
        <v>164500</v>
      </c>
      <c r="D22" s="232"/>
    </row>
    <row r="23" spans="1:4">
      <c r="A23" s="231">
        <f t="shared" si="0"/>
        <v>12</v>
      </c>
      <c r="B23" s="513" t="s">
        <v>481</v>
      </c>
      <c r="C23" s="915">
        <v>1674</v>
      </c>
      <c r="D23" s="232"/>
    </row>
    <row r="24" spans="1:4" ht="16.5" thickBot="1">
      <c r="A24" s="231">
        <f t="shared" si="0"/>
        <v>13</v>
      </c>
      <c r="B24" s="236" t="s">
        <v>249</v>
      </c>
      <c r="C24" s="910">
        <f>+C22-C23</f>
        <v>162826</v>
      </c>
      <c r="D24" s="339">
        <f>+C24</f>
        <v>162826</v>
      </c>
    </row>
    <row r="25" spans="1:4" ht="16.5" thickTop="1">
      <c r="A25" s="231">
        <f t="shared" si="0"/>
        <v>14</v>
      </c>
      <c r="B25" s="232"/>
      <c r="C25" s="232"/>
      <c r="D25" s="238"/>
    </row>
    <row r="26" spans="1:4">
      <c r="A26" s="231">
        <f t="shared" si="0"/>
        <v>15</v>
      </c>
      <c r="B26" s="236"/>
      <c r="C26" s="237"/>
      <c r="D26" s="749"/>
    </row>
    <row r="27" spans="1:4">
      <c r="A27" s="231">
        <f t="shared" si="0"/>
        <v>16</v>
      </c>
      <c r="B27" s="236" t="s">
        <v>415</v>
      </c>
      <c r="C27" s="237"/>
      <c r="D27" s="917">
        <f>+D18+D24</f>
        <v>-585171</v>
      </c>
    </row>
    <row r="28" spans="1:4">
      <c r="A28" s="231">
        <f t="shared" si="0"/>
        <v>17</v>
      </c>
      <c r="B28" s="918"/>
      <c r="C28" s="237"/>
      <c r="D28" s="919"/>
    </row>
    <row r="29" spans="1:4">
      <c r="A29" s="231">
        <f t="shared" si="0"/>
        <v>18</v>
      </c>
      <c r="B29" s="918" t="s">
        <v>248</v>
      </c>
      <c r="C29" s="920">
        <v>0.35</v>
      </c>
      <c r="D29" s="921">
        <f>-D27*C29</f>
        <v>204809.84999999998</v>
      </c>
    </row>
    <row r="30" spans="1:4" ht="16.5" thickBot="1">
      <c r="A30" s="231">
        <f t="shared" si="0"/>
        <v>19</v>
      </c>
      <c r="B30" s="918" t="s">
        <v>258</v>
      </c>
      <c r="C30" s="237"/>
      <c r="D30" s="922">
        <f>-D27-D29</f>
        <v>380361.15</v>
      </c>
    </row>
    <row r="31" spans="1:4" ht="16.5" thickTop="1">
      <c r="A31" s="231">
        <f t="shared" si="0"/>
        <v>20</v>
      </c>
      <c r="B31" s="232"/>
      <c r="C31" s="232"/>
      <c r="D31" s="232"/>
    </row>
    <row r="32" spans="1:4">
      <c r="A32" s="266"/>
      <c r="B32" s="360"/>
      <c r="C32" s="243"/>
      <c r="D32" s="340"/>
    </row>
    <row r="33" spans="1:4">
      <c r="A33" s="266"/>
      <c r="B33" s="360"/>
      <c r="C33" s="243"/>
      <c r="D33" s="340"/>
    </row>
    <row r="34" spans="1:4">
      <c r="A34" s="266"/>
      <c r="B34" s="360"/>
      <c r="C34" s="243"/>
      <c r="D34" s="340"/>
    </row>
    <row r="35" spans="1:4">
      <c r="A35" s="266"/>
      <c r="B35" s="243"/>
      <c r="C35" s="243"/>
      <c r="D35" s="340"/>
    </row>
    <row r="36" spans="1:4">
      <c r="A36" s="266"/>
      <c r="B36" s="243"/>
      <c r="C36" s="243"/>
      <c r="D36" s="339"/>
    </row>
    <row r="37" spans="1:4">
      <c r="A37" s="266"/>
      <c r="B37" s="243"/>
      <c r="C37" s="243"/>
      <c r="D37" s="339"/>
    </row>
    <row r="38" spans="1:4">
      <c r="A38" s="266"/>
      <c r="B38" s="243"/>
      <c r="C38" s="243"/>
      <c r="D38" s="339"/>
    </row>
    <row r="39" spans="1:4">
      <c r="A39" s="266"/>
      <c r="B39" s="243"/>
      <c r="C39" s="243"/>
      <c r="D39" s="340"/>
    </row>
    <row r="40" spans="1:4">
      <c r="A40" s="243"/>
      <c r="B40" s="243"/>
      <c r="C40" s="243"/>
      <c r="D40" s="243"/>
    </row>
    <row r="41" spans="1:4">
      <c r="A41" s="18"/>
      <c r="B41" s="18"/>
      <c r="C41" s="18"/>
      <c r="D41" s="18"/>
    </row>
  </sheetData>
  <pageMargins left="0.7" right="0.7" top="0.75" bottom="0.75" header="0.75" footer="0.3"/>
  <pageSetup scale="78" orientation="portrait" r:id="rId1"/>
  <headerFooter>
    <oddHeader>&amp;R&amp;"Times New Roman,Regular"&amp;12Exhibit KHB-2
Page 2.28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1"/>
  <sheetViews>
    <sheetView zoomScaleNormal="100" workbookViewId="0">
      <selection activeCell="B52" sqref="B52"/>
    </sheetView>
  </sheetViews>
  <sheetFormatPr defaultColWidth="9.140625" defaultRowHeight="15.75"/>
  <cols>
    <col min="1" max="1" width="7.42578125" style="2" customWidth="1"/>
    <col min="2" max="2" width="82.85546875" style="2" customWidth="1"/>
    <col min="3" max="3" width="21.28515625" style="2" customWidth="1"/>
    <col min="4" max="4" width="4.140625" style="2" customWidth="1"/>
    <col min="5" max="16384" width="9.140625" style="2"/>
  </cols>
  <sheetData>
    <row r="1" spans="1:4">
      <c r="A1" s="2" t="str">
        <f>CO</f>
        <v>Puget Sound Energy</v>
      </c>
    </row>
    <row r="2" spans="1:4">
      <c r="A2" s="2" t="str">
        <f>DOCKET</f>
        <v>Docket UE-090704/UG-090705</v>
      </c>
    </row>
    <row r="4" spans="1:4">
      <c r="A4" s="218" t="s">
        <v>201</v>
      </c>
      <c r="B4" s="219"/>
      <c r="C4" s="219"/>
      <c r="D4" s="288"/>
    </row>
    <row r="5" spans="1:4">
      <c r="A5" s="218" t="s">
        <v>811</v>
      </c>
      <c r="B5" s="219"/>
      <c r="C5" s="219"/>
      <c r="D5" s="288"/>
    </row>
    <row r="6" spans="1:4">
      <c r="A6" s="219" t="str">
        <f>TY</f>
        <v>FOR THE TWELVE MONTHS ENDED DECEMBER 31, 2008</v>
      </c>
      <c r="B6" s="219"/>
      <c r="C6" s="219"/>
      <c r="D6" s="345"/>
    </row>
    <row r="7" spans="1:4">
      <c r="A7" s="218" t="s">
        <v>205</v>
      </c>
      <c r="B7" s="219"/>
      <c r="C7" s="219"/>
      <c r="D7" s="346"/>
    </row>
    <row r="8" spans="1:4">
      <c r="A8" s="220"/>
      <c r="B8" s="220"/>
      <c r="C8" s="220"/>
      <c r="D8" s="346"/>
    </row>
    <row r="9" spans="1:4">
      <c r="A9" s="225" t="s">
        <v>208</v>
      </c>
      <c r="B9" s="223"/>
      <c r="C9" s="220"/>
      <c r="D9" s="347"/>
    </row>
    <row r="10" spans="1:4">
      <c r="A10" s="228" t="s">
        <v>215</v>
      </c>
      <c r="B10" s="227" t="s">
        <v>216</v>
      </c>
      <c r="C10" s="226" t="s">
        <v>219</v>
      </c>
      <c r="D10" s="349"/>
    </row>
    <row r="11" spans="1:4">
      <c r="A11" s="232"/>
      <c r="B11" s="232"/>
      <c r="C11" s="232"/>
      <c r="D11" s="346"/>
    </row>
    <row r="12" spans="1:4">
      <c r="A12" s="471" t="s">
        <v>482</v>
      </c>
      <c r="B12" s="740" t="s">
        <v>812</v>
      </c>
      <c r="C12" s="271">
        <v>-4860164.8600000003</v>
      </c>
      <c r="D12" s="351"/>
    </row>
    <row r="13" spans="1:4">
      <c r="A13" s="471">
        <f t="shared" ref="A13:A24" si="0">1+A12</f>
        <v>2</v>
      </c>
      <c r="B13" s="740" t="s">
        <v>813</v>
      </c>
      <c r="C13" s="268">
        <v>358472.85</v>
      </c>
      <c r="D13" s="340"/>
    </row>
    <row r="14" spans="1:4">
      <c r="A14" s="471">
        <f t="shared" si="0"/>
        <v>3</v>
      </c>
      <c r="B14" s="232" t="s">
        <v>483</v>
      </c>
      <c r="C14" s="904">
        <f>SUM(C12:C13)</f>
        <v>-4501692.0100000007</v>
      </c>
      <c r="D14" s="340"/>
    </row>
    <row r="15" spans="1:4">
      <c r="A15" s="471">
        <f t="shared" si="0"/>
        <v>4</v>
      </c>
      <c r="B15" s="232"/>
      <c r="C15" s="232"/>
      <c r="D15" s="340"/>
    </row>
    <row r="16" spans="1:4">
      <c r="A16" s="471">
        <f t="shared" si="0"/>
        <v>5</v>
      </c>
      <c r="B16" s="232" t="s">
        <v>484</v>
      </c>
      <c r="C16" s="237">
        <f>+C14/3</f>
        <v>-1500564.0033333336</v>
      </c>
      <c r="D16" s="340"/>
    </row>
    <row r="17" spans="1:4">
      <c r="A17" s="471">
        <f t="shared" si="0"/>
        <v>6</v>
      </c>
      <c r="B17" s="232"/>
      <c r="C17" s="232"/>
      <c r="D17" s="340"/>
    </row>
    <row r="18" spans="1:4">
      <c r="A18" s="471">
        <f t="shared" si="0"/>
        <v>7</v>
      </c>
      <c r="B18" s="232" t="s">
        <v>485</v>
      </c>
      <c r="C18" s="237">
        <v>-2266695.77</v>
      </c>
      <c r="D18" s="340"/>
    </row>
    <row r="19" spans="1:4">
      <c r="A19" s="471">
        <f t="shared" si="0"/>
        <v>8</v>
      </c>
      <c r="B19" s="232"/>
      <c r="C19" s="905"/>
      <c r="D19" s="340"/>
    </row>
    <row r="20" spans="1:4">
      <c r="A20" s="471">
        <f t="shared" si="0"/>
        <v>9</v>
      </c>
      <c r="B20" s="874" t="s">
        <v>486</v>
      </c>
      <c r="C20" s="271">
        <f>C16-C18</f>
        <v>766131.76666666637</v>
      </c>
      <c r="D20" s="340"/>
    </row>
    <row r="21" spans="1:4">
      <c r="A21" s="471">
        <f t="shared" si="0"/>
        <v>10</v>
      </c>
      <c r="B21" s="232"/>
      <c r="C21" s="492"/>
      <c r="D21" s="340"/>
    </row>
    <row r="22" spans="1:4">
      <c r="A22" s="471">
        <f t="shared" si="0"/>
        <v>11</v>
      </c>
      <c r="B22" s="232" t="s">
        <v>487</v>
      </c>
      <c r="C22" s="268">
        <f>-C20*FIT</f>
        <v>-268146.11833333323</v>
      </c>
      <c r="D22" s="340"/>
    </row>
    <row r="23" spans="1:4">
      <c r="A23" s="471">
        <f t="shared" si="0"/>
        <v>12</v>
      </c>
      <c r="B23" s="232"/>
      <c r="C23" s="238"/>
      <c r="D23" s="340"/>
    </row>
    <row r="24" spans="1:4" ht="16.5" thickBot="1">
      <c r="A24" s="471">
        <f t="shared" si="0"/>
        <v>13</v>
      </c>
      <c r="B24" s="232" t="s">
        <v>240</v>
      </c>
      <c r="C24" s="906">
        <f>-C20-C22</f>
        <v>-497985.64833333314</v>
      </c>
      <c r="D24" s="340"/>
    </row>
    <row r="25" spans="1:4" ht="16.5" thickTop="1">
      <c r="A25" s="266"/>
      <c r="B25" s="243"/>
      <c r="C25" s="243"/>
      <c r="D25" s="340"/>
    </row>
    <row r="26" spans="1:4">
      <c r="A26" s="266"/>
      <c r="B26" s="243"/>
      <c r="C26" s="243"/>
      <c r="D26" s="340"/>
    </row>
    <row r="27" spans="1:4">
      <c r="A27" s="266"/>
      <c r="B27" s="357"/>
      <c r="C27" s="243"/>
      <c r="D27" s="340"/>
    </row>
    <row r="28" spans="1:4">
      <c r="A28" s="266"/>
      <c r="B28" s="358"/>
      <c r="C28" s="243"/>
      <c r="D28" s="340"/>
    </row>
    <row r="29" spans="1:4">
      <c r="A29" s="266"/>
      <c r="B29" s="358"/>
      <c r="C29" s="243"/>
      <c r="D29" s="340"/>
    </row>
    <row r="30" spans="1:4">
      <c r="A30" s="266"/>
      <c r="B30" s="358"/>
      <c r="C30" s="243"/>
      <c r="D30" s="340"/>
    </row>
    <row r="31" spans="1:4">
      <c r="A31" s="266"/>
      <c r="B31" s="359"/>
      <c r="C31" s="243"/>
      <c r="D31" s="340"/>
    </row>
    <row r="32" spans="1:4">
      <c r="A32" s="266"/>
      <c r="B32" s="360"/>
      <c r="C32" s="243"/>
      <c r="D32" s="340"/>
    </row>
    <row r="33" spans="1:4">
      <c r="A33" s="266"/>
      <c r="B33" s="360"/>
      <c r="C33" s="243"/>
      <c r="D33" s="340"/>
    </row>
    <row r="34" spans="1:4">
      <c r="A34" s="266"/>
      <c r="B34" s="360"/>
      <c r="C34" s="243"/>
      <c r="D34" s="340"/>
    </row>
    <row r="35" spans="1:4">
      <c r="A35" s="266"/>
      <c r="B35" s="243"/>
      <c r="C35" s="243"/>
      <c r="D35" s="340"/>
    </row>
    <row r="36" spans="1:4">
      <c r="A36" s="266"/>
      <c r="B36" s="243"/>
      <c r="C36" s="243"/>
      <c r="D36" s="339"/>
    </row>
    <row r="37" spans="1:4">
      <c r="A37" s="266"/>
      <c r="B37" s="243"/>
      <c r="C37" s="243"/>
      <c r="D37" s="339"/>
    </row>
    <row r="38" spans="1:4">
      <c r="A38" s="266"/>
      <c r="B38" s="243"/>
      <c r="C38" s="243"/>
      <c r="D38" s="339"/>
    </row>
    <row r="39" spans="1:4">
      <c r="A39" s="266"/>
      <c r="B39" s="243"/>
      <c r="C39" s="243"/>
      <c r="D39" s="340"/>
    </row>
    <row r="40" spans="1:4">
      <c r="A40" s="243"/>
      <c r="B40" s="243"/>
      <c r="C40" s="243"/>
      <c r="D40" s="243"/>
    </row>
    <row r="41" spans="1:4">
      <c r="A41" s="18"/>
      <c r="B41" s="18"/>
      <c r="C41" s="18"/>
      <c r="D41" s="18"/>
    </row>
  </sheetData>
  <pageMargins left="0.7" right="0.7" top="0.75" bottom="0.75" header="0.75" footer="0.3"/>
  <pageSetup scale="78" orientation="portrait" r:id="rId1"/>
  <headerFooter>
    <oddHeader>&amp;R&amp;"Times New Roman,Regular"&amp;12Exhibit KHB-2
Page 2.29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2:I52"/>
  <sheetViews>
    <sheetView zoomScaleNormal="100" workbookViewId="0">
      <selection activeCell="B52" sqref="B52"/>
    </sheetView>
  </sheetViews>
  <sheetFormatPr defaultColWidth="6" defaultRowHeight="15.75"/>
  <cols>
    <col min="1" max="1" width="6" style="18"/>
    <col min="2" max="2" width="33.7109375" style="18" customWidth="1"/>
    <col min="3" max="9" width="20.7109375" style="18" customWidth="1"/>
    <col min="10" max="16384" width="6" style="18"/>
  </cols>
  <sheetData>
    <row r="2" spans="1:9">
      <c r="A2" s="770" t="s">
        <v>53</v>
      </c>
      <c r="B2" s="770"/>
      <c r="C2" s="770"/>
      <c r="D2" s="770"/>
      <c r="E2" s="770"/>
      <c r="F2" s="770"/>
      <c r="G2" s="770"/>
      <c r="H2" s="771"/>
      <c r="I2" s="771"/>
    </row>
    <row r="3" spans="1:9">
      <c r="A3" s="770" t="s">
        <v>55</v>
      </c>
      <c r="B3" s="770"/>
      <c r="C3" s="770"/>
      <c r="D3" s="770"/>
      <c r="E3" s="770"/>
      <c r="F3" s="770"/>
      <c r="G3" s="770"/>
      <c r="H3" s="771"/>
      <c r="I3" s="771"/>
    </row>
    <row r="4" spans="1:9">
      <c r="A4" s="770" t="s">
        <v>54</v>
      </c>
      <c r="B4" s="770"/>
      <c r="C4" s="770"/>
      <c r="D4" s="770"/>
      <c r="E4" s="770"/>
      <c r="F4" s="770"/>
      <c r="G4" s="770"/>
      <c r="H4" s="771"/>
      <c r="I4" s="771"/>
    </row>
    <row r="5" spans="1:9">
      <c r="A5" s="770" t="s">
        <v>76</v>
      </c>
      <c r="B5" s="770"/>
      <c r="C5" s="770"/>
      <c r="D5" s="770"/>
      <c r="E5" s="770"/>
      <c r="F5" s="770"/>
      <c r="G5" s="770"/>
      <c r="H5" s="771"/>
      <c r="I5" s="771"/>
    </row>
    <row r="6" spans="1:9">
      <c r="A6" s="11"/>
      <c r="B6" s="11"/>
      <c r="C6" s="11" t="s">
        <v>89</v>
      </c>
      <c r="D6" s="11" t="s">
        <v>92</v>
      </c>
      <c r="E6" s="11"/>
      <c r="F6" s="11"/>
      <c r="G6" s="11" t="s">
        <v>99</v>
      </c>
      <c r="H6" s="11" t="s">
        <v>102</v>
      </c>
      <c r="I6" s="11" t="s">
        <v>106</v>
      </c>
    </row>
    <row r="7" spans="1:9">
      <c r="A7" s="12" t="s">
        <v>37</v>
      </c>
      <c r="B7" s="12"/>
      <c r="C7" s="12" t="s">
        <v>90</v>
      </c>
      <c r="D7" s="12" t="s">
        <v>93</v>
      </c>
      <c r="E7" s="12" t="s">
        <v>95</v>
      </c>
      <c r="F7" s="12" t="s">
        <v>98</v>
      </c>
      <c r="G7" s="12" t="s">
        <v>100</v>
      </c>
      <c r="H7" s="12" t="s">
        <v>103</v>
      </c>
      <c r="I7" s="12" t="s">
        <v>107</v>
      </c>
    </row>
    <row r="8" spans="1:9">
      <c r="A8" s="13" t="s">
        <v>38</v>
      </c>
      <c r="B8" s="12" t="s">
        <v>39</v>
      </c>
      <c r="C8" s="12" t="s">
        <v>91</v>
      </c>
      <c r="D8" s="12" t="s">
        <v>94</v>
      </c>
      <c r="E8" s="12" t="s">
        <v>96</v>
      </c>
      <c r="F8" s="12" t="s">
        <v>97</v>
      </c>
      <c r="G8" s="12" t="s">
        <v>101</v>
      </c>
      <c r="H8" s="12" t="s">
        <v>104</v>
      </c>
      <c r="I8" s="12" t="s">
        <v>105</v>
      </c>
    </row>
    <row r="9" spans="1:9">
      <c r="A9" s="14"/>
      <c r="B9" s="15"/>
      <c r="C9" s="14" t="s">
        <v>82</v>
      </c>
      <c r="D9" s="14" t="s">
        <v>83</v>
      </c>
      <c r="E9" s="14" t="s">
        <v>84</v>
      </c>
      <c r="F9" s="14" t="s">
        <v>85</v>
      </c>
      <c r="G9" s="14" t="s">
        <v>86</v>
      </c>
      <c r="H9" s="14" t="s">
        <v>87</v>
      </c>
      <c r="I9" s="17" t="s">
        <v>88</v>
      </c>
    </row>
    <row r="10" spans="1:9">
      <c r="A10" s="20">
        <v>1</v>
      </c>
      <c r="B10" s="22" t="s">
        <v>0</v>
      </c>
      <c r="C10" s="23"/>
      <c r="D10" s="23"/>
      <c r="E10" s="23"/>
      <c r="F10" s="23"/>
      <c r="G10" s="23"/>
    </row>
    <row r="11" spans="1:9">
      <c r="A11" s="20">
        <f>1+A10</f>
        <v>2</v>
      </c>
      <c r="B11" s="22" t="s">
        <v>1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  <c r="H11" s="30">
        <f>-'Adj 10.12 P2.19'!E19+'Adj 10.12 P2.19'!E18</f>
        <v>-95820124.170000032</v>
      </c>
      <c r="I11" s="30">
        <v>0</v>
      </c>
    </row>
    <row r="12" spans="1:9">
      <c r="A12" s="20">
        <f t="shared" ref="A12:A51" si="0">1+A11</f>
        <v>3</v>
      </c>
      <c r="B12" s="24" t="s">
        <v>2</v>
      </c>
      <c r="C12" s="23"/>
      <c r="D12" s="23"/>
      <c r="E12" s="23"/>
      <c r="F12" s="23"/>
      <c r="G12" s="23"/>
      <c r="I12" s="23"/>
    </row>
    <row r="13" spans="1:9">
      <c r="A13" s="20">
        <f t="shared" si="0"/>
        <v>4</v>
      </c>
      <c r="B13" s="24" t="s">
        <v>3</v>
      </c>
      <c r="C13" s="23"/>
      <c r="D13" s="23"/>
      <c r="E13" s="23"/>
      <c r="F13" s="23"/>
      <c r="G13" s="23"/>
      <c r="I13" s="23"/>
    </row>
    <row r="14" spans="1:9">
      <c r="A14" s="20">
        <f t="shared" si="0"/>
        <v>5</v>
      </c>
      <c r="B14" s="24" t="s">
        <v>4</v>
      </c>
      <c r="C14" s="23"/>
      <c r="D14" s="23"/>
      <c r="E14" s="23"/>
      <c r="F14" s="23"/>
      <c r="G14" s="23"/>
      <c r="H14" s="23">
        <f>-'Adj 10.12 P2.19'!E18</f>
        <v>188208.99</v>
      </c>
      <c r="I14" s="23"/>
    </row>
    <row r="15" spans="1:9">
      <c r="A15" s="20">
        <f t="shared" si="0"/>
        <v>6</v>
      </c>
      <c r="B15" s="8" t="s">
        <v>5</v>
      </c>
      <c r="C15" s="32">
        <f>SUM(C11:C14)</f>
        <v>0</v>
      </c>
      <c r="D15" s="32">
        <f>SUM(D11:D14)</f>
        <v>0</v>
      </c>
      <c r="E15" s="32">
        <f>SUM(E11:E14)</f>
        <v>0</v>
      </c>
      <c r="F15" s="32">
        <f>SUM(F11:F14)</f>
        <v>0</v>
      </c>
      <c r="G15" s="32">
        <f t="shared" ref="G15:I15" si="1">SUM(G11:G14)</f>
        <v>0</v>
      </c>
      <c r="H15" s="32">
        <f t="shared" si="1"/>
        <v>-95631915.180000037</v>
      </c>
      <c r="I15" s="32">
        <f t="shared" si="1"/>
        <v>0</v>
      </c>
    </row>
    <row r="16" spans="1:9">
      <c r="A16" s="20">
        <f t="shared" si="0"/>
        <v>7</v>
      </c>
      <c r="B16" s="24"/>
      <c r="C16" s="23"/>
      <c r="D16" s="23" t="s">
        <v>60</v>
      </c>
      <c r="E16" s="23" t="s">
        <v>60</v>
      </c>
      <c r="F16" s="23" t="s">
        <v>60</v>
      </c>
      <c r="G16" s="23"/>
      <c r="I16" s="23"/>
    </row>
    <row r="17" spans="1:9">
      <c r="A17" s="20">
        <f t="shared" si="0"/>
        <v>8</v>
      </c>
      <c r="B17" s="22" t="s">
        <v>6</v>
      </c>
      <c r="C17" s="23"/>
      <c r="D17" s="23"/>
      <c r="E17" s="23"/>
      <c r="F17" s="23"/>
      <c r="G17" s="23"/>
      <c r="I17" s="23"/>
    </row>
    <row r="18" spans="1:9">
      <c r="A18" s="20">
        <f t="shared" si="0"/>
        <v>9</v>
      </c>
      <c r="B18" s="24" t="s">
        <v>7</v>
      </c>
      <c r="C18" s="23"/>
      <c r="D18" s="23"/>
      <c r="E18" s="23"/>
      <c r="F18" s="23"/>
      <c r="G18" s="23"/>
      <c r="I18" s="23"/>
    </row>
    <row r="19" spans="1:9">
      <c r="A19" s="20">
        <f t="shared" si="0"/>
        <v>10</v>
      </c>
      <c r="B19" s="24" t="s">
        <v>8</v>
      </c>
      <c r="C19" s="29">
        <v>0</v>
      </c>
      <c r="D19" s="29">
        <f>+'Adj 10.08 P2.15'!E31</f>
        <v>53577113.8039371</v>
      </c>
      <c r="E19" s="29">
        <v>0</v>
      </c>
      <c r="F19" s="29">
        <v>0</v>
      </c>
      <c r="G19" s="29">
        <v>0</v>
      </c>
      <c r="H19" s="30">
        <v>0</v>
      </c>
      <c r="I19" s="29">
        <v>0</v>
      </c>
    </row>
    <row r="20" spans="1:9">
      <c r="A20" s="20">
        <f t="shared" si="0"/>
        <v>11</v>
      </c>
      <c r="B20" s="24" t="s">
        <v>9</v>
      </c>
      <c r="C20" s="23"/>
      <c r="D20" s="23"/>
      <c r="E20" s="23"/>
      <c r="F20" s="23"/>
      <c r="G20" s="23"/>
      <c r="I20" s="23"/>
    </row>
    <row r="21" spans="1:9">
      <c r="A21" s="20">
        <f t="shared" si="0"/>
        <v>12</v>
      </c>
      <c r="B21" s="25" t="s">
        <v>10</v>
      </c>
      <c r="C21" s="23">
        <f>+'Adj 10.07 P2.14'!E23</f>
        <v>23006.025835813489</v>
      </c>
      <c r="D21" s="23">
        <f>+'Adj 10.08 P2.15'!E32</f>
        <v>5278114.2763184328</v>
      </c>
      <c r="E21" s="23"/>
      <c r="F21" s="23"/>
      <c r="G21" s="23"/>
      <c r="I21" s="23"/>
    </row>
    <row r="22" spans="1:9">
      <c r="A22" s="20">
        <f t="shared" si="0"/>
        <v>13</v>
      </c>
      <c r="B22" s="25" t="s">
        <v>11</v>
      </c>
      <c r="C22" s="23"/>
      <c r="D22" s="23"/>
      <c r="E22" s="23"/>
      <c r="F22" s="23"/>
      <c r="G22" s="23"/>
      <c r="H22" s="23">
        <f>+'Adj 10.12 P2.19'!E31</f>
        <v>40663860.560000002</v>
      </c>
      <c r="I22" s="23"/>
    </row>
    <row r="23" spans="1:9">
      <c r="A23" s="20">
        <f t="shared" si="0"/>
        <v>14</v>
      </c>
      <c r="B23" s="26" t="s">
        <v>12</v>
      </c>
      <c r="C23" s="33">
        <f t="shared" ref="C23:I23" si="2">SUM(C19:C22)</f>
        <v>23006.025835813489</v>
      </c>
      <c r="D23" s="33">
        <f t="shared" si="2"/>
        <v>58855228.080255531</v>
      </c>
      <c r="E23" s="33">
        <f t="shared" si="2"/>
        <v>0</v>
      </c>
      <c r="F23" s="33">
        <f t="shared" si="2"/>
        <v>0</v>
      </c>
      <c r="G23" s="33">
        <f t="shared" si="2"/>
        <v>0</v>
      </c>
      <c r="H23" s="33">
        <f t="shared" si="2"/>
        <v>40663860.560000002</v>
      </c>
      <c r="I23" s="33">
        <f t="shared" si="2"/>
        <v>0</v>
      </c>
    </row>
    <row r="24" spans="1:9">
      <c r="A24" s="20">
        <f t="shared" si="0"/>
        <v>15</v>
      </c>
      <c r="B24" s="25"/>
      <c r="C24" s="23"/>
      <c r="D24" s="23"/>
      <c r="E24" s="23"/>
      <c r="F24" s="23"/>
      <c r="G24" s="23"/>
      <c r="I24" s="23"/>
    </row>
    <row r="25" spans="1:9">
      <c r="A25" s="20">
        <f t="shared" si="0"/>
        <v>16</v>
      </c>
      <c r="B25" s="25" t="s">
        <v>13</v>
      </c>
      <c r="C25" s="29">
        <f>+'Adj 10.07 P2.14'!E24</f>
        <v>1242216</v>
      </c>
      <c r="D25" s="29">
        <f>+'Adj 10.08 P2.15'!E35</f>
        <v>4902925</v>
      </c>
      <c r="E25" s="29">
        <v>0</v>
      </c>
      <c r="F25" s="29"/>
      <c r="G25" s="29">
        <v>0</v>
      </c>
      <c r="H25" s="30">
        <v>0</v>
      </c>
      <c r="I25" s="29">
        <v>0</v>
      </c>
    </row>
    <row r="26" spans="1:9">
      <c r="A26" s="20">
        <f t="shared" si="0"/>
        <v>17</v>
      </c>
      <c r="B26" s="24" t="s">
        <v>14</v>
      </c>
      <c r="C26" s="23"/>
      <c r="D26" s="23"/>
      <c r="E26" s="23"/>
      <c r="F26" s="23"/>
      <c r="G26" s="23"/>
      <c r="I26" s="23"/>
    </row>
    <row r="27" spans="1:9">
      <c r="A27" s="20">
        <f t="shared" si="0"/>
        <v>18</v>
      </c>
      <c r="B27" s="24" t="s">
        <v>15</v>
      </c>
      <c r="C27" s="23"/>
      <c r="D27" s="23"/>
      <c r="E27" s="23"/>
      <c r="F27" s="23"/>
      <c r="G27" s="23"/>
      <c r="I27" s="23"/>
    </row>
    <row r="28" spans="1:9">
      <c r="A28" s="20">
        <f t="shared" si="0"/>
        <v>19</v>
      </c>
      <c r="B28" s="24" t="s">
        <v>612</v>
      </c>
      <c r="C28" s="23"/>
      <c r="D28" s="23"/>
      <c r="E28" s="23"/>
      <c r="F28" s="23"/>
      <c r="G28" s="23"/>
      <c r="H28" s="23">
        <f>+'Adj 10.12 P2.19'!E22</f>
        <v>-346378.79678196012</v>
      </c>
      <c r="I28" s="23">
        <v>-1571313</v>
      </c>
    </row>
    <row r="29" spans="1:9">
      <c r="A29" s="20">
        <f t="shared" si="0"/>
        <v>20</v>
      </c>
      <c r="B29" s="24" t="s">
        <v>16</v>
      </c>
      <c r="C29" s="23"/>
      <c r="D29" s="23"/>
      <c r="E29" s="23"/>
      <c r="F29" s="23"/>
      <c r="G29" s="23"/>
      <c r="H29" s="23">
        <f>+'Adj 10.12 P2.19'!E30+'Adj 10.12 P2.19'!E32</f>
        <v>-7837446.6500000004</v>
      </c>
      <c r="I29" s="23"/>
    </row>
    <row r="30" spans="1:9">
      <c r="A30" s="20">
        <f t="shared" si="0"/>
        <v>21</v>
      </c>
      <c r="B30" s="25" t="s">
        <v>17</v>
      </c>
      <c r="C30" s="23"/>
      <c r="D30" s="23"/>
      <c r="E30" s="23"/>
      <c r="F30" s="23"/>
      <c r="G30" s="23"/>
      <c r="H30" s="23">
        <f>+'Adj 10.12 P2.19'!E28</f>
        <v>-53979048</v>
      </c>
      <c r="I30" s="23"/>
    </row>
    <row r="31" spans="1:9">
      <c r="A31" s="20">
        <f t="shared" si="0"/>
        <v>22</v>
      </c>
      <c r="B31" s="24" t="s">
        <v>18</v>
      </c>
      <c r="C31" s="23">
        <v>0</v>
      </c>
      <c r="D31" s="23">
        <f>+'Adj 10.08 P2.15'!E26</f>
        <v>370180</v>
      </c>
      <c r="E31" s="23">
        <f>+'Adj 10.09 P2.16'!E20</f>
        <v>57036.333333333336</v>
      </c>
      <c r="F31" s="23">
        <f>+'Adj 10.10 P2.17'!F25</f>
        <v>27837</v>
      </c>
      <c r="G31" s="23">
        <f>+'Adj 10.11 P2.18'!E15</f>
        <v>657935.89200000011</v>
      </c>
      <c r="H31" s="23">
        <f>+'Adj 10.12 P2.19'!E23+'Adj 10.12 P2.19'!E33</f>
        <v>-191430.92036000008</v>
      </c>
      <c r="I31" s="23"/>
    </row>
    <row r="32" spans="1:9">
      <c r="A32" s="20">
        <f t="shared" si="0"/>
        <v>23</v>
      </c>
      <c r="B32" s="24" t="s">
        <v>19</v>
      </c>
      <c r="C32" s="23">
        <f>+'Adj 10.07 P2.14'!E20</f>
        <v>3795860</v>
      </c>
      <c r="D32" s="23">
        <f>+'Adj 10.08 P2.15'!E24</f>
        <v>2671235.6261654138</v>
      </c>
      <c r="E32" s="23">
        <f>+'Adj 10.09 P2.16'!E19</f>
        <v>856505</v>
      </c>
      <c r="F32" s="23">
        <f>+'Adj 10.10 P2.17'!E23</f>
        <v>804697.5</v>
      </c>
      <c r="G32" s="23"/>
      <c r="H32" s="23"/>
      <c r="I32" s="23"/>
    </row>
    <row r="33" spans="1:9">
      <c r="A33" s="20">
        <f t="shared" si="0"/>
        <v>24</v>
      </c>
      <c r="B33" s="24" t="s">
        <v>20</v>
      </c>
      <c r="C33" s="23"/>
      <c r="D33" s="23">
        <f>+'Adj 10.08 P2.15'!E25</f>
        <v>4566400.8322646609</v>
      </c>
      <c r="E33" s="23"/>
      <c r="F33" s="23">
        <f>+'Adj 10.10 P2.17'!E24</f>
        <v>2282921.5737074832</v>
      </c>
      <c r="G33" s="23">
        <f>+'Adj 10.11 P2.18'!E13</f>
        <v>658189.53928692697</v>
      </c>
      <c r="H33" s="23"/>
      <c r="I33" s="23"/>
    </row>
    <row r="34" spans="1:9">
      <c r="A34" s="20">
        <f t="shared" si="0"/>
        <v>25</v>
      </c>
      <c r="B34" s="22" t="s">
        <v>21</v>
      </c>
      <c r="C34" s="23"/>
      <c r="D34" s="23"/>
      <c r="E34" s="23"/>
      <c r="F34" s="23"/>
      <c r="G34" s="23"/>
      <c r="H34" s="23"/>
      <c r="I34" s="23"/>
    </row>
    <row r="35" spans="1:9">
      <c r="A35" s="20">
        <f t="shared" si="0"/>
        <v>26</v>
      </c>
      <c r="B35" s="25" t="s">
        <v>22</v>
      </c>
      <c r="C35" s="23"/>
      <c r="D35" s="23"/>
      <c r="E35" s="23"/>
      <c r="F35" s="23"/>
      <c r="G35" s="23"/>
      <c r="H35" s="23"/>
      <c r="I35" s="23"/>
    </row>
    <row r="36" spans="1:9">
      <c r="A36" s="20">
        <f t="shared" si="0"/>
        <v>27</v>
      </c>
      <c r="B36" s="25" t="s">
        <v>23</v>
      </c>
      <c r="C36" s="23"/>
      <c r="D36" s="23"/>
      <c r="E36" s="23"/>
      <c r="F36" s="23"/>
      <c r="G36" s="23"/>
      <c r="H36" s="23"/>
      <c r="I36" s="23"/>
    </row>
    <row r="37" spans="1:9">
      <c r="A37" s="20">
        <f t="shared" si="0"/>
        <v>28</v>
      </c>
      <c r="B37" s="24" t="s">
        <v>24</v>
      </c>
      <c r="C37" s="23">
        <v>0</v>
      </c>
      <c r="D37" s="23">
        <v>0</v>
      </c>
      <c r="E37" s="23"/>
      <c r="F37" s="23">
        <v>0</v>
      </c>
      <c r="G37" s="23"/>
      <c r="H37" s="23">
        <f>+'Adj 10.12 P2.19'!E29+'Adj 10.12 P2.19'!E24+'Adj 10.12 P2.19'!E34</f>
        <v>-72956528.966796204</v>
      </c>
      <c r="I37" s="23"/>
    </row>
    <row r="38" spans="1:9">
      <c r="A38" s="20">
        <f t="shared" si="0"/>
        <v>29</v>
      </c>
      <c r="B38" s="24" t="s">
        <v>25</v>
      </c>
      <c r="C38" s="23">
        <f>+'Adj 10.07 P2.14'!E31</f>
        <v>-1325583</v>
      </c>
      <c r="D38" s="23">
        <f>+'Adj 10.08 P2.15'!E39</f>
        <v>-27664295</v>
      </c>
      <c r="E38" s="23">
        <f>+'Adj 10.09 P2.16'!E26</f>
        <v>-385474</v>
      </c>
      <c r="F38" s="23">
        <f>+'Adj 10.10 P2.17'!F31</f>
        <v>-716607</v>
      </c>
      <c r="G38" s="27">
        <f>+'Adj 10.11 P2.18'!E20</f>
        <v>-357891</v>
      </c>
      <c r="H38" s="23">
        <f>+'Adj 10.12 P2.19'!E38</f>
        <v>-344729.84212165547</v>
      </c>
      <c r="I38" s="23">
        <v>549960</v>
      </c>
    </row>
    <row r="39" spans="1:9">
      <c r="A39" s="20">
        <f t="shared" si="0"/>
        <v>30</v>
      </c>
      <c r="B39" s="24" t="s">
        <v>26</v>
      </c>
      <c r="C39" s="23">
        <f>+'Adj 10.07 P2.14'!E32</f>
        <v>-445796</v>
      </c>
      <c r="D39" s="23">
        <f>+'Adj 10.08 P2.15'!E40</f>
        <v>2686206</v>
      </c>
      <c r="E39" s="23">
        <f>+'Adj 10.09 P2.16'!E27</f>
        <v>65735</v>
      </c>
      <c r="F39" s="23">
        <f>+'Adj 10.10 P2.17'!F32</f>
        <v>-373802</v>
      </c>
      <c r="G39" s="27">
        <f>+'Adj 10.11 P2.18'!E21</f>
        <v>-102753</v>
      </c>
      <c r="I39" s="23"/>
    </row>
    <row r="40" spans="1:9">
      <c r="A40" s="20">
        <f t="shared" si="0"/>
        <v>31</v>
      </c>
      <c r="B40" s="28" t="s">
        <v>27</v>
      </c>
      <c r="C40" s="33">
        <f t="shared" ref="C40:I40" si="3">SUM(C23:C39)</f>
        <v>3289703.025835814</v>
      </c>
      <c r="D40" s="33">
        <f t="shared" si="3"/>
        <v>46387880.538685605</v>
      </c>
      <c r="E40" s="33">
        <f t="shared" si="3"/>
        <v>593802.33333333337</v>
      </c>
      <c r="F40" s="33">
        <f t="shared" si="3"/>
        <v>2025047.0737074832</v>
      </c>
      <c r="G40" s="33">
        <f t="shared" si="3"/>
        <v>855481.43128692708</v>
      </c>
      <c r="H40" s="33">
        <f t="shared" si="3"/>
        <v>-94991702.61605981</v>
      </c>
      <c r="I40" s="33">
        <f t="shared" si="3"/>
        <v>-1021353</v>
      </c>
    </row>
    <row r="41" spans="1:9">
      <c r="A41" s="20">
        <f t="shared" si="0"/>
        <v>32</v>
      </c>
      <c r="B41" s="28"/>
      <c r="C41" s="16"/>
      <c r="D41" s="16"/>
      <c r="E41" s="16"/>
      <c r="F41" s="16"/>
      <c r="G41" s="16"/>
      <c r="H41" s="16"/>
      <c r="I41" s="16"/>
    </row>
    <row r="42" spans="1:9" ht="16.5" thickBot="1">
      <c r="A42" s="20">
        <f t="shared" si="0"/>
        <v>33</v>
      </c>
      <c r="B42" s="8" t="s">
        <v>28</v>
      </c>
      <c r="C42" s="34">
        <f t="shared" ref="C42:I42" si="4">+C15-C40</f>
        <v>-3289703.025835814</v>
      </c>
      <c r="D42" s="34">
        <f t="shared" si="4"/>
        <v>-46387880.538685605</v>
      </c>
      <c r="E42" s="34">
        <f t="shared" si="4"/>
        <v>-593802.33333333337</v>
      </c>
      <c r="F42" s="34">
        <f t="shared" si="4"/>
        <v>-2025047.0737074832</v>
      </c>
      <c r="G42" s="34">
        <f t="shared" si="4"/>
        <v>-855481.43128692708</v>
      </c>
      <c r="H42" s="34">
        <f t="shared" si="4"/>
        <v>-640212.56394022703</v>
      </c>
      <c r="I42" s="34">
        <f t="shared" si="4"/>
        <v>1021353</v>
      </c>
    </row>
    <row r="43" spans="1:9" ht="16.5" thickTop="1">
      <c r="A43" s="20">
        <f t="shared" si="0"/>
        <v>34</v>
      </c>
      <c r="B43" s="24"/>
      <c r="C43" s="23"/>
      <c r="D43" s="23"/>
      <c r="E43" s="23"/>
      <c r="F43" s="23"/>
      <c r="G43" s="23"/>
      <c r="I43" s="23"/>
    </row>
    <row r="44" spans="1:9">
      <c r="A44" s="20">
        <f t="shared" si="0"/>
        <v>35</v>
      </c>
      <c r="B44" s="8" t="s">
        <v>29</v>
      </c>
      <c r="C44" s="23"/>
      <c r="D44" s="23"/>
      <c r="E44" s="23"/>
      <c r="F44" s="23"/>
      <c r="G44" s="23"/>
      <c r="I44" s="23"/>
    </row>
    <row r="45" spans="1:9">
      <c r="A45" s="20">
        <f t="shared" si="0"/>
        <v>36</v>
      </c>
      <c r="B45" s="24" t="s">
        <v>611</v>
      </c>
      <c r="C45" s="29">
        <f>+'Adj 10.07 P2.14'!E14</f>
        <v>90388143</v>
      </c>
      <c r="D45" s="29">
        <f>+'Adj 10.08 P2.15'!E14</f>
        <v>241461125</v>
      </c>
      <c r="E45" s="29">
        <f>+'Adj 10.09 P2.16'!E13</f>
        <v>46260816</v>
      </c>
      <c r="F45" s="29">
        <f>+'Adj 10.10 P2.17'!F14+'Adj 10.10 P2.17'!F16</f>
        <v>45185333</v>
      </c>
      <c r="G45" s="29">
        <f>+'Adj 10.11 P2.18'!E25</f>
        <v>34453197.206250004</v>
      </c>
      <c r="H45" s="30">
        <v>0</v>
      </c>
      <c r="I45" s="29"/>
    </row>
    <row r="46" spans="1:9">
      <c r="A46" s="20">
        <f t="shared" si="0"/>
        <v>37</v>
      </c>
      <c r="B46" s="24" t="s">
        <v>30</v>
      </c>
      <c r="C46" s="29">
        <f>+'Adj 10.07 P2.14'!E15</f>
        <v>-3479538</v>
      </c>
      <c r="D46" s="29">
        <f>+'Adj 10.08 P2.15'!E15</f>
        <v>-17541673</v>
      </c>
      <c r="E46" s="29">
        <f>+'Adj 10.09 P2.16'!E14</f>
        <v>-39401255</v>
      </c>
      <c r="F46" s="23">
        <f>+'Adj 10.10 P2.17'!F15+'Adj 10.10 P2.17'!F17</f>
        <v>-27401448.251595683</v>
      </c>
      <c r="G46" s="29">
        <f>+'Adj 10.11 P2.18'!E26</f>
        <v>-1614590.7184535933</v>
      </c>
      <c r="I46" s="23"/>
    </row>
    <row r="47" spans="1:9">
      <c r="A47" s="20">
        <f t="shared" si="0"/>
        <v>38</v>
      </c>
      <c r="B47" s="24" t="s">
        <v>31</v>
      </c>
      <c r="C47" s="23"/>
      <c r="D47" s="23"/>
      <c r="E47" s="23"/>
      <c r="F47" s="23"/>
      <c r="G47" s="23"/>
      <c r="I47" s="23"/>
    </row>
    <row r="48" spans="1:9">
      <c r="A48" s="20">
        <f t="shared" si="0"/>
        <v>39</v>
      </c>
      <c r="B48" s="24" t="s">
        <v>32</v>
      </c>
      <c r="C48" s="23">
        <f>+'Adj 10.07 P2.14'!E16</f>
        <v>-23647769</v>
      </c>
      <c r="D48" s="23">
        <f>+'Adj 10.08 P2.15'!E18</f>
        <v>-6349531.3098605219</v>
      </c>
      <c r="E48" s="23">
        <f>+'Adj 10.09 P2.16'!E15</f>
        <v>724262</v>
      </c>
      <c r="F48" s="23">
        <f>+'Adj 10.10 P2.17'!F18</f>
        <v>-1007604.574859408</v>
      </c>
      <c r="G48" s="23">
        <f>+'Adj 10.11 P2.18'!E27</f>
        <v>274263.24098092155</v>
      </c>
      <c r="I48" s="23"/>
    </row>
    <row r="49" spans="1:9">
      <c r="A49" s="20">
        <f t="shared" si="0"/>
        <v>40</v>
      </c>
      <c r="B49" s="24" t="s">
        <v>33</v>
      </c>
      <c r="C49" s="23"/>
      <c r="D49" s="23"/>
      <c r="E49" s="23"/>
      <c r="F49" s="23"/>
      <c r="G49" s="23"/>
      <c r="I49" s="23"/>
    </row>
    <row r="50" spans="1:9">
      <c r="A50" s="20">
        <f t="shared" si="0"/>
        <v>41</v>
      </c>
      <c r="B50" s="24" t="s">
        <v>34</v>
      </c>
      <c r="C50" s="23"/>
      <c r="D50" s="23"/>
      <c r="E50" s="23"/>
      <c r="F50" s="23"/>
      <c r="G50" s="23"/>
      <c r="I50" s="23"/>
    </row>
    <row r="51" spans="1:9" ht="16.5" thickBot="1">
      <c r="A51" s="20">
        <f t="shared" si="0"/>
        <v>42</v>
      </c>
      <c r="B51" s="24" t="s">
        <v>35</v>
      </c>
      <c r="C51" s="34">
        <f t="shared" ref="C51:I51" si="5">SUM(C45:C50)</f>
        <v>63260836</v>
      </c>
      <c r="D51" s="34">
        <f t="shared" si="5"/>
        <v>217569920.69013947</v>
      </c>
      <c r="E51" s="34">
        <f t="shared" si="5"/>
        <v>7583823</v>
      </c>
      <c r="F51" s="34">
        <f t="shared" si="5"/>
        <v>16776280.173544908</v>
      </c>
      <c r="G51" s="34">
        <f t="shared" si="5"/>
        <v>33112869.728777334</v>
      </c>
      <c r="H51" s="34">
        <f t="shared" si="5"/>
        <v>0</v>
      </c>
      <c r="I51" s="34">
        <f t="shared" si="5"/>
        <v>0</v>
      </c>
    </row>
    <row r="52" spans="1:9" ht="16.5" thickTop="1">
      <c r="A52" s="25"/>
      <c r="B52" s="25"/>
    </row>
  </sheetData>
  <mergeCells count="4">
    <mergeCell ref="A2:I2"/>
    <mergeCell ref="A3:I3"/>
    <mergeCell ref="A4:I4"/>
    <mergeCell ref="A5:I5"/>
  </mergeCells>
  <pageMargins left="0.5" right="0.5" top="0.75" bottom="0.3" header="0.3" footer="0.25"/>
  <pageSetup scale="68" orientation="landscape" r:id="rId1"/>
  <headerFooter scaleWithDoc="0">
    <oddHeader>&amp;R&amp;"Times New Roman,Regular"UE-090704/UG-090705
Exhibit No. KHB-2
Page 2.3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7"/>
  <sheetViews>
    <sheetView topLeftCell="A2" zoomScaleNormal="100" workbookViewId="0">
      <selection activeCell="B52" sqref="B52"/>
    </sheetView>
  </sheetViews>
  <sheetFormatPr defaultColWidth="9.140625" defaultRowHeight="15.75"/>
  <cols>
    <col min="1" max="1" width="7.42578125" style="2" customWidth="1"/>
    <col min="2" max="2" width="43.140625" style="2" customWidth="1"/>
    <col min="3" max="3" width="21.28515625" style="2" customWidth="1"/>
    <col min="4" max="4" width="13.5703125" style="2" customWidth="1"/>
    <col min="5" max="5" width="16.28515625" style="2" customWidth="1"/>
    <col min="6" max="16384" width="9.140625" style="2"/>
  </cols>
  <sheetData>
    <row r="1" spans="1:5">
      <c r="A1" s="2" t="str">
        <f>CO</f>
        <v>Puget Sound Energy</v>
      </c>
    </row>
    <row r="2" spans="1:5">
      <c r="A2" s="2" t="str">
        <f>DOCKET</f>
        <v>Docket UE-090704/UG-090705</v>
      </c>
    </row>
    <row r="4" spans="1:5">
      <c r="A4" s="218" t="s">
        <v>201</v>
      </c>
      <c r="B4" s="898"/>
      <c r="C4" s="219"/>
      <c r="D4" s="219"/>
      <c r="E4" s="219"/>
    </row>
    <row r="5" spans="1:5">
      <c r="A5" s="218" t="s">
        <v>810</v>
      </c>
      <c r="B5" s="899"/>
      <c r="C5" s="445"/>
      <c r="D5" s="445"/>
      <c r="E5" s="445"/>
    </row>
    <row r="6" spans="1:5">
      <c r="A6" s="219" t="str">
        <f>TY</f>
        <v>FOR THE TWELVE MONTHS ENDED DECEMBER 31, 2008</v>
      </c>
      <c r="B6" s="900"/>
      <c r="C6" s="446"/>
      <c r="D6" s="446"/>
      <c r="E6" s="446"/>
    </row>
    <row r="7" spans="1:5">
      <c r="A7" s="218" t="s">
        <v>205</v>
      </c>
      <c r="B7" s="898"/>
      <c r="C7" s="219"/>
      <c r="D7" s="219"/>
      <c r="E7" s="219"/>
    </row>
    <row r="8" spans="1:5">
      <c r="A8" s="220"/>
      <c r="B8" s="220"/>
      <c r="C8" s="220"/>
      <c r="D8" s="220"/>
      <c r="E8" s="220"/>
    </row>
    <row r="9" spans="1:5">
      <c r="A9" s="225" t="s">
        <v>208</v>
      </c>
      <c r="B9" s="220"/>
      <c r="C9" s="220"/>
      <c r="D9" s="220"/>
      <c r="E9" s="220"/>
    </row>
    <row r="10" spans="1:5">
      <c r="A10" s="226" t="s">
        <v>215</v>
      </c>
      <c r="B10" s="901" t="s">
        <v>216</v>
      </c>
      <c r="C10" s="228" t="s">
        <v>218</v>
      </c>
      <c r="D10" s="902" t="s">
        <v>214</v>
      </c>
      <c r="E10" s="902" t="s">
        <v>217</v>
      </c>
    </row>
    <row r="11" spans="1:5">
      <c r="A11" s="232"/>
      <c r="B11" s="232"/>
      <c r="C11" s="232"/>
      <c r="D11" s="232"/>
      <c r="E11" s="232"/>
    </row>
    <row r="12" spans="1:5">
      <c r="A12" s="231">
        <v>1</v>
      </c>
      <c r="B12" s="232" t="s">
        <v>488</v>
      </c>
      <c r="C12" s="252">
        <v>1421247.3206333329</v>
      </c>
      <c r="D12" s="252">
        <v>2407746</v>
      </c>
      <c r="E12" s="581">
        <f>+D12-C12</f>
        <v>986498.67936666706</v>
      </c>
    </row>
    <row r="13" spans="1:5">
      <c r="A13" s="231">
        <f t="shared" ref="A13:A19" si="0">A12+1</f>
        <v>2</v>
      </c>
      <c r="B13" s="232" t="s">
        <v>489</v>
      </c>
      <c r="C13" s="241">
        <v>1100143.1831453403</v>
      </c>
      <c r="D13" s="241">
        <v>1311610</v>
      </c>
      <c r="E13" s="241">
        <f>+D13-C13</f>
        <v>211466.8168546597</v>
      </c>
    </row>
    <row r="14" spans="1:5">
      <c r="A14" s="231">
        <f t="shared" si="0"/>
        <v>3</v>
      </c>
      <c r="B14" s="236" t="s">
        <v>454</v>
      </c>
      <c r="C14" s="242">
        <f>SUM(C12:C13)</f>
        <v>2521390.5037786732</v>
      </c>
      <c r="D14" s="242">
        <f>SUM(D12:D13)</f>
        <v>3719356</v>
      </c>
      <c r="E14" s="242">
        <f>SUM(E12:E13)</f>
        <v>1197965.4962213268</v>
      </c>
    </row>
    <row r="15" spans="1:5">
      <c r="A15" s="231">
        <f t="shared" si="0"/>
        <v>4</v>
      </c>
      <c r="B15" s="236"/>
      <c r="C15" s="232"/>
      <c r="D15" s="232"/>
      <c r="E15" s="237"/>
    </row>
    <row r="16" spans="1:5">
      <c r="A16" s="231">
        <f t="shared" si="0"/>
        <v>5</v>
      </c>
      <c r="B16" s="232" t="s">
        <v>490</v>
      </c>
      <c r="C16" s="232"/>
      <c r="D16" s="232"/>
      <c r="E16" s="237">
        <f>E14</f>
        <v>1197965.4962213268</v>
      </c>
    </row>
    <row r="17" spans="1:5">
      <c r="A17" s="231">
        <f t="shared" si="0"/>
        <v>6</v>
      </c>
      <c r="B17" s="232"/>
      <c r="C17" s="232"/>
      <c r="D17" s="232"/>
      <c r="E17" s="492"/>
    </row>
    <row r="18" spans="1:5">
      <c r="A18" s="231">
        <f t="shared" si="0"/>
        <v>7</v>
      </c>
      <c r="B18" s="236" t="s">
        <v>259</v>
      </c>
      <c r="C18" s="249">
        <v>0.35</v>
      </c>
      <c r="D18" s="353"/>
      <c r="E18" s="241">
        <f>-C18*E16</f>
        <v>-419287.92367746437</v>
      </c>
    </row>
    <row r="19" spans="1:5" ht="16.5" thickBot="1">
      <c r="A19" s="231">
        <f t="shared" si="0"/>
        <v>8</v>
      </c>
      <c r="B19" s="236" t="s">
        <v>240</v>
      </c>
      <c r="C19" s="232"/>
      <c r="D19" s="232"/>
      <c r="E19" s="87">
        <f>-E16-E18</f>
        <v>-778677.57254386239</v>
      </c>
    </row>
    <row r="20" spans="1:5" ht="16.5" thickTop="1">
      <c r="A20" s="231"/>
      <c r="B20" s="236"/>
      <c r="C20" s="232"/>
      <c r="D20" s="232"/>
      <c r="E20" s="232"/>
    </row>
    <row r="21" spans="1:5">
      <c r="A21" s="544"/>
      <c r="B21" s="232"/>
      <c r="C21" s="492"/>
      <c r="D21" s="492"/>
      <c r="E21" s="492"/>
    </row>
    <row r="22" spans="1:5">
      <c r="A22" s="266"/>
      <c r="B22" s="243"/>
      <c r="C22" s="243"/>
      <c r="D22" s="340"/>
    </row>
    <row r="23" spans="1:5">
      <c r="A23" s="266"/>
      <c r="B23" s="357"/>
      <c r="C23" s="243"/>
      <c r="D23" s="340"/>
    </row>
    <row r="24" spans="1:5">
      <c r="A24" s="266"/>
      <c r="B24" s="358"/>
      <c r="C24" s="243"/>
      <c r="D24" s="340"/>
    </row>
    <row r="25" spans="1:5">
      <c r="A25" s="266"/>
      <c r="B25" s="358"/>
      <c r="C25" s="243"/>
      <c r="D25" s="340"/>
    </row>
    <row r="26" spans="1:5">
      <c r="A26" s="266"/>
      <c r="B26" s="358"/>
      <c r="C26" s="243"/>
      <c r="D26" s="340"/>
    </row>
    <row r="27" spans="1:5">
      <c r="A27" s="266"/>
      <c r="B27" s="359"/>
      <c r="C27" s="243"/>
      <c r="D27" s="340"/>
    </row>
    <row r="28" spans="1:5">
      <c r="A28" s="266"/>
      <c r="B28" s="360"/>
      <c r="C28" s="243"/>
      <c r="D28" s="340"/>
    </row>
    <row r="29" spans="1:5">
      <c r="A29" s="266"/>
      <c r="B29" s="360"/>
      <c r="C29" s="243"/>
      <c r="D29" s="340"/>
    </row>
    <row r="30" spans="1:5">
      <c r="A30" s="266"/>
      <c r="B30" s="360"/>
      <c r="C30" s="243"/>
      <c r="D30" s="340"/>
    </row>
    <row r="31" spans="1:5">
      <c r="A31" s="266"/>
      <c r="B31" s="243"/>
      <c r="C31" s="243"/>
      <c r="D31" s="340"/>
    </row>
    <row r="32" spans="1:5">
      <c r="A32" s="266"/>
      <c r="B32" s="243"/>
      <c r="C32" s="243"/>
      <c r="D32" s="339"/>
    </row>
    <row r="33" spans="1:4">
      <c r="A33" s="266"/>
      <c r="B33" s="243"/>
      <c r="C33" s="243"/>
      <c r="D33" s="339"/>
    </row>
    <row r="34" spans="1:4">
      <c r="A34" s="266"/>
      <c r="B34" s="243"/>
      <c r="C34" s="243"/>
      <c r="D34" s="339"/>
    </row>
    <row r="35" spans="1:4">
      <c r="A35" s="266"/>
      <c r="B35" s="243"/>
      <c r="C35" s="243"/>
      <c r="D35" s="340"/>
    </row>
    <row r="36" spans="1:4">
      <c r="A36" s="243"/>
      <c r="B36" s="243"/>
      <c r="C36" s="243"/>
      <c r="D36" s="243"/>
    </row>
    <row r="37" spans="1:4">
      <c r="A37" s="18"/>
      <c r="B37" s="18"/>
      <c r="C37" s="18"/>
      <c r="D37" s="18"/>
    </row>
  </sheetData>
  <pageMargins left="0.7" right="0.7" top="0.75" bottom="0.75" header="0.75" footer="0.3"/>
  <pageSetup scale="88" orientation="portrait" r:id="rId1"/>
  <headerFooter>
    <oddHeader xml:space="preserve">&amp;R&amp;"Times New Roman,Regular"&amp;12Exhibit KHB-2
Page 2.30
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6"/>
  <sheetViews>
    <sheetView topLeftCell="A2" zoomScaleNormal="100" workbookViewId="0">
      <selection activeCell="B52" sqref="B52"/>
    </sheetView>
  </sheetViews>
  <sheetFormatPr defaultColWidth="9.140625" defaultRowHeight="15.75"/>
  <cols>
    <col min="1" max="1" width="7.42578125" style="2" customWidth="1"/>
    <col min="2" max="2" width="45.5703125" style="2" customWidth="1"/>
    <col min="3" max="3" width="16.85546875" style="2" customWidth="1"/>
    <col min="4" max="4" width="15" style="2" customWidth="1"/>
    <col min="5" max="5" width="13.140625" style="2" customWidth="1"/>
    <col min="6" max="16384" width="9.140625" style="2"/>
  </cols>
  <sheetData>
    <row r="1" spans="1:5">
      <c r="A1" s="2" t="str">
        <f>CO</f>
        <v>Puget Sound Energy</v>
      </c>
    </row>
    <row r="2" spans="1:5">
      <c r="A2" s="2" t="str">
        <f>DOCKET</f>
        <v>Docket UE-090704/UG-090705</v>
      </c>
    </row>
    <row r="4" spans="1:5">
      <c r="A4" s="218" t="s">
        <v>201</v>
      </c>
      <c r="B4" s="898"/>
      <c r="C4" s="219"/>
      <c r="D4" s="219"/>
      <c r="E4" s="219"/>
    </row>
    <row r="5" spans="1:5">
      <c r="A5" s="218" t="s">
        <v>493</v>
      </c>
      <c r="B5" s="899"/>
      <c r="C5" s="445"/>
      <c r="D5" s="445"/>
      <c r="E5" s="445"/>
    </row>
    <row r="6" spans="1:5">
      <c r="A6" s="219" t="str">
        <f>TY</f>
        <v>FOR THE TWELVE MONTHS ENDED DECEMBER 31, 2008</v>
      </c>
      <c r="B6" s="900"/>
      <c r="C6" s="446"/>
      <c r="D6" s="446"/>
      <c r="E6" s="446"/>
    </row>
    <row r="7" spans="1:5">
      <c r="A7" s="218" t="s">
        <v>205</v>
      </c>
      <c r="B7" s="898"/>
      <c r="C7" s="219"/>
      <c r="D7" s="219"/>
      <c r="E7" s="219"/>
    </row>
    <row r="8" spans="1:5">
      <c r="A8" s="220"/>
      <c r="B8" s="220"/>
      <c r="C8" s="220"/>
      <c r="D8" s="220"/>
      <c r="E8" s="220"/>
    </row>
    <row r="9" spans="1:5">
      <c r="A9" s="225" t="s">
        <v>208</v>
      </c>
      <c r="B9" s="220"/>
      <c r="C9" s="220"/>
      <c r="D9" s="220"/>
      <c r="E9" s="220"/>
    </row>
    <row r="10" spans="1:5">
      <c r="A10" s="226" t="s">
        <v>215</v>
      </c>
      <c r="B10" s="901" t="s">
        <v>216</v>
      </c>
      <c r="C10" s="902" t="s">
        <v>218</v>
      </c>
      <c r="D10" s="902" t="s">
        <v>470</v>
      </c>
      <c r="E10" s="902" t="s">
        <v>217</v>
      </c>
    </row>
    <row r="11" spans="1:5">
      <c r="A11" s="232"/>
      <c r="B11" s="232"/>
      <c r="C11" s="232"/>
      <c r="D11" s="232"/>
      <c r="E11" s="232"/>
    </row>
    <row r="12" spans="1:5">
      <c r="A12" s="231">
        <v>1</v>
      </c>
      <c r="B12" s="232" t="s">
        <v>491</v>
      </c>
      <c r="C12" s="252">
        <v>-157074.40817639997</v>
      </c>
      <c r="D12" s="252">
        <v>3693494.97</v>
      </c>
      <c r="E12" s="252">
        <f>+D12-C12</f>
        <v>3850569.3781764</v>
      </c>
    </row>
    <row r="13" spans="1:5">
      <c r="A13" s="231">
        <f t="shared" ref="A13:A19" si="0">A12+1</f>
        <v>2</v>
      </c>
      <c r="B13" s="232" t="s">
        <v>492</v>
      </c>
      <c r="C13" s="241">
        <v>1771380.9004320002</v>
      </c>
      <c r="D13" s="241">
        <v>2139086.0476852022</v>
      </c>
      <c r="E13" s="903">
        <f>+D13-C13</f>
        <v>367705.14725320204</v>
      </c>
    </row>
    <row r="14" spans="1:5">
      <c r="A14" s="231">
        <f t="shared" si="0"/>
        <v>3</v>
      </c>
      <c r="B14" s="236" t="s">
        <v>454</v>
      </c>
      <c r="C14" s="242">
        <f>SUM(C12:C13)</f>
        <v>1614306.4922556002</v>
      </c>
      <c r="D14" s="242">
        <f>SUM(D12:D13)</f>
        <v>5832581.0176852029</v>
      </c>
      <c r="E14" s="242">
        <f>SUM(E12:E13)</f>
        <v>4218274.5254296018</v>
      </c>
    </row>
    <row r="15" spans="1:5">
      <c r="A15" s="231">
        <f t="shared" si="0"/>
        <v>4</v>
      </c>
      <c r="B15" s="236"/>
      <c r="C15" s="232"/>
      <c r="D15" s="232"/>
      <c r="E15" s="237"/>
    </row>
    <row r="16" spans="1:5">
      <c r="A16" s="231">
        <f t="shared" si="0"/>
        <v>5</v>
      </c>
      <c r="B16" s="232" t="s">
        <v>447</v>
      </c>
      <c r="C16" s="232"/>
      <c r="D16" s="232"/>
      <c r="E16" s="237">
        <f>E14</f>
        <v>4218274.5254296018</v>
      </c>
    </row>
    <row r="17" spans="1:5">
      <c r="A17" s="231">
        <f t="shared" si="0"/>
        <v>6</v>
      </c>
      <c r="B17" s="232"/>
      <c r="C17" s="232"/>
      <c r="D17" s="232"/>
      <c r="E17" s="492"/>
    </row>
    <row r="18" spans="1:5">
      <c r="A18" s="231">
        <f t="shared" si="0"/>
        <v>7</v>
      </c>
      <c r="B18" s="236" t="s">
        <v>259</v>
      </c>
      <c r="C18" s="249">
        <v>0.35</v>
      </c>
      <c r="D18" s="353"/>
      <c r="E18" s="241">
        <f>-C18*E16</f>
        <v>-1476396.0839003606</v>
      </c>
    </row>
    <row r="19" spans="1:5" ht="16.5" thickBot="1">
      <c r="A19" s="231">
        <f t="shared" si="0"/>
        <v>8</v>
      </c>
      <c r="B19" s="236" t="s">
        <v>240</v>
      </c>
      <c r="C19" s="232"/>
      <c r="D19" s="232"/>
      <c r="E19" s="87">
        <f>-E16-E18</f>
        <v>-2741878.4415292414</v>
      </c>
    </row>
    <row r="20" spans="1:5" ht="16.5" thickTop="1">
      <c r="A20" s="231"/>
      <c r="B20" s="236"/>
      <c r="C20" s="232"/>
      <c r="D20" s="232"/>
      <c r="E20" s="232"/>
    </row>
    <row r="21" spans="1:5">
      <c r="A21" s="266"/>
      <c r="B21" s="243"/>
      <c r="C21" s="243"/>
      <c r="D21" s="340"/>
    </row>
    <row r="22" spans="1:5">
      <c r="A22" s="266"/>
      <c r="B22" s="357"/>
      <c r="C22" s="243"/>
      <c r="D22" s="340"/>
    </row>
    <row r="23" spans="1:5">
      <c r="A23" s="266"/>
      <c r="B23" s="358"/>
      <c r="C23" s="243"/>
      <c r="D23" s="340"/>
    </row>
    <row r="24" spans="1:5">
      <c r="A24" s="266"/>
      <c r="B24" s="358"/>
      <c r="C24" s="243"/>
      <c r="D24" s="340"/>
    </row>
    <row r="25" spans="1:5">
      <c r="A25" s="266"/>
      <c r="B25" s="358"/>
      <c r="C25" s="243"/>
      <c r="D25" s="340"/>
    </row>
    <row r="26" spans="1:5">
      <c r="A26" s="266"/>
      <c r="B26" s="359"/>
      <c r="C26" s="243"/>
      <c r="D26" s="340"/>
    </row>
    <row r="27" spans="1:5">
      <c r="A27" s="266"/>
      <c r="B27" s="360"/>
      <c r="C27" s="243"/>
      <c r="D27" s="340"/>
    </row>
    <row r="28" spans="1:5">
      <c r="A28" s="266"/>
      <c r="B28" s="360"/>
      <c r="C28" s="243"/>
      <c r="D28" s="340"/>
    </row>
    <row r="29" spans="1:5">
      <c r="A29" s="266"/>
      <c r="B29" s="360"/>
      <c r="C29" s="243"/>
      <c r="D29" s="340"/>
    </row>
    <row r="30" spans="1:5">
      <c r="A30" s="266"/>
      <c r="B30" s="243"/>
      <c r="C30" s="243"/>
      <c r="D30" s="340"/>
    </row>
    <row r="31" spans="1:5">
      <c r="A31" s="266"/>
      <c r="B31" s="243"/>
      <c r="C31" s="243"/>
      <c r="D31" s="339"/>
    </row>
    <row r="32" spans="1:5">
      <c r="A32" s="266"/>
      <c r="B32" s="243"/>
      <c r="C32" s="243"/>
      <c r="D32" s="339"/>
    </row>
    <row r="33" spans="1:4">
      <c r="A33" s="266"/>
      <c r="B33" s="243"/>
      <c r="C33" s="243"/>
      <c r="D33" s="339"/>
    </row>
    <row r="34" spans="1:4">
      <c r="A34" s="266"/>
      <c r="B34" s="243"/>
      <c r="C34" s="243"/>
      <c r="D34" s="340"/>
    </row>
    <row r="35" spans="1:4">
      <c r="A35" s="243"/>
      <c r="B35" s="243"/>
      <c r="C35" s="243"/>
      <c r="D35" s="243"/>
    </row>
    <row r="36" spans="1:4">
      <c r="A36" s="18"/>
      <c r="B36" s="18"/>
      <c r="C36" s="18"/>
      <c r="D36" s="18"/>
    </row>
  </sheetData>
  <pageMargins left="0.7" right="0.7" top="0.75" bottom="0.75" header="0.75" footer="0.3"/>
  <pageSetup scale="92" orientation="portrait" r:id="rId1"/>
  <headerFooter>
    <oddHeader>&amp;R&amp;"Times New Roman,Regular"&amp;12Exhibit KHB-2
Page 2.31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9"/>
  <sheetViews>
    <sheetView zoomScaleNormal="100" workbookViewId="0">
      <selection activeCell="B52" sqref="B52"/>
    </sheetView>
  </sheetViews>
  <sheetFormatPr defaultColWidth="9.140625" defaultRowHeight="15.75"/>
  <cols>
    <col min="1" max="1" width="7.42578125" style="2" customWidth="1"/>
    <col min="2" max="2" width="40.28515625" style="2" customWidth="1"/>
    <col min="3" max="3" width="5.7109375" style="2" customWidth="1"/>
    <col min="4" max="4" width="10.28515625" style="2" customWidth="1"/>
    <col min="5" max="5" width="14.7109375" style="2" customWidth="1"/>
    <col min="6" max="6" width="14.42578125" style="2" customWidth="1"/>
    <col min="7" max="7" width="19.28515625" style="2" customWidth="1"/>
    <col min="8" max="16384" width="9.140625" style="2"/>
  </cols>
  <sheetData>
    <row r="1" spans="1:7">
      <c r="A1" s="2" t="str">
        <f>CO</f>
        <v>Puget Sound Energy</v>
      </c>
    </row>
    <row r="2" spans="1:7">
      <c r="A2" s="2" t="str">
        <f>DOCKET</f>
        <v>Docket UE-090704/UG-090705</v>
      </c>
    </row>
    <row r="4" spans="1:7">
      <c r="A4" s="443" t="s">
        <v>201</v>
      </c>
      <c r="B4" s="444"/>
      <c r="C4" s="444"/>
      <c r="D4" s="444"/>
      <c r="E4" s="444"/>
      <c r="F4" s="444"/>
      <c r="G4" s="444"/>
    </row>
    <row r="5" spans="1:7">
      <c r="A5" s="444" t="s">
        <v>508</v>
      </c>
      <c r="B5" s="444"/>
      <c r="C5" s="444"/>
      <c r="D5" s="444"/>
      <c r="E5" s="444"/>
      <c r="F5" s="444"/>
      <c r="G5" s="445"/>
    </row>
    <row r="6" spans="1:7">
      <c r="A6" s="444" t="s">
        <v>494</v>
      </c>
      <c r="B6" s="444"/>
      <c r="C6" s="444"/>
      <c r="D6" s="444"/>
      <c r="E6" s="444"/>
      <c r="F6" s="444"/>
      <c r="G6" s="446"/>
    </row>
    <row r="7" spans="1:7">
      <c r="A7" s="444" t="s">
        <v>207</v>
      </c>
      <c r="B7" s="444"/>
      <c r="C7" s="444"/>
      <c r="D7" s="444"/>
      <c r="E7" s="444"/>
      <c r="F7" s="444"/>
      <c r="G7" s="446"/>
    </row>
    <row r="8" spans="1:7">
      <c r="A8" s="296"/>
      <c r="B8" s="751"/>
      <c r="C8" s="751"/>
      <c r="D8" s="751"/>
      <c r="E8" s="751"/>
      <c r="F8" s="296"/>
      <c r="G8" s="296"/>
    </row>
    <row r="9" spans="1:7">
      <c r="A9" s="647" t="s">
        <v>208</v>
      </c>
      <c r="B9" s="296"/>
      <c r="C9" s="296"/>
      <c r="D9" s="296"/>
      <c r="E9" s="648"/>
      <c r="F9" s="296"/>
      <c r="G9" s="648"/>
    </row>
    <row r="10" spans="1:7">
      <c r="A10" s="752" t="s">
        <v>215</v>
      </c>
      <c r="B10" s="448" t="s">
        <v>216</v>
      </c>
      <c r="C10" s="448"/>
      <c r="D10" s="448"/>
      <c r="E10" s="447" t="s">
        <v>495</v>
      </c>
      <c r="F10" s="447" t="s">
        <v>221</v>
      </c>
      <c r="G10" s="447" t="s">
        <v>217</v>
      </c>
    </row>
    <row r="11" spans="1:7">
      <c r="A11" s="449"/>
      <c r="B11" s="329"/>
      <c r="C11" s="329"/>
      <c r="D11" s="329"/>
      <c r="E11" s="304"/>
      <c r="F11" s="304"/>
      <c r="G11" s="304"/>
    </row>
    <row r="12" spans="1:7">
      <c r="A12" s="449">
        <v>1</v>
      </c>
      <c r="B12" s="304" t="s">
        <v>496</v>
      </c>
      <c r="C12" s="304"/>
      <c r="D12" s="304"/>
      <c r="E12" s="753"/>
      <c r="F12" s="754"/>
      <c r="G12" s="753"/>
    </row>
    <row r="13" spans="1:7">
      <c r="A13" s="449">
        <f>+A12+1</f>
        <v>2</v>
      </c>
      <c r="B13" s="755" t="s">
        <v>497</v>
      </c>
      <c r="C13" s="329"/>
      <c r="D13" s="329"/>
      <c r="E13" s="756">
        <v>3120093</v>
      </c>
      <c r="F13" s="756">
        <v>3222432</v>
      </c>
      <c r="G13" s="756">
        <f>+F13-E13</f>
        <v>102339</v>
      </c>
    </row>
    <row r="14" spans="1:7">
      <c r="A14" s="449">
        <f t="shared" ref="A14:A28" si="0">+A13+1</f>
        <v>3</v>
      </c>
      <c r="B14" s="755" t="s">
        <v>498</v>
      </c>
      <c r="C14" s="329"/>
      <c r="D14" s="329"/>
      <c r="E14" s="757">
        <v>13571238</v>
      </c>
      <c r="F14" s="757">
        <v>14082490</v>
      </c>
      <c r="G14" s="758">
        <f t="shared" ref="G14:G20" si="1">+F14-E14</f>
        <v>511252</v>
      </c>
    </row>
    <row r="15" spans="1:7">
      <c r="A15" s="449">
        <f t="shared" si="0"/>
        <v>4</v>
      </c>
      <c r="B15" s="755" t="s">
        <v>499</v>
      </c>
      <c r="C15" s="329"/>
      <c r="D15" s="329"/>
      <c r="E15" s="757">
        <v>11343900</v>
      </c>
      <c r="F15" s="757">
        <v>11785109</v>
      </c>
      <c r="G15" s="758">
        <f t="shared" si="1"/>
        <v>441209</v>
      </c>
    </row>
    <row r="16" spans="1:7">
      <c r="A16" s="449">
        <f t="shared" si="0"/>
        <v>5</v>
      </c>
      <c r="B16" s="755" t="s">
        <v>500</v>
      </c>
      <c r="C16" s="329"/>
      <c r="D16" s="329"/>
      <c r="E16" s="757">
        <v>11993826</v>
      </c>
      <c r="F16" s="757">
        <v>12449531</v>
      </c>
      <c r="G16" s="758">
        <f t="shared" si="1"/>
        <v>455705</v>
      </c>
    </row>
    <row r="17" spans="1:7">
      <c r="A17" s="449">
        <f t="shared" si="0"/>
        <v>6</v>
      </c>
      <c r="B17" s="755" t="s">
        <v>501</v>
      </c>
      <c r="C17" s="329"/>
      <c r="D17" s="329"/>
      <c r="E17" s="757">
        <v>10174505</v>
      </c>
      <c r="F17" s="757">
        <v>10572969</v>
      </c>
      <c r="G17" s="758">
        <f t="shared" si="1"/>
        <v>398464</v>
      </c>
    </row>
    <row r="18" spans="1:7">
      <c r="A18" s="449">
        <f t="shared" si="0"/>
        <v>7</v>
      </c>
      <c r="B18" s="755" t="s">
        <v>502</v>
      </c>
      <c r="C18" s="329"/>
      <c r="D18" s="329"/>
      <c r="E18" s="757">
        <v>1279692</v>
      </c>
      <c r="F18" s="757">
        <v>1324348</v>
      </c>
      <c r="G18" s="758">
        <f t="shared" si="1"/>
        <v>44656</v>
      </c>
    </row>
    <row r="19" spans="1:7">
      <c r="A19" s="449">
        <f t="shared" si="0"/>
        <v>8</v>
      </c>
      <c r="B19" s="755" t="s">
        <v>503</v>
      </c>
      <c r="C19" s="329"/>
      <c r="D19" s="329"/>
      <c r="E19" s="757">
        <v>329849</v>
      </c>
      <c r="F19" s="757">
        <v>340650</v>
      </c>
      <c r="G19" s="758">
        <f t="shared" si="1"/>
        <v>10801</v>
      </c>
    </row>
    <row r="20" spans="1:7">
      <c r="A20" s="449">
        <f t="shared" si="0"/>
        <v>9</v>
      </c>
      <c r="B20" s="755" t="s">
        <v>504</v>
      </c>
      <c r="C20" s="329"/>
      <c r="D20" s="329"/>
      <c r="E20" s="759">
        <v>20978180</v>
      </c>
      <c r="F20" s="759">
        <v>21598171</v>
      </c>
      <c r="G20" s="760">
        <f t="shared" si="1"/>
        <v>619991</v>
      </c>
    </row>
    <row r="21" spans="1:7">
      <c r="A21" s="449">
        <f t="shared" si="0"/>
        <v>10</v>
      </c>
      <c r="B21" s="329" t="s">
        <v>505</v>
      </c>
      <c r="C21" s="329"/>
      <c r="D21" s="329"/>
      <c r="E21" s="757">
        <f>SUM(E12:E20)</f>
        <v>72791283</v>
      </c>
      <c r="F21" s="757">
        <f>SUM(F12:F20)</f>
        <v>75375700</v>
      </c>
      <c r="G21" s="757">
        <f>SUM(G12:G20)</f>
        <v>2584417</v>
      </c>
    </row>
    <row r="22" spans="1:7">
      <c r="A22" s="449">
        <f t="shared" si="0"/>
        <v>11</v>
      </c>
      <c r="B22" s="304"/>
      <c r="C22" s="304"/>
      <c r="D22" s="304"/>
      <c r="E22" s="757"/>
      <c r="F22" s="757"/>
      <c r="G22" s="757"/>
    </row>
    <row r="23" spans="1:7">
      <c r="A23" s="449">
        <f t="shared" si="0"/>
        <v>12</v>
      </c>
      <c r="B23" s="329" t="s">
        <v>506</v>
      </c>
      <c r="C23" s="761"/>
      <c r="D23" s="329"/>
      <c r="E23" s="759">
        <v>6333220.2272862205</v>
      </c>
      <c r="F23" s="759">
        <v>6509379</v>
      </c>
      <c r="G23" s="759">
        <f>+F23-E23</f>
        <v>176158.77271377947</v>
      </c>
    </row>
    <row r="24" spans="1:7">
      <c r="A24" s="449">
        <f t="shared" si="0"/>
        <v>13</v>
      </c>
      <c r="B24" s="329" t="s">
        <v>507</v>
      </c>
      <c r="C24" s="329"/>
      <c r="D24" s="329"/>
      <c r="E24" s="762">
        <f>+E23+E21</f>
        <v>79124503.22728622</v>
      </c>
      <c r="F24" s="762">
        <f>+F23+F21</f>
        <v>81885079</v>
      </c>
      <c r="G24" s="756">
        <f>SUM(G21:G23)</f>
        <v>2760575.7727137795</v>
      </c>
    </row>
    <row r="25" spans="1:7">
      <c r="A25" s="449">
        <f t="shared" si="0"/>
        <v>14</v>
      </c>
      <c r="B25" s="329"/>
      <c r="C25" s="329"/>
      <c r="D25" s="329"/>
      <c r="E25" s="753"/>
      <c r="F25" s="753"/>
      <c r="G25" s="753"/>
    </row>
    <row r="26" spans="1:7">
      <c r="A26" s="449">
        <f t="shared" si="0"/>
        <v>15</v>
      </c>
      <c r="B26" s="763" t="s">
        <v>490</v>
      </c>
      <c r="C26" s="763"/>
      <c r="D26" s="763"/>
      <c r="E26" s="764"/>
      <c r="F26" s="764"/>
      <c r="G26" s="765">
        <f>+G24</f>
        <v>2760575.7727137795</v>
      </c>
    </row>
    <row r="27" spans="1:7">
      <c r="A27" s="449">
        <f t="shared" si="0"/>
        <v>16</v>
      </c>
      <c r="B27" s="329" t="s">
        <v>487</v>
      </c>
      <c r="C27" s="329"/>
      <c r="D27" s="329"/>
      <c r="E27" s="753"/>
      <c r="F27" s="753"/>
      <c r="G27" s="753">
        <f>-G26*0.35</f>
        <v>-966201.52044982277</v>
      </c>
    </row>
    <row r="28" spans="1:7" ht="16.5" thickBot="1">
      <c r="A28" s="449">
        <f t="shared" si="0"/>
        <v>17</v>
      </c>
      <c r="B28" s="329" t="s">
        <v>240</v>
      </c>
      <c r="C28" s="329"/>
      <c r="D28" s="329"/>
      <c r="E28" s="304"/>
      <c r="F28" s="304"/>
      <c r="G28" s="766">
        <f>-G26-G27</f>
        <v>-1794374.2522639567</v>
      </c>
    </row>
    <row r="29" spans="1:7" ht="16.5" thickTop="1">
      <c r="A29" s="304"/>
      <c r="B29" s="304"/>
      <c r="C29" s="304"/>
      <c r="D29" s="304"/>
      <c r="E29" s="304"/>
      <c r="F29" s="767"/>
      <c r="G29" s="767"/>
    </row>
  </sheetData>
  <pageMargins left="0.7" right="0.7" top="0.75" bottom="0.75" header="0.75" footer="0.3"/>
  <pageSetup scale="80" orientation="portrait" r:id="rId1"/>
  <headerFooter>
    <oddHeader>&amp;R&amp;"Times New Roman,Regular"&amp;12Exhibit KHB-2
Page 2.32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1"/>
  <sheetViews>
    <sheetView zoomScaleNormal="100" workbookViewId="0">
      <selection activeCell="B46" sqref="B46"/>
    </sheetView>
  </sheetViews>
  <sheetFormatPr defaultColWidth="9.140625" defaultRowHeight="15.75"/>
  <cols>
    <col min="1" max="1" width="7.42578125" style="2" customWidth="1"/>
    <col min="2" max="2" width="51.85546875" style="2" customWidth="1"/>
    <col min="3" max="3" width="10.7109375" style="2" customWidth="1"/>
    <col min="4" max="4" width="16.7109375" style="2" customWidth="1"/>
    <col min="5" max="5" width="16" style="2" customWidth="1"/>
    <col min="6" max="16384" width="9.140625" style="2"/>
  </cols>
  <sheetData>
    <row r="1" spans="1:5">
      <c r="A1" s="2" t="str">
        <f>CO</f>
        <v>Puget Sound Energy</v>
      </c>
    </row>
    <row r="2" spans="1:5">
      <c r="A2" s="2" t="str">
        <f>DOCKET</f>
        <v>Docket UE-090704/UG-090705</v>
      </c>
    </row>
    <row r="4" spans="1:5">
      <c r="A4" s="401" t="s">
        <v>509</v>
      </c>
      <c r="B4" s="402"/>
      <c r="C4" s="402"/>
      <c r="D4" s="402"/>
      <c r="E4" s="402"/>
    </row>
    <row r="5" spans="1:5">
      <c r="A5" s="402" t="s">
        <v>526</v>
      </c>
      <c r="B5" s="402"/>
      <c r="C5" s="402"/>
      <c r="D5" s="402"/>
      <c r="E5" s="204"/>
    </row>
    <row r="6" spans="1:5">
      <c r="A6" s="402" t="s">
        <v>204</v>
      </c>
      <c r="B6" s="402"/>
      <c r="C6" s="402"/>
      <c r="D6" s="402"/>
      <c r="E6" s="205"/>
    </row>
    <row r="7" spans="1:5">
      <c r="A7" s="401" t="s">
        <v>207</v>
      </c>
      <c r="B7" s="402"/>
      <c r="C7" s="402"/>
      <c r="D7" s="402"/>
      <c r="E7" s="205"/>
    </row>
    <row r="8" spans="1:5">
      <c r="A8" s="290"/>
      <c r="B8" s="403"/>
      <c r="C8" s="409"/>
      <c r="D8" s="409"/>
      <c r="E8" s="409"/>
    </row>
    <row r="9" spans="1:5">
      <c r="A9" s="289" t="s">
        <v>208</v>
      </c>
      <c r="B9" s="290"/>
      <c r="C9" s="290"/>
      <c r="D9" s="290"/>
      <c r="E9" s="404" t="s">
        <v>60</v>
      </c>
    </row>
    <row r="10" spans="1:5">
      <c r="A10" s="405" t="s">
        <v>215</v>
      </c>
      <c r="B10" s="410" t="s">
        <v>216</v>
      </c>
      <c r="C10" s="406"/>
      <c r="D10" s="406"/>
      <c r="E10" s="406" t="s">
        <v>219</v>
      </c>
    </row>
    <row r="11" spans="1:5">
      <c r="A11" s="407"/>
      <c r="B11" s="411"/>
      <c r="C11" s="386"/>
      <c r="D11" s="386"/>
      <c r="E11" s="385"/>
    </row>
    <row r="12" spans="1:5">
      <c r="A12" s="407">
        <v>1</v>
      </c>
      <c r="B12" s="412" t="s">
        <v>510</v>
      </c>
      <c r="C12" s="291"/>
      <c r="D12" s="291"/>
      <c r="E12" s="413"/>
    </row>
    <row r="13" spans="1:5">
      <c r="A13" s="407">
        <f t="shared" ref="A13:A39" si="0">A12+1</f>
        <v>2</v>
      </c>
      <c r="B13" s="294" t="s">
        <v>511</v>
      </c>
      <c r="C13" s="407"/>
      <c r="D13" s="414">
        <v>4283707</v>
      </c>
      <c r="E13"/>
    </row>
    <row r="14" spans="1:5">
      <c r="A14" s="407">
        <f t="shared" si="0"/>
        <v>3</v>
      </c>
      <c r="B14" s="291" t="s">
        <v>512</v>
      </c>
      <c r="C14" s="415">
        <v>3.2800000000000003E-2</v>
      </c>
      <c r="D14" s="416">
        <f>+D13*C14</f>
        <v>140505.58960000001</v>
      </c>
      <c r="E14" s="417"/>
    </row>
    <row r="15" spans="1:5">
      <c r="A15" s="407">
        <f t="shared" si="0"/>
        <v>4</v>
      </c>
      <c r="B15" s="418" t="s">
        <v>513</v>
      </c>
      <c r="C15" s="407"/>
      <c r="D15" s="407"/>
      <c r="E15" s="293">
        <f>SUM(D13:D14)</f>
        <v>4424212.5895999996</v>
      </c>
    </row>
    <row r="16" spans="1:5">
      <c r="A16" s="407">
        <f t="shared" si="0"/>
        <v>5</v>
      </c>
      <c r="B16" s="418"/>
      <c r="C16" s="407"/>
      <c r="D16" s="407"/>
      <c r="E16" s="293"/>
    </row>
    <row r="17" spans="1:5">
      <c r="A17" s="407">
        <f t="shared" si="0"/>
        <v>6</v>
      </c>
      <c r="B17" s="412" t="s">
        <v>514</v>
      </c>
      <c r="C17" s="419"/>
      <c r="D17" s="419"/>
      <c r="E17" s="293"/>
    </row>
    <row r="18" spans="1:5">
      <c r="A18" s="407">
        <f t="shared" si="0"/>
        <v>7</v>
      </c>
      <c r="B18" s="294" t="s">
        <v>515</v>
      </c>
      <c r="C18" s="407"/>
      <c r="D18" s="292">
        <v>114889</v>
      </c>
      <c r="E18" s="417"/>
    </row>
    <row r="19" spans="1:5">
      <c r="A19" s="407">
        <f t="shared" si="0"/>
        <v>8</v>
      </c>
      <c r="B19" s="291" t="s">
        <v>516</v>
      </c>
      <c r="C19" s="420">
        <v>0</v>
      </c>
      <c r="D19" s="416">
        <f>+D18*C19</f>
        <v>0</v>
      </c>
      <c r="E19" s="417"/>
    </row>
    <row r="20" spans="1:5">
      <c r="A20" s="407">
        <f t="shared" si="0"/>
        <v>9</v>
      </c>
      <c r="B20" s="418" t="s">
        <v>517</v>
      </c>
      <c r="C20" s="418"/>
      <c r="D20" s="418"/>
      <c r="E20" s="293">
        <f>SUM(D18:D19)</f>
        <v>114889</v>
      </c>
    </row>
    <row r="21" spans="1:5">
      <c r="A21" s="407">
        <f t="shared" si="0"/>
        <v>10</v>
      </c>
      <c r="B21" s="291"/>
      <c r="C21" s="291"/>
      <c r="D21" s="291"/>
      <c r="E21" s="293"/>
    </row>
    <row r="22" spans="1:5">
      <c r="A22" s="407">
        <f t="shared" si="0"/>
        <v>11</v>
      </c>
      <c r="B22" s="412" t="s">
        <v>518</v>
      </c>
      <c r="C22" s="419"/>
      <c r="D22" s="419"/>
      <c r="E22" s="293"/>
    </row>
    <row r="23" spans="1:5">
      <c r="A23" s="407">
        <f t="shared" si="0"/>
        <v>12</v>
      </c>
      <c r="B23" s="294" t="s">
        <v>515</v>
      </c>
      <c r="C23" s="407"/>
      <c r="D23" s="292">
        <v>1108036</v>
      </c>
      <c r="E23" s="417"/>
    </row>
    <row r="24" spans="1:5">
      <c r="A24" s="407">
        <f t="shared" si="0"/>
        <v>13</v>
      </c>
      <c r="B24" s="291" t="s">
        <v>516</v>
      </c>
      <c r="C24" s="420">
        <v>4.0899999999999999E-2</v>
      </c>
      <c r="D24" s="416">
        <f>+D23*C24</f>
        <v>45318.672399999996</v>
      </c>
      <c r="E24" s="417"/>
    </row>
    <row r="25" spans="1:5">
      <c r="A25" s="407">
        <f t="shared" si="0"/>
        <v>14</v>
      </c>
      <c r="B25" s="418" t="s">
        <v>517</v>
      </c>
      <c r="C25" s="418"/>
      <c r="D25" s="418"/>
      <c r="E25" s="293">
        <f>SUM(D23:D24)</f>
        <v>1153354.6724</v>
      </c>
    </row>
    <row r="26" spans="1:5">
      <c r="A26" s="407">
        <f t="shared" si="0"/>
        <v>15</v>
      </c>
      <c r="B26" s="291"/>
      <c r="C26" s="291"/>
      <c r="D26" s="291"/>
      <c r="E26" s="293"/>
    </row>
    <row r="27" spans="1:5">
      <c r="A27" s="407">
        <f t="shared" si="0"/>
        <v>16</v>
      </c>
      <c r="B27" s="412" t="s">
        <v>519</v>
      </c>
      <c r="C27" s="419"/>
      <c r="D27" s="419"/>
      <c r="E27" s="293"/>
    </row>
    <row r="28" spans="1:5">
      <c r="A28" s="407">
        <f t="shared" si="0"/>
        <v>17</v>
      </c>
      <c r="B28" s="294" t="s">
        <v>520</v>
      </c>
      <c r="C28" s="407"/>
      <c r="D28" s="292">
        <v>849857</v>
      </c>
      <c r="E28" s="417"/>
    </row>
    <row r="29" spans="1:5">
      <c r="A29" s="407">
        <f t="shared" si="0"/>
        <v>18</v>
      </c>
      <c r="B29" s="291" t="s">
        <v>521</v>
      </c>
      <c r="C29" s="420">
        <v>5.3199999999999997E-2</v>
      </c>
      <c r="D29" s="416">
        <f>+D28*C29</f>
        <v>45212.392399999997</v>
      </c>
      <c r="E29" s="417"/>
    </row>
    <row r="30" spans="1:5">
      <c r="A30" s="407">
        <f t="shared" si="0"/>
        <v>19</v>
      </c>
      <c r="B30" s="418" t="s">
        <v>522</v>
      </c>
      <c r="C30" s="418"/>
      <c r="D30" s="418"/>
      <c r="E30" s="293">
        <f>SUM(D28:D29)</f>
        <v>895069.39240000001</v>
      </c>
    </row>
    <row r="31" spans="1:5">
      <c r="A31" s="407">
        <f t="shared" si="0"/>
        <v>20</v>
      </c>
      <c r="B31" s="291"/>
      <c r="C31" s="291"/>
      <c r="D31" s="291"/>
      <c r="E31" s="421"/>
    </row>
    <row r="32" spans="1:5">
      <c r="A32" s="407">
        <f t="shared" si="0"/>
        <v>21</v>
      </c>
      <c r="B32" s="422" t="s">
        <v>226</v>
      </c>
      <c r="C32" s="423"/>
      <c r="D32" s="423"/>
      <c r="E32" s="424"/>
    </row>
    <row r="33" spans="1:5">
      <c r="A33" s="407">
        <f t="shared" si="0"/>
        <v>22</v>
      </c>
      <c r="B33" s="425" t="s">
        <v>523</v>
      </c>
      <c r="C33" s="407"/>
      <c r="D33" s="407"/>
      <c r="E33" s="292">
        <f>+E15+E20+E30+E25</f>
        <v>6587525.6544000003</v>
      </c>
    </row>
    <row r="34" spans="1:5">
      <c r="A34" s="407">
        <f t="shared" si="0"/>
        <v>23</v>
      </c>
      <c r="B34" s="425" t="s">
        <v>524</v>
      </c>
      <c r="C34" s="415">
        <v>0.59399999999999997</v>
      </c>
      <c r="D34" s="415"/>
      <c r="E34" s="292">
        <f>+E33*C34</f>
        <v>3912990.2387136002</v>
      </c>
    </row>
    <row r="35" spans="1:5">
      <c r="A35" s="407">
        <f t="shared" si="0"/>
        <v>24</v>
      </c>
      <c r="B35" s="294" t="s">
        <v>525</v>
      </c>
      <c r="C35" s="279"/>
      <c r="D35" s="279"/>
      <c r="E35" s="416">
        <f>(+D13+D18+D28+D23)*C34</f>
        <v>3775754.466</v>
      </c>
    </row>
    <row r="36" spans="1:5">
      <c r="A36" s="407">
        <f t="shared" si="0"/>
        <v>25</v>
      </c>
      <c r="B36" s="408" t="s">
        <v>249</v>
      </c>
      <c r="C36" s="426"/>
      <c r="D36" s="426"/>
      <c r="E36" s="427">
        <f>E34-E35</f>
        <v>137235.77271360019</v>
      </c>
    </row>
    <row r="37" spans="1:5">
      <c r="A37" s="407">
        <f t="shared" si="0"/>
        <v>26</v>
      </c>
      <c r="B37" s="291"/>
      <c r="C37" s="407"/>
      <c r="D37" s="407"/>
      <c r="E37" s="292"/>
    </row>
    <row r="38" spans="1:5">
      <c r="A38" s="407">
        <f t="shared" si="0"/>
        <v>27</v>
      </c>
      <c r="B38" s="294" t="s">
        <v>259</v>
      </c>
      <c r="C38" s="279">
        <v>0.35</v>
      </c>
      <c r="D38" s="279"/>
      <c r="E38" s="428">
        <f>ROUND(-E36*C38,0)</f>
        <v>-48033</v>
      </c>
    </row>
    <row r="39" spans="1:5" ht="16.5" thickBot="1">
      <c r="A39" s="407">
        <f t="shared" si="0"/>
        <v>28</v>
      </c>
      <c r="B39" s="294" t="s">
        <v>240</v>
      </c>
      <c r="C39" s="407"/>
      <c r="D39" s="407"/>
      <c r="E39" s="429">
        <f>-E36-E38</f>
        <v>-89202.772713600192</v>
      </c>
    </row>
    <row r="40" spans="1:5" ht="16.5" thickTop="1">
      <c r="A40" s="291"/>
      <c r="B40" s="291"/>
      <c r="C40" s="291"/>
      <c r="D40" s="291"/>
      <c r="E40" s="430"/>
    </row>
    <row r="41" spans="1:5">
      <c r="A41"/>
      <c r="B41"/>
      <c r="C41"/>
      <c r="D41"/>
      <c r="E41" s="431"/>
    </row>
  </sheetData>
  <pageMargins left="0.7" right="0.7" top="0.75" bottom="0.75" header="0.75" footer="0.3"/>
  <pageSetup scale="88" orientation="portrait" r:id="rId1"/>
  <headerFooter>
    <oddHeader>&amp;R&amp;"Times New Roman,Regular"&amp;12Exhibit KHB-2
Page 2.33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1"/>
  <sheetViews>
    <sheetView zoomScaleNormal="100" workbookViewId="0">
      <selection activeCell="B46" sqref="B46"/>
    </sheetView>
  </sheetViews>
  <sheetFormatPr defaultColWidth="9.140625" defaultRowHeight="15.75"/>
  <cols>
    <col min="1" max="1" width="7.42578125" style="2" customWidth="1"/>
    <col min="2" max="2" width="54.85546875" style="2" customWidth="1"/>
    <col min="3" max="3" width="14.140625" style="2" customWidth="1"/>
    <col min="4" max="4" width="5.7109375" style="2" customWidth="1"/>
    <col min="5" max="5" width="18" style="2" customWidth="1"/>
    <col min="6" max="16384" width="9.140625" style="2"/>
  </cols>
  <sheetData>
    <row r="1" spans="1:5">
      <c r="A1" s="2" t="str">
        <f>CO</f>
        <v>Puget Sound Energy</v>
      </c>
    </row>
    <row r="2" spans="1:5">
      <c r="A2" s="2" t="str">
        <f>DOCKET</f>
        <v>Docket UE-090704/UG-090705</v>
      </c>
    </row>
    <row r="4" spans="1:5">
      <c r="A4" s="885" t="s">
        <v>201</v>
      </c>
      <c r="B4" s="470"/>
      <c r="C4" s="470"/>
      <c r="D4" s="470"/>
      <c r="E4" s="470"/>
    </row>
    <row r="5" spans="1:5">
      <c r="A5" s="886" t="s">
        <v>533</v>
      </c>
      <c r="B5" s="470"/>
      <c r="C5" s="470"/>
      <c r="D5" s="470"/>
      <c r="E5" s="445"/>
    </row>
    <row r="6" spans="1:5">
      <c r="A6" s="886" t="s">
        <v>204</v>
      </c>
      <c r="B6" s="470"/>
      <c r="C6" s="470"/>
      <c r="D6" s="470"/>
      <c r="E6" s="446"/>
    </row>
    <row r="7" spans="1:5">
      <c r="A7" s="886" t="s">
        <v>205</v>
      </c>
      <c r="B7" s="470"/>
      <c r="C7" s="470"/>
      <c r="D7" s="470"/>
      <c r="E7" s="470"/>
    </row>
    <row r="8" spans="1:5">
      <c r="A8" s="886"/>
      <c r="B8" s="470"/>
      <c r="C8" s="470"/>
      <c r="D8" s="470"/>
      <c r="E8" s="470"/>
    </row>
    <row r="9" spans="1:5">
      <c r="A9" s="887"/>
      <c r="B9" s="888"/>
      <c r="C9" s="888"/>
      <c r="D9" s="889"/>
      <c r="E9" s="889"/>
    </row>
    <row r="10" spans="1:5">
      <c r="A10" s="709" t="s">
        <v>208</v>
      </c>
      <c r="B10" s="889"/>
      <c r="C10" s="889"/>
      <c r="D10" s="889"/>
      <c r="E10" s="889"/>
    </row>
    <row r="11" spans="1:5">
      <c r="A11" s="699" t="s">
        <v>215</v>
      </c>
      <c r="B11" s="890" t="s">
        <v>216</v>
      </c>
      <c r="C11" s="890"/>
      <c r="D11" s="699"/>
      <c r="E11" s="698" t="s">
        <v>219</v>
      </c>
    </row>
    <row r="12" spans="1:5">
      <c r="A12" s="740"/>
      <c r="B12" s="740"/>
      <c r="C12" s="740"/>
      <c r="D12" s="398"/>
      <c r="E12" s="398"/>
    </row>
    <row r="13" spans="1:5">
      <c r="A13" s="891">
        <v>1</v>
      </c>
      <c r="B13" s="892" t="s">
        <v>527</v>
      </c>
      <c r="C13" s="740"/>
      <c r="D13" s="893"/>
      <c r="E13" s="893"/>
    </row>
    <row r="14" spans="1:5">
      <c r="A14" s="891">
        <v>2</v>
      </c>
      <c r="B14" s="544" t="s">
        <v>528</v>
      </c>
      <c r="C14" s="544"/>
      <c r="D14" s="492"/>
      <c r="E14" s="894">
        <v>10156410</v>
      </c>
    </row>
    <row r="15" spans="1:5">
      <c r="A15" s="891">
        <v>3</v>
      </c>
      <c r="B15" s="544" t="s">
        <v>529</v>
      </c>
      <c r="C15" s="544"/>
      <c r="D15" s="492"/>
      <c r="E15" s="569">
        <v>9050475</v>
      </c>
    </row>
    <row r="16" spans="1:5">
      <c r="A16" s="891">
        <v>4</v>
      </c>
      <c r="B16" s="740" t="s">
        <v>530</v>
      </c>
      <c r="C16" s="740"/>
      <c r="D16" s="492"/>
      <c r="E16" s="268">
        <f>SUM(E14:E15)</f>
        <v>19206885</v>
      </c>
    </row>
    <row r="17" spans="1:5">
      <c r="A17" s="891">
        <v>5</v>
      </c>
      <c r="B17" s="740"/>
      <c r="C17" s="740"/>
      <c r="D17" s="492"/>
      <c r="E17" s="237"/>
    </row>
    <row r="18" spans="1:5">
      <c r="A18" s="891">
        <v>6</v>
      </c>
      <c r="B18" s="895" t="s">
        <v>531</v>
      </c>
      <c r="C18" s="196">
        <v>0.59399999999999997</v>
      </c>
      <c r="D18" s="740"/>
      <c r="E18" s="237">
        <f>ROUND(+C18*E16,0)</f>
        <v>11408890</v>
      </c>
    </row>
    <row r="19" spans="1:5">
      <c r="A19" s="891">
        <v>7</v>
      </c>
      <c r="B19" s="896" t="s">
        <v>532</v>
      </c>
      <c r="C19" s="544"/>
      <c r="D19" s="249"/>
      <c r="E19" s="237">
        <v>10217330</v>
      </c>
    </row>
    <row r="20" spans="1:5">
      <c r="A20" s="891">
        <v>8</v>
      </c>
      <c r="B20" s="740" t="s">
        <v>447</v>
      </c>
      <c r="C20" s="740"/>
      <c r="D20" s="740"/>
      <c r="E20" s="566">
        <f>E18-E19</f>
        <v>1191560</v>
      </c>
    </row>
    <row r="21" spans="1:5">
      <c r="A21" s="891">
        <v>9</v>
      </c>
      <c r="B21" s="740"/>
      <c r="C21" s="740"/>
      <c r="D21" s="740"/>
      <c r="E21" s="237"/>
    </row>
    <row r="22" spans="1:5">
      <c r="A22" s="891">
        <v>10</v>
      </c>
      <c r="B22" s="544" t="s">
        <v>248</v>
      </c>
      <c r="C22" s="249">
        <v>0.35</v>
      </c>
      <c r="D22" s="740"/>
      <c r="E22" s="241">
        <f>ROUND(-E20*C22,0)</f>
        <v>-417046</v>
      </c>
    </row>
    <row r="23" spans="1:5">
      <c r="A23" s="891">
        <v>11</v>
      </c>
      <c r="B23" s="740"/>
      <c r="C23" s="740"/>
      <c r="D23" s="740"/>
      <c r="E23" s="237"/>
    </row>
    <row r="24" spans="1:5" ht="16.5" thickBot="1">
      <c r="A24" s="891">
        <v>12</v>
      </c>
      <c r="B24" s="544" t="s">
        <v>258</v>
      </c>
      <c r="C24" s="544"/>
      <c r="D24" s="740"/>
      <c r="E24" s="355">
        <f>-E20-E22</f>
        <v>-774514</v>
      </c>
    </row>
    <row r="25" spans="1:5" ht="16.5" thickTop="1">
      <c r="A25" s="897"/>
      <c r="B25" s="897"/>
      <c r="C25" s="897"/>
      <c r="D25" s="897"/>
      <c r="E25" s="897"/>
    </row>
    <row r="26" spans="1:5">
      <c r="A26" s="266"/>
      <c r="B26" s="243"/>
      <c r="C26" s="243"/>
      <c r="D26" s="340"/>
    </row>
    <row r="27" spans="1:5">
      <c r="A27" s="266"/>
      <c r="B27" s="357"/>
      <c r="C27" s="243"/>
      <c r="D27" s="340"/>
    </row>
    <row r="28" spans="1:5">
      <c r="A28" s="266"/>
      <c r="B28" s="358"/>
      <c r="C28" s="243"/>
      <c r="D28" s="340"/>
    </row>
    <row r="29" spans="1:5">
      <c r="A29" s="266"/>
      <c r="B29" s="358"/>
      <c r="C29" s="243"/>
      <c r="D29" s="340"/>
    </row>
    <row r="30" spans="1:5">
      <c r="A30" s="266"/>
      <c r="B30" s="358"/>
      <c r="C30" s="243"/>
      <c r="D30" s="340"/>
    </row>
    <row r="31" spans="1:5">
      <c r="A31" s="266"/>
      <c r="B31" s="359"/>
      <c r="C31" s="243"/>
      <c r="D31" s="340"/>
    </row>
    <row r="32" spans="1:5">
      <c r="A32" s="266"/>
      <c r="B32" s="360"/>
      <c r="C32" s="243"/>
      <c r="D32" s="340"/>
    </row>
    <row r="33" spans="1:4">
      <c r="A33" s="266"/>
      <c r="B33" s="360"/>
      <c r="C33" s="243"/>
      <c r="D33" s="340"/>
    </row>
    <row r="34" spans="1:4">
      <c r="A34" s="266"/>
      <c r="B34" s="360"/>
      <c r="C34" s="243"/>
      <c r="D34" s="340"/>
    </row>
    <row r="35" spans="1:4">
      <c r="A35" s="266"/>
      <c r="B35" s="243"/>
      <c r="C35" s="243"/>
      <c r="D35" s="340"/>
    </row>
    <row r="36" spans="1:4">
      <c r="A36" s="266"/>
      <c r="B36" s="243"/>
      <c r="C36" s="243"/>
      <c r="D36" s="339"/>
    </row>
    <row r="37" spans="1:4">
      <c r="A37" s="266"/>
      <c r="B37" s="243"/>
      <c r="C37" s="243"/>
      <c r="D37" s="339"/>
    </row>
    <row r="38" spans="1:4">
      <c r="A38" s="266"/>
      <c r="B38" s="243"/>
      <c r="C38" s="243"/>
      <c r="D38" s="339"/>
    </row>
    <row r="39" spans="1:4">
      <c r="A39" s="266"/>
      <c r="B39" s="243"/>
      <c r="C39" s="243"/>
      <c r="D39" s="340"/>
    </row>
    <row r="40" spans="1:4">
      <c r="A40" s="243"/>
      <c r="B40" s="243"/>
      <c r="C40" s="243"/>
      <c r="D40" s="243"/>
    </row>
    <row r="41" spans="1:4">
      <c r="A41" s="18"/>
      <c r="B41" s="18"/>
      <c r="C41" s="18"/>
      <c r="D41" s="18"/>
    </row>
  </sheetData>
  <pageMargins left="0.7" right="0.7" top="0.75" bottom="0.75" header="0.75" footer="0.3"/>
  <pageSetup scale="90" orientation="portrait" r:id="rId1"/>
  <headerFooter>
    <oddHeader>&amp;R&amp;"Times New Roman,Regular"&amp;12Exhibit KHB-2
Page 2.34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1"/>
  <sheetViews>
    <sheetView zoomScaleNormal="100" workbookViewId="0">
      <selection activeCell="B46" sqref="B46"/>
    </sheetView>
  </sheetViews>
  <sheetFormatPr defaultColWidth="9.140625" defaultRowHeight="15.75"/>
  <cols>
    <col min="1" max="1" width="7.42578125" style="2" customWidth="1"/>
    <col min="2" max="2" width="42.42578125" style="2" customWidth="1"/>
    <col min="3" max="3" width="13.140625" style="2" customWidth="1"/>
    <col min="4" max="4" width="15.140625" style="2" customWidth="1"/>
    <col min="5" max="5" width="14.85546875" style="2" customWidth="1"/>
    <col min="6" max="16384" width="9.140625" style="2"/>
  </cols>
  <sheetData>
    <row r="1" spans="1:5">
      <c r="A1" s="2" t="str">
        <f>CO</f>
        <v>Puget Sound Energy</v>
      </c>
    </row>
    <row r="2" spans="1:5">
      <c r="A2" s="2" t="str">
        <f>DOCKET</f>
        <v>Docket UE-090704/UG-090705</v>
      </c>
    </row>
    <row r="4" spans="1:5">
      <c r="A4" s="202" t="s">
        <v>201</v>
      </c>
      <c r="B4" s="341"/>
      <c r="C4" s="341"/>
      <c r="D4" s="341"/>
      <c r="E4" s="341"/>
    </row>
    <row r="5" spans="1:5">
      <c r="A5" s="203" t="s">
        <v>809</v>
      </c>
      <c r="B5" s="341"/>
      <c r="C5" s="341"/>
      <c r="D5" s="341"/>
      <c r="E5" s="341"/>
    </row>
    <row r="6" spans="1:5">
      <c r="A6" s="203" t="str">
        <f>TY</f>
        <v>FOR THE TWELVE MONTHS ENDED DECEMBER 31, 2008</v>
      </c>
      <c r="B6" s="341"/>
      <c r="C6" s="341"/>
      <c r="D6" s="341"/>
      <c r="E6" s="341"/>
    </row>
    <row r="7" spans="1:5">
      <c r="A7" s="203" t="s">
        <v>205</v>
      </c>
      <c r="B7" s="341"/>
      <c r="C7" s="341"/>
      <c r="D7" s="341"/>
      <c r="E7" s="341"/>
    </row>
    <row r="8" spans="1:5">
      <c r="A8" s="200"/>
      <c r="B8" s="200"/>
      <c r="C8" s="200"/>
      <c r="D8" s="200"/>
      <c r="E8" s="200"/>
    </row>
    <row r="9" spans="1:5">
      <c r="A9" s="206" t="s">
        <v>208</v>
      </c>
      <c r="B9" s="200"/>
      <c r="C9" s="432"/>
      <c r="D9" s="206" t="s">
        <v>214</v>
      </c>
      <c r="E9" s="206"/>
    </row>
    <row r="10" spans="1:5">
      <c r="A10" s="208" t="s">
        <v>215</v>
      </c>
      <c r="B10" s="278" t="s">
        <v>216</v>
      </c>
      <c r="C10" s="433" t="s">
        <v>218</v>
      </c>
      <c r="D10" s="434" t="s">
        <v>470</v>
      </c>
      <c r="E10" s="207" t="s">
        <v>217</v>
      </c>
    </row>
    <row r="11" spans="1:5">
      <c r="A11" s="201"/>
      <c r="B11" s="201"/>
      <c r="C11" s="201"/>
      <c r="D11" s="201"/>
      <c r="E11" s="211"/>
    </row>
    <row r="12" spans="1:5">
      <c r="A12" s="209">
        <v>1</v>
      </c>
      <c r="B12" s="435" t="s">
        <v>534</v>
      </c>
      <c r="C12" s="214"/>
      <c r="D12" s="214"/>
      <c r="E12" s="436"/>
    </row>
    <row r="13" spans="1:5">
      <c r="A13" s="209">
        <f t="shared" ref="A13:A29" si="0">A12+1</f>
        <v>2</v>
      </c>
      <c r="B13" s="400" t="s">
        <v>497</v>
      </c>
      <c r="C13" s="214">
        <v>291735</v>
      </c>
      <c r="D13" s="214">
        <v>221008</v>
      </c>
      <c r="E13" s="436">
        <f t="shared" ref="E13:E20" si="1">D13-C13</f>
        <v>-70727</v>
      </c>
    </row>
    <row r="14" spans="1:5">
      <c r="A14" s="209">
        <f t="shared" si="0"/>
        <v>3</v>
      </c>
      <c r="B14" s="400" t="s">
        <v>498</v>
      </c>
      <c r="C14" s="213">
        <v>1267586</v>
      </c>
      <c r="D14" s="213">
        <v>968916</v>
      </c>
      <c r="E14" s="213">
        <f t="shared" si="1"/>
        <v>-298670</v>
      </c>
    </row>
    <row r="15" spans="1:5">
      <c r="A15" s="209">
        <f t="shared" si="0"/>
        <v>4</v>
      </c>
      <c r="B15" s="400" t="s">
        <v>499</v>
      </c>
      <c r="C15" s="213">
        <v>1059495</v>
      </c>
      <c r="D15" s="213">
        <v>811571</v>
      </c>
      <c r="E15" s="213">
        <f t="shared" si="1"/>
        <v>-247924</v>
      </c>
    </row>
    <row r="16" spans="1:5">
      <c r="A16" s="209">
        <f t="shared" si="0"/>
        <v>5</v>
      </c>
      <c r="B16" s="400" t="s">
        <v>500</v>
      </c>
      <c r="C16" s="213">
        <v>1120699</v>
      </c>
      <c r="D16" s="213">
        <v>856601</v>
      </c>
      <c r="E16" s="213">
        <f t="shared" si="1"/>
        <v>-264098</v>
      </c>
    </row>
    <row r="17" spans="1:5">
      <c r="A17" s="209">
        <f t="shared" si="0"/>
        <v>6</v>
      </c>
      <c r="B17" s="400" t="s">
        <v>501</v>
      </c>
      <c r="C17" s="213">
        <v>950690</v>
      </c>
      <c r="D17" s="213">
        <v>728240</v>
      </c>
      <c r="E17" s="213">
        <f t="shared" si="1"/>
        <v>-222450</v>
      </c>
    </row>
    <row r="18" spans="1:5">
      <c r="A18" s="209">
        <f t="shared" si="0"/>
        <v>7</v>
      </c>
      <c r="B18" s="400" t="s">
        <v>502</v>
      </c>
      <c r="C18" s="213">
        <v>119686</v>
      </c>
      <c r="D18" s="213">
        <v>91095</v>
      </c>
      <c r="E18" s="213">
        <f t="shared" si="1"/>
        <v>-28591</v>
      </c>
    </row>
    <row r="19" spans="1:5">
      <c r="A19" s="209">
        <f t="shared" si="0"/>
        <v>8</v>
      </c>
      <c r="B19" s="400" t="s">
        <v>503</v>
      </c>
      <c r="C19" s="213">
        <v>30602</v>
      </c>
      <c r="D19" s="213">
        <v>23291</v>
      </c>
      <c r="E19" s="213">
        <f t="shared" si="1"/>
        <v>-7311</v>
      </c>
    </row>
    <row r="20" spans="1:5">
      <c r="A20" s="209">
        <f t="shared" si="0"/>
        <v>9</v>
      </c>
      <c r="B20" s="400" t="s">
        <v>504</v>
      </c>
      <c r="C20" s="213">
        <v>1959863</v>
      </c>
      <c r="D20" s="213">
        <v>1475112</v>
      </c>
      <c r="E20" s="213">
        <f t="shared" si="1"/>
        <v>-484751</v>
      </c>
    </row>
    <row r="21" spans="1:5">
      <c r="A21" s="209">
        <f t="shared" si="0"/>
        <v>10</v>
      </c>
      <c r="B21" s="437" t="s">
        <v>535</v>
      </c>
      <c r="C21" s="438">
        <f>SUM(C13:C20)</f>
        <v>6800356</v>
      </c>
      <c r="D21" s="438">
        <f>SUM(D13:D20)</f>
        <v>5175834</v>
      </c>
      <c r="E21" s="438">
        <f>SUM(E13:E20)</f>
        <v>-1624522</v>
      </c>
    </row>
    <row r="22" spans="1:5">
      <c r="A22" s="209">
        <f t="shared" si="0"/>
        <v>11</v>
      </c>
      <c r="B22" s="384"/>
      <c r="C22" s="214"/>
      <c r="D22" s="214"/>
      <c r="E22" s="436"/>
    </row>
    <row r="23" spans="1:5">
      <c r="A23" s="209">
        <f t="shared" si="0"/>
        <v>12</v>
      </c>
      <c r="B23" s="384" t="s">
        <v>536</v>
      </c>
      <c r="C23" s="213">
        <v>528346</v>
      </c>
      <c r="D23" s="213">
        <v>402131</v>
      </c>
      <c r="E23" s="212">
        <f>D23-C23</f>
        <v>-126215</v>
      </c>
    </row>
    <row r="24" spans="1:5">
      <c r="A24" s="209">
        <f t="shared" si="0"/>
        <v>13</v>
      </c>
      <c r="B24" s="201" t="s">
        <v>454</v>
      </c>
      <c r="C24" s="439">
        <f>SUM(C21:C23)</f>
        <v>7328702</v>
      </c>
      <c r="D24" s="439">
        <f>SUM(D21:D23)</f>
        <v>5577965</v>
      </c>
      <c r="E24" s="439">
        <f>SUM(E21:E23)</f>
        <v>-1750737</v>
      </c>
    </row>
    <row r="25" spans="1:5">
      <c r="A25" s="209">
        <f t="shared" si="0"/>
        <v>14</v>
      </c>
      <c r="B25" s="201"/>
      <c r="C25" s="213"/>
      <c r="D25" s="213"/>
      <c r="E25" s="212"/>
    </row>
    <row r="26" spans="1:5">
      <c r="A26" s="209">
        <f t="shared" si="0"/>
        <v>15</v>
      </c>
      <c r="B26" s="201" t="s">
        <v>490</v>
      </c>
      <c r="C26" s="213"/>
      <c r="D26" s="213"/>
      <c r="E26" s="212">
        <f>E24</f>
        <v>-1750737</v>
      </c>
    </row>
    <row r="27" spans="1:5">
      <c r="A27" s="209">
        <f t="shared" si="0"/>
        <v>16</v>
      </c>
      <c r="B27" s="201"/>
      <c r="C27" s="213"/>
      <c r="D27" s="213"/>
      <c r="E27" s="212"/>
    </row>
    <row r="28" spans="1:5">
      <c r="A28" s="209">
        <f t="shared" si="0"/>
        <v>17</v>
      </c>
      <c r="B28" s="210" t="s">
        <v>259</v>
      </c>
      <c r="C28" s="387"/>
      <c r="D28" s="217">
        <f>FIT</f>
        <v>0.35</v>
      </c>
      <c r="E28" s="216">
        <f>ROUND(-E26*D28,0)</f>
        <v>612758</v>
      </c>
    </row>
    <row r="29" spans="1:5" ht="16.5" thickBot="1">
      <c r="A29" s="209">
        <f t="shared" si="0"/>
        <v>18</v>
      </c>
      <c r="B29" s="210" t="s">
        <v>240</v>
      </c>
      <c r="C29" s="210"/>
      <c r="D29" s="201"/>
      <c r="E29" s="342">
        <f>-E26-E28</f>
        <v>1137979</v>
      </c>
    </row>
    <row r="30" spans="1:5" ht="16.5" thickTop="1">
      <c r="A30" s="266"/>
      <c r="B30" s="358"/>
      <c r="C30" s="243"/>
      <c r="D30" s="340"/>
    </row>
    <row r="31" spans="1:5">
      <c r="A31" s="266"/>
      <c r="B31" s="359"/>
      <c r="C31" s="243"/>
      <c r="D31" s="340"/>
    </row>
    <row r="32" spans="1:5">
      <c r="A32" s="266"/>
      <c r="B32" s="360"/>
      <c r="C32" s="243"/>
      <c r="D32" s="340"/>
    </row>
    <row r="33" spans="1:4">
      <c r="A33" s="266"/>
      <c r="B33" s="360"/>
      <c r="C33" s="243"/>
      <c r="D33" s="340"/>
    </row>
    <row r="34" spans="1:4">
      <c r="A34" s="266"/>
      <c r="B34" s="360"/>
      <c r="C34" s="243"/>
      <c r="D34" s="340"/>
    </row>
    <row r="35" spans="1:4">
      <c r="A35" s="266"/>
      <c r="B35" s="243"/>
      <c r="C35" s="243"/>
      <c r="D35" s="340"/>
    </row>
    <row r="36" spans="1:4">
      <c r="A36" s="266"/>
      <c r="B36" s="243"/>
      <c r="C36" s="243"/>
      <c r="D36" s="339"/>
    </row>
    <row r="37" spans="1:4">
      <c r="A37" s="266"/>
      <c r="B37" s="243"/>
      <c r="C37" s="243"/>
      <c r="D37" s="339"/>
    </row>
    <row r="38" spans="1:4">
      <c r="A38" s="266"/>
      <c r="B38" s="243"/>
      <c r="C38" s="243"/>
      <c r="D38" s="339"/>
    </row>
    <row r="39" spans="1:4">
      <c r="A39" s="266"/>
      <c r="B39" s="243"/>
      <c r="C39" s="243"/>
      <c r="D39" s="340"/>
    </row>
    <row r="40" spans="1:4">
      <c r="A40" s="243"/>
      <c r="B40" s="243"/>
      <c r="C40" s="243"/>
      <c r="D40" s="243"/>
    </row>
    <row r="41" spans="1:4">
      <c r="A41" s="18"/>
      <c r="B41" s="18"/>
      <c r="C41" s="18"/>
      <c r="D41" s="18"/>
    </row>
  </sheetData>
  <pageMargins left="0.7" right="0.7" top="0.75" bottom="0.75" header="0.75" footer="0.3"/>
  <pageSetup scale="97" orientation="portrait" r:id="rId1"/>
  <headerFooter>
    <oddHeader>&amp;R&amp;"Times New Roman,Regular"&amp;12Exhibit KHB-2
Page 2.26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1"/>
  <sheetViews>
    <sheetView topLeftCell="A5" zoomScaleNormal="100" workbookViewId="0">
      <selection activeCell="B46" sqref="B46"/>
    </sheetView>
  </sheetViews>
  <sheetFormatPr defaultColWidth="9.140625" defaultRowHeight="15.75"/>
  <cols>
    <col min="1" max="1" width="7.42578125" style="2" customWidth="1"/>
    <col min="2" max="2" width="41.28515625" style="2" customWidth="1"/>
    <col min="3" max="3" width="13.28515625" style="2" customWidth="1"/>
    <col min="4" max="4" width="12" style="2" customWidth="1"/>
    <col min="5" max="5" width="14.7109375" style="2" customWidth="1"/>
    <col min="6" max="16384" width="9.140625" style="2"/>
  </cols>
  <sheetData>
    <row r="1" spans="1:5">
      <c r="A1" s="2" t="str">
        <f>CO</f>
        <v>Puget Sound Energy</v>
      </c>
    </row>
    <row r="2" spans="1:5">
      <c r="A2" s="2" t="str">
        <f>DOCKET</f>
        <v>Docket UE-090704/UG-090705</v>
      </c>
    </row>
    <row r="4" spans="1:5">
      <c r="A4" s="218" t="s">
        <v>201</v>
      </c>
      <c r="B4" s="219"/>
      <c r="C4" s="219"/>
      <c r="D4" s="219"/>
      <c r="E4" s="219"/>
    </row>
    <row r="5" spans="1:5">
      <c r="A5" s="219" t="s">
        <v>540</v>
      </c>
      <c r="B5" s="219"/>
      <c r="C5" s="219"/>
      <c r="D5" s="219"/>
      <c r="E5" s="219"/>
    </row>
    <row r="6" spans="1:5">
      <c r="A6" s="219" t="str">
        <f>TY</f>
        <v>FOR THE TWELVE MONTHS ENDED DECEMBER 31, 2008</v>
      </c>
      <c r="B6" s="219"/>
      <c r="C6" s="219"/>
      <c r="D6" s="219"/>
      <c r="E6" s="219"/>
    </row>
    <row r="7" spans="1:5">
      <c r="A7" s="218" t="s">
        <v>205</v>
      </c>
      <c r="B7" s="219"/>
      <c r="C7" s="219"/>
      <c r="D7" s="219"/>
      <c r="E7" s="219"/>
    </row>
    <row r="8" spans="1:5">
      <c r="A8" s="220"/>
      <c r="B8" s="223"/>
      <c r="C8" s="223"/>
      <c r="D8" s="223"/>
      <c r="E8" s="220"/>
    </row>
    <row r="9" spans="1:5">
      <c r="A9" s="225" t="s">
        <v>208</v>
      </c>
      <c r="B9" s="223"/>
      <c r="C9" s="849"/>
      <c r="D9" s="225"/>
      <c r="E9" s="225"/>
    </row>
    <row r="10" spans="1:5">
      <c r="A10" s="228" t="s">
        <v>215</v>
      </c>
      <c r="B10" s="227" t="s">
        <v>216</v>
      </c>
      <c r="C10" s="850" t="s">
        <v>218</v>
      </c>
      <c r="D10" s="228" t="s">
        <v>214</v>
      </c>
      <c r="E10" s="228" t="s">
        <v>217</v>
      </c>
    </row>
    <row r="11" spans="1:5">
      <c r="A11" s="231">
        <v>1</v>
      </c>
      <c r="B11" s="232"/>
      <c r="C11" s="232"/>
      <c r="D11" s="232"/>
      <c r="E11" s="232"/>
    </row>
    <row r="12" spans="1:5">
      <c r="A12" s="231">
        <f t="shared" ref="A12:A22" si="0">A11+1</f>
        <v>2</v>
      </c>
      <c r="B12" s="232" t="s">
        <v>538</v>
      </c>
      <c r="C12" s="240"/>
      <c r="D12" s="177"/>
      <c r="E12" s="240"/>
    </row>
    <row r="13" spans="1:5">
      <c r="A13" s="231">
        <f t="shared" si="0"/>
        <v>3</v>
      </c>
      <c r="B13" s="232" t="s">
        <v>537</v>
      </c>
      <c r="C13" s="252">
        <v>874205</v>
      </c>
      <c r="D13" s="73">
        <v>0</v>
      </c>
      <c r="E13" s="237">
        <f>D13-C13</f>
        <v>-874205</v>
      </c>
    </row>
    <row r="14" spans="1:5">
      <c r="A14" s="231">
        <f t="shared" si="0"/>
        <v>4</v>
      </c>
      <c r="B14" s="236" t="s">
        <v>454</v>
      </c>
      <c r="C14" s="173">
        <f>SUM(C12:C13)</f>
        <v>874205</v>
      </c>
      <c r="D14" s="173">
        <f>SUM(D12:D13)</f>
        <v>0</v>
      </c>
      <c r="E14" s="173">
        <f>SUM(E12:E13)</f>
        <v>-874205</v>
      </c>
    </row>
    <row r="15" spans="1:5">
      <c r="A15" s="231">
        <f t="shared" si="0"/>
        <v>5</v>
      </c>
      <c r="B15" s="236"/>
      <c r="C15" s="268"/>
      <c r="D15" s="268"/>
      <c r="E15" s="268"/>
    </row>
    <row r="16" spans="1:5">
      <c r="A16" s="231">
        <f t="shared" si="0"/>
        <v>6</v>
      </c>
      <c r="B16" s="232" t="s">
        <v>539</v>
      </c>
      <c r="C16" s="493"/>
      <c r="D16" s="493"/>
      <c r="E16" s="268">
        <f>E14</f>
        <v>-874205</v>
      </c>
    </row>
    <row r="17" spans="1:5">
      <c r="A17" s="231">
        <f t="shared" si="0"/>
        <v>7</v>
      </c>
      <c r="B17" s="232"/>
      <c r="C17" s="268"/>
      <c r="D17" s="268"/>
      <c r="E17" s="268"/>
    </row>
    <row r="18" spans="1:5">
      <c r="A18" s="231">
        <f t="shared" si="0"/>
        <v>8</v>
      </c>
      <c r="B18" s="236" t="s">
        <v>259</v>
      </c>
      <c r="C18" s="247"/>
      <c r="D18" s="174">
        <f>FIT</f>
        <v>0.35</v>
      </c>
      <c r="E18" s="241">
        <f>-E16*D18</f>
        <v>305971.75</v>
      </c>
    </row>
    <row r="19" spans="1:5">
      <c r="A19" s="231">
        <f t="shared" si="0"/>
        <v>9</v>
      </c>
      <c r="B19" s="236" t="s">
        <v>240</v>
      </c>
      <c r="C19" s="196"/>
      <c r="D19" s="196"/>
      <c r="E19" s="566"/>
    </row>
    <row r="20" spans="1:5" ht="16.5" thickBot="1">
      <c r="A20" s="231">
        <f t="shared" si="0"/>
        <v>10</v>
      </c>
      <c r="B20" s="232"/>
      <c r="C20" s="268"/>
      <c r="D20" s="268"/>
      <c r="E20" s="881">
        <f>-E16-E18</f>
        <v>568233.25</v>
      </c>
    </row>
    <row r="21" spans="1:5" ht="16.5" thickTop="1">
      <c r="A21" s="231">
        <f t="shared" si="0"/>
        <v>11</v>
      </c>
      <c r="B21" s="274"/>
      <c r="C21" s="274"/>
      <c r="D21" s="274"/>
      <c r="E21" s="274"/>
    </row>
    <row r="22" spans="1:5">
      <c r="A22" s="231">
        <f t="shared" si="0"/>
        <v>12</v>
      </c>
      <c r="B22" s="268"/>
      <c r="C22" s="268"/>
      <c r="D22" s="268"/>
      <c r="E22" s="268"/>
    </row>
    <row r="23" spans="1:5">
      <c r="A23" s="884"/>
      <c r="B23" s="243"/>
      <c r="C23" s="243"/>
      <c r="D23" s="340"/>
    </row>
    <row r="24" spans="1:5">
      <c r="A24" s="884"/>
      <c r="B24" s="243"/>
      <c r="C24" s="271"/>
      <c r="D24" s="340"/>
    </row>
    <row r="25" spans="1:5">
      <c r="A25" s="266"/>
      <c r="B25" s="243"/>
      <c r="C25" s="243"/>
      <c r="D25" s="340"/>
    </row>
    <row r="26" spans="1:5">
      <c r="A26" s="266"/>
      <c r="B26" s="243"/>
      <c r="C26" s="243"/>
      <c r="D26" s="340"/>
    </row>
    <row r="27" spans="1:5">
      <c r="A27" s="266"/>
      <c r="B27" s="357"/>
      <c r="C27" s="243"/>
      <c r="D27" s="340"/>
    </row>
    <row r="28" spans="1:5">
      <c r="A28" s="266"/>
      <c r="B28" s="358"/>
      <c r="C28" s="243"/>
      <c r="D28" s="340"/>
    </row>
    <row r="29" spans="1:5">
      <c r="A29" s="266"/>
      <c r="B29" s="358"/>
      <c r="C29" s="243"/>
      <c r="D29" s="340"/>
    </row>
    <row r="30" spans="1:5">
      <c r="A30" s="266"/>
      <c r="B30" s="358"/>
      <c r="C30" s="243"/>
      <c r="D30" s="340"/>
    </row>
    <row r="31" spans="1:5">
      <c r="A31" s="266"/>
      <c r="B31" s="359"/>
      <c r="C31" s="243"/>
      <c r="D31" s="340"/>
    </row>
    <row r="32" spans="1:5">
      <c r="A32" s="266"/>
      <c r="B32" s="360"/>
      <c r="C32" s="243"/>
      <c r="D32" s="340"/>
    </row>
    <row r="33" spans="1:4">
      <c r="A33" s="266"/>
      <c r="B33" s="360"/>
      <c r="C33" s="243"/>
      <c r="D33" s="340"/>
    </row>
    <row r="34" spans="1:4">
      <c r="A34" s="266"/>
      <c r="B34" s="360"/>
      <c r="C34" s="243"/>
      <c r="D34" s="340"/>
    </row>
    <row r="35" spans="1:4">
      <c r="A35" s="266"/>
      <c r="B35" s="243"/>
      <c r="C35" s="243"/>
      <c r="D35" s="340"/>
    </row>
    <row r="36" spans="1:4">
      <c r="A36" s="266"/>
      <c r="B36" s="243"/>
      <c r="C36" s="243"/>
      <c r="D36" s="339"/>
    </row>
    <row r="37" spans="1:4">
      <c r="A37" s="266"/>
      <c r="B37" s="243"/>
      <c r="C37" s="243"/>
      <c r="D37" s="339"/>
    </row>
    <row r="38" spans="1:4">
      <c r="A38" s="266"/>
      <c r="B38" s="243"/>
      <c r="C38" s="243"/>
      <c r="D38" s="339"/>
    </row>
    <row r="39" spans="1:4">
      <c r="A39" s="266"/>
      <c r="B39" s="243"/>
      <c r="C39" s="243"/>
      <c r="D39" s="340"/>
    </row>
    <row r="40" spans="1:4">
      <c r="A40" s="243"/>
      <c r="B40" s="243"/>
      <c r="C40" s="243"/>
      <c r="D40" s="243"/>
    </row>
    <row r="41" spans="1:4">
      <c r="A41" s="18"/>
      <c r="B41" s="18"/>
      <c r="C41" s="18"/>
      <c r="D41" s="18"/>
    </row>
  </sheetData>
  <pageMargins left="0.7" right="0.7" top="0.75" bottom="0.75" header="0.75" footer="0.3"/>
  <pageSetup scale="92" orientation="portrait" r:id="rId1"/>
  <headerFooter>
    <oddHeader xml:space="preserve">&amp;R&amp;"Times New Roman,Regular"&amp;12Exhibit KHB-2
Page 2.36
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zoomScaleNormal="100" workbookViewId="0">
      <selection activeCell="B46" sqref="B46"/>
    </sheetView>
  </sheetViews>
  <sheetFormatPr defaultColWidth="9.140625" defaultRowHeight="15.75"/>
  <cols>
    <col min="1" max="1" width="7.42578125" style="2" customWidth="1"/>
    <col min="2" max="2" width="51.5703125" style="2" customWidth="1"/>
    <col min="3" max="3" width="19" style="2" customWidth="1"/>
    <col min="4" max="4" width="12.42578125" style="2" customWidth="1"/>
    <col min="5" max="5" width="14.42578125" style="2" customWidth="1"/>
    <col min="6" max="6" width="14.7109375" style="2" customWidth="1"/>
    <col min="7" max="16384" width="9.140625" style="2"/>
  </cols>
  <sheetData>
    <row r="1" spans="1:6">
      <c r="A1" s="2" t="str">
        <f>CO</f>
        <v>Puget Sound Energy</v>
      </c>
    </row>
    <row r="2" spans="1:6">
      <c r="A2" s="2" t="str">
        <f>DOCKET</f>
        <v>Docket UE-090704/UG-090705</v>
      </c>
    </row>
    <row r="4" spans="1:6">
      <c r="A4" s="218" t="s">
        <v>201</v>
      </c>
      <c r="B4" s="219"/>
      <c r="C4" s="219"/>
      <c r="D4" s="219"/>
      <c r="E4" s="219"/>
      <c r="F4" s="219"/>
    </row>
    <row r="5" spans="1:6">
      <c r="A5" s="219" t="s">
        <v>568</v>
      </c>
      <c r="B5" s="219"/>
      <c r="C5" s="219"/>
      <c r="D5" s="219"/>
      <c r="E5" s="219"/>
      <c r="F5" s="219"/>
    </row>
    <row r="6" spans="1:6">
      <c r="A6" s="219" t="str">
        <f>TY</f>
        <v>FOR THE TWELVE MONTHS ENDED DECEMBER 31, 2008</v>
      </c>
      <c r="B6" s="219"/>
      <c r="C6" s="219"/>
      <c r="D6" s="219"/>
      <c r="E6" s="219"/>
      <c r="F6" s="219"/>
    </row>
    <row r="7" spans="1:6">
      <c r="A7" s="218" t="s">
        <v>205</v>
      </c>
      <c r="B7" s="219"/>
      <c r="C7" s="219"/>
      <c r="D7" s="219"/>
      <c r="E7" s="219"/>
      <c r="F7" s="219"/>
    </row>
    <row r="8" spans="1:6">
      <c r="A8" s="220"/>
      <c r="B8" s="223"/>
      <c r="C8" s="223"/>
      <c r="D8" s="223"/>
      <c r="E8" s="223"/>
      <c r="F8" s="220"/>
    </row>
    <row r="9" spans="1:6">
      <c r="A9" s="225" t="s">
        <v>208</v>
      </c>
      <c r="B9" s="223"/>
      <c r="C9" s="223"/>
      <c r="D9" s="223"/>
      <c r="E9" s="223"/>
      <c r="F9" s="222"/>
    </row>
    <row r="10" spans="1:6">
      <c r="A10" s="228" t="s">
        <v>215</v>
      </c>
      <c r="B10" s="227" t="s">
        <v>216</v>
      </c>
      <c r="C10" s="227"/>
      <c r="D10" s="227"/>
      <c r="E10" s="227"/>
      <c r="F10" s="226" t="s">
        <v>219</v>
      </c>
    </row>
    <row r="11" spans="1:6">
      <c r="A11" s="232"/>
      <c r="B11" s="232"/>
      <c r="C11" s="232"/>
      <c r="D11" s="232"/>
      <c r="E11" s="232"/>
      <c r="F11" s="232"/>
    </row>
    <row r="12" spans="1:6">
      <c r="A12" s="231">
        <v>1</v>
      </c>
      <c r="B12" s="472" t="s">
        <v>541</v>
      </c>
      <c r="C12" s="472"/>
      <c r="D12" s="473" t="s">
        <v>542</v>
      </c>
      <c r="E12" s="472" t="s">
        <v>543</v>
      </c>
      <c r="F12" s="472" t="s">
        <v>41</v>
      </c>
    </row>
    <row r="13" spans="1:6">
      <c r="A13" s="231">
        <f t="shared" ref="A13:A53" si="0">A12+1</f>
        <v>2</v>
      </c>
      <c r="B13" s="865" t="s">
        <v>544</v>
      </c>
      <c r="C13" s="269"/>
      <c r="D13" s="269"/>
      <c r="E13" s="269"/>
      <c r="F13" s="866"/>
    </row>
    <row r="14" spans="1:6">
      <c r="A14" s="231">
        <f t="shared" si="0"/>
        <v>3</v>
      </c>
      <c r="B14" s="239" t="s">
        <v>545</v>
      </c>
      <c r="C14" s="239"/>
      <c r="D14" s="867">
        <v>247140.25</v>
      </c>
      <c r="E14" s="867">
        <v>5658039.6499999966</v>
      </c>
      <c r="F14" s="868">
        <f t="shared" ref="F14:F19" si="1">SUM(D14+E14)</f>
        <v>5905179.8999999966</v>
      </c>
    </row>
    <row r="15" spans="1:6">
      <c r="A15" s="231">
        <f t="shared" si="0"/>
        <v>4</v>
      </c>
      <c r="B15" s="239" t="s">
        <v>546</v>
      </c>
      <c r="C15" s="239"/>
      <c r="D15" s="869">
        <v>-11318.689999999999</v>
      </c>
      <c r="E15" s="869">
        <v>9133971.3400000036</v>
      </c>
      <c r="F15" s="870">
        <f t="shared" si="1"/>
        <v>9122652.6500000041</v>
      </c>
    </row>
    <row r="16" spans="1:6">
      <c r="A16" s="231">
        <f t="shared" si="0"/>
        <v>5</v>
      </c>
      <c r="B16" s="239" t="s">
        <v>547</v>
      </c>
      <c r="C16" s="239"/>
      <c r="D16" s="869">
        <v>122467.67000000001</v>
      </c>
      <c r="E16" s="869">
        <v>3449455.5100000012</v>
      </c>
      <c r="F16" s="870">
        <f t="shared" si="1"/>
        <v>3571923.1800000011</v>
      </c>
    </row>
    <row r="17" spans="1:6">
      <c r="A17" s="231">
        <f t="shared" si="0"/>
        <v>6</v>
      </c>
      <c r="B17" s="239" t="s">
        <v>548</v>
      </c>
      <c r="C17" s="239"/>
      <c r="D17" s="869">
        <v>450747.91999999841</v>
      </c>
      <c r="E17" s="869">
        <v>10435721.230000012</v>
      </c>
      <c r="F17" s="870">
        <f t="shared" si="1"/>
        <v>10886469.15000001</v>
      </c>
    </row>
    <row r="18" spans="1:6">
      <c r="A18" s="231">
        <f t="shared" si="0"/>
        <v>7</v>
      </c>
      <c r="B18" s="239" t="s">
        <v>549</v>
      </c>
      <c r="C18" s="239"/>
      <c r="D18" s="869">
        <v>376352.91999999969</v>
      </c>
      <c r="E18" s="869">
        <v>8672798.4499999993</v>
      </c>
      <c r="F18" s="870">
        <f t="shared" si="1"/>
        <v>9049151.3699999992</v>
      </c>
    </row>
    <row r="19" spans="1:6">
      <c r="A19" s="231">
        <f t="shared" si="0"/>
        <v>8</v>
      </c>
      <c r="B19" s="239" t="s">
        <v>550</v>
      </c>
      <c r="C19" s="239"/>
      <c r="D19" s="683">
        <v>77335.219999999987</v>
      </c>
      <c r="E19" s="683">
        <v>9881617.6599999983</v>
      </c>
      <c r="F19" s="870">
        <f t="shared" si="1"/>
        <v>9958952.879999999</v>
      </c>
    </row>
    <row r="20" spans="1:6">
      <c r="A20" s="231">
        <f t="shared" si="0"/>
        <v>9</v>
      </c>
      <c r="B20" s="871" t="s">
        <v>551</v>
      </c>
      <c r="C20" s="871"/>
      <c r="D20" s="134">
        <f>SUM(D14:D19)</f>
        <v>1262725.2899999979</v>
      </c>
      <c r="E20" s="134">
        <f>SUM(E14:E19)</f>
        <v>47231603.840000004</v>
      </c>
      <c r="F20" s="872">
        <f>SUM(F14:F19)</f>
        <v>48494329.13000001</v>
      </c>
    </row>
    <row r="21" spans="1:6">
      <c r="A21" s="231">
        <f t="shared" si="0"/>
        <v>10</v>
      </c>
      <c r="B21" s="232"/>
      <c r="C21" s="232"/>
      <c r="D21" s="237"/>
      <c r="E21" s="237"/>
      <c r="F21" s="237"/>
    </row>
    <row r="22" spans="1:6">
      <c r="A22" s="231">
        <f t="shared" si="0"/>
        <v>11</v>
      </c>
      <c r="B22" s="232" t="s">
        <v>552</v>
      </c>
      <c r="C22" s="232"/>
      <c r="D22" s="73">
        <f>D20/6</f>
        <v>210454.21499999965</v>
      </c>
      <c r="E22" s="73">
        <f>E20/6</f>
        <v>7871933.9733333336</v>
      </c>
      <c r="F22" s="268">
        <f>+F20/6</f>
        <v>8082388.1883333353</v>
      </c>
    </row>
    <row r="23" spans="1:6">
      <c r="A23" s="231">
        <f t="shared" si="0"/>
        <v>12</v>
      </c>
      <c r="B23" s="232"/>
      <c r="C23" s="232"/>
      <c r="D23" s="237"/>
      <c r="E23" s="237"/>
      <c r="F23" s="237"/>
    </row>
    <row r="24" spans="1:6">
      <c r="A24" s="231">
        <f t="shared" si="0"/>
        <v>13</v>
      </c>
      <c r="B24" s="544" t="s">
        <v>553</v>
      </c>
      <c r="C24" s="544"/>
      <c r="D24" s="237"/>
      <c r="E24" s="237"/>
      <c r="F24" s="237"/>
    </row>
    <row r="25" spans="1:6">
      <c r="A25" s="231">
        <f t="shared" si="0"/>
        <v>14</v>
      </c>
      <c r="B25" s="873" t="s">
        <v>554</v>
      </c>
      <c r="C25" s="873"/>
      <c r="D25" s="569">
        <f>D19</f>
        <v>77335.219999999987</v>
      </c>
      <c r="E25" s="569">
        <f>E19</f>
        <v>9881617.6599999983</v>
      </c>
      <c r="F25" s="569">
        <f>F19</f>
        <v>9958952.879999999</v>
      </c>
    </row>
    <row r="26" spans="1:6">
      <c r="A26" s="231">
        <f t="shared" si="0"/>
        <v>15</v>
      </c>
      <c r="B26" s="232"/>
      <c r="C26" s="232"/>
      <c r="D26" s="237"/>
      <c r="E26" s="237"/>
      <c r="F26" s="237"/>
    </row>
    <row r="27" spans="1:6">
      <c r="A27" s="231">
        <f t="shared" si="0"/>
        <v>16</v>
      </c>
      <c r="B27" s="874" t="s">
        <v>490</v>
      </c>
      <c r="C27" s="874"/>
      <c r="D27" s="237">
        <f>D22-D25</f>
        <v>133118.99499999965</v>
      </c>
      <c r="E27" s="237">
        <f>E22-E25</f>
        <v>-2009683.6866666647</v>
      </c>
      <c r="F27" s="237">
        <f>F22-F25</f>
        <v>-1876564.6916666636</v>
      </c>
    </row>
    <row r="28" spans="1:6">
      <c r="A28" s="231">
        <f t="shared" si="0"/>
        <v>17</v>
      </c>
      <c r="B28" s="874"/>
      <c r="C28" s="874"/>
      <c r="D28" s="237"/>
      <c r="E28" s="237"/>
      <c r="F28" s="237"/>
    </row>
    <row r="29" spans="1:6">
      <c r="A29" s="231">
        <f t="shared" si="0"/>
        <v>18</v>
      </c>
      <c r="B29" s="232"/>
      <c r="C29" s="232"/>
      <c r="D29" s="237"/>
      <c r="E29" s="237"/>
      <c r="F29" s="237"/>
    </row>
    <row r="30" spans="1:6">
      <c r="A30" s="231">
        <f t="shared" si="0"/>
        <v>19</v>
      </c>
      <c r="B30" s="472" t="s">
        <v>555</v>
      </c>
      <c r="C30" s="472"/>
      <c r="D30" s="875"/>
      <c r="E30" s="875"/>
      <c r="F30" s="237"/>
    </row>
    <row r="31" spans="1:6">
      <c r="A31" s="231">
        <f t="shared" si="0"/>
        <v>20</v>
      </c>
      <c r="B31" s="269" t="s">
        <v>556</v>
      </c>
      <c r="C31" s="269"/>
      <c r="D31" s="876"/>
      <c r="E31" s="876"/>
      <c r="F31" s="237"/>
    </row>
    <row r="32" spans="1:6">
      <c r="A32" s="231">
        <f t="shared" si="0"/>
        <v>21</v>
      </c>
      <c r="B32" s="232" t="s">
        <v>557</v>
      </c>
      <c r="C32" s="232"/>
      <c r="D32" s="232"/>
      <c r="E32" s="232"/>
      <c r="F32" s="232"/>
    </row>
    <row r="33" spans="1:6">
      <c r="A33" s="231">
        <f t="shared" si="0"/>
        <v>22</v>
      </c>
      <c r="B33" s="877" t="s">
        <v>558</v>
      </c>
      <c r="C33" s="268">
        <v>17706790.033333346</v>
      </c>
      <c r="D33" s="232"/>
      <c r="E33" s="232"/>
      <c r="F33" s="232"/>
    </row>
    <row r="34" spans="1:6">
      <c r="A34" s="231">
        <f t="shared" si="0"/>
        <v>23</v>
      </c>
      <c r="B34" s="877" t="s">
        <v>559</v>
      </c>
      <c r="C34" s="268">
        <v>13794354.270000001</v>
      </c>
      <c r="D34" s="232"/>
      <c r="E34" s="232"/>
      <c r="F34" s="232"/>
    </row>
    <row r="35" spans="1:6">
      <c r="A35" s="231">
        <f t="shared" si="0"/>
        <v>24</v>
      </c>
      <c r="B35" s="877" t="s">
        <v>560</v>
      </c>
      <c r="C35" s="268">
        <v>1998778.99</v>
      </c>
      <c r="D35" s="232"/>
      <c r="E35" s="232"/>
      <c r="F35" s="232"/>
    </row>
    <row r="36" spans="1:6">
      <c r="A36" s="231">
        <f t="shared" si="0"/>
        <v>25</v>
      </c>
      <c r="B36" s="232" t="s">
        <v>226</v>
      </c>
      <c r="C36" s="566">
        <f>SUM(C33:C35)</f>
        <v>33499923.293333348</v>
      </c>
      <c r="D36" s="232"/>
      <c r="E36" s="232"/>
      <c r="F36" s="232"/>
    </row>
    <row r="37" spans="1:6">
      <c r="A37" s="231">
        <f t="shared" si="0"/>
        <v>26</v>
      </c>
      <c r="B37" s="740" t="s">
        <v>807</v>
      </c>
      <c r="C37" s="740"/>
      <c r="D37" s="268">
        <f>C36/4</f>
        <v>8374980.823333337</v>
      </c>
      <c r="E37" s="232"/>
      <c r="F37" s="484"/>
    </row>
    <row r="38" spans="1:6">
      <c r="A38" s="231">
        <f t="shared" si="0"/>
        <v>27</v>
      </c>
      <c r="B38" s="740"/>
      <c r="C38" s="740"/>
      <c r="D38" s="740"/>
      <c r="E38" s="232"/>
      <c r="F38" s="484"/>
    </row>
    <row r="39" spans="1:6">
      <c r="A39" s="231">
        <f t="shared" si="0"/>
        <v>28</v>
      </c>
      <c r="B39" s="269" t="s">
        <v>561</v>
      </c>
      <c r="C39" s="232"/>
      <c r="D39" s="232"/>
      <c r="E39" s="232"/>
      <c r="F39" s="232"/>
    </row>
    <row r="40" spans="1:6">
      <c r="A40" s="231">
        <f t="shared" si="0"/>
        <v>29</v>
      </c>
      <c r="B40" s="232" t="s">
        <v>557</v>
      </c>
      <c r="C40" s="232"/>
      <c r="D40" s="232"/>
      <c r="E40" s="232"/>
      <c r="F40" s="232"/>
    </row>
    <row r="41" spans="1:6">
      <c r="A41" s="231">
        <f t="shared" si="0"/>
        <v>30</v>
      </c>
      <c r="B41" s="878" t="s">
        <v>562</v>
      </c>
      <c r="C41" s="268">
        <v>68317669.193333298</v>
      </c>
      <c r="D41" s="232"/>
      <c r="E41" s="232"/>
      <c r="F41" s="232"/>
    </row>
    <row r="42" spans="1:6">
      <c r="A42" s="231">
        <f t="shared" si="0"/>
        <v>31</v>
      </c>
      <c r="B42" s="232" t="s">
        <v>226</v>
      </c>
      <c r="C42" s="566">
        <f>SUM(C41)</f>
        <v>68317669.193333298</v>
      </c>
      <c r="D42" s="232"/>
      <c r="E42" s="232"/>
      <c r="F42" s="232"/>
    </row>
    <row r="43" spans="1:6">
      <c r="A43" s="231">
        <f t="shared" si="0"/>
        <v>32</v>
      </c>
      <c r="B43" s="740" t="s">
        <v>808</v>
      </c>
      <c r="C43" s="740"/>
      <c r="D43" s="268">
        <f>C42/103*12</f>
        <v>7959340.1001941711</v>
      </c>
      <c r="E43" s="232"/>
      <c r="F43" s="484"/>
    </row>
    <row r="44" spans="1:6">
      <c r="A44" s="231">
        <f t="shared" si="0"/>
        <v>33</v>
      </c>
      <c r="B44" s="740" t="s">
        <v>563</v>
      </c>
      <c r="C44" s="740"/>
      <c r="D44" s="879"/>
      <c r="E44" s="73">
        <f>SUM(D37:D44)</f>
        <v>16334320.923527509</v>
      </c>
      <c r="F44" s="232"/>
    </row>
    <row r="45" spans="1:6">
      <c r="A45" s="231">
        <f>A44+1</f>
        <v>34</v>
      </c>
      <c r="B45" s="740" t="s">
        <v>564</v>
      </c>
      <c r="C45" s="740"/>
      <c r="D45" s="68"/>
      <c r="E45" s="569">
        <v>4956180.83</v>
      </c>
      <c r="F45" s="232"/>
    </row>
    <row r="46" spans="1:6">
      <c r="A46" s="231">
        <f t="shared" si="0"/>
        <v>35</v>
      </c>
      <c r="B46" s="232"/>
      <c r="C46" s="880"/>
      <c r="D46" s="740"/>
      <c r="E46" s="740"/>
      <c r="F46" s="232"/>
    </row>
    <row r="47" spans="1:6">
      <c r="A47" s="231">
        <f t="shared" si="0"/>
        <v>36</v>
      </c>
      <c r="B47" s="874" t="s">
        <v>565</v>
      </c>
      <c r="C47" s="874"/>
      <c r="D47" s="268">
        <f>D43-D45</f>
        <v>7959340.1001941711</v>
      </c>
      <c r="E47" s="740"/>
      <c r="F47" s="569">
        <f>D37+D43-E45</f>
        <v>11378140.093527509</v>
      </c>
    </row>
    <row r="48" spans="1:6">
      <c r="A48" s="231">
        <f t="shared" si="0"/>
        <v>37</v>
      </c>
      <c r="B48" s="740"/>
      <c r="C48" s="740"/>
      <c r="D48" s="484"/>
      <c r="E48" s="484"/>
      <c r="F48" s="232"/>
    </row>
    <row r="49" spans="1:6">
      <c r="A49" s="231">
        <f t="shared" si="0"/>
        <v>38</v>
      </c>
      <c r="B49" s="544" t="s">
        <v>566</v>
      </c>
      <c r="C49" s="544"/>
      <c r="D49" s="398"/>
      <c r="E49" s="398"/>
      <c r="F49" s="73">
        <f>F27+F47</f>
        <v>9501575.4018608443</v>
      </c>
    </row>
    <row r="50" spans="1:6">
      <c r="A50" s="231">
        <f t="shared" si="0"/>
        <v>39</v>
      </c>
      <c r="B50" s="484"/>
      <c r="C50" s="484"/>
      <c r="D50" s="484"/>
      <c r="E50" s="484"/>
      <c r="F50" s="484"/>
    </row>
    <row r="51" spans="1:6" ht="31.5">
      <c r="A51" s="231">
        <f t="shared" si="0"/>
        <v>40</v>
      </c>
      <c r="B51" s="484" t="s">
        <v>567</v>
      </c>
      <c r="C51" s="484"/>
      <c r="D51" s="243"/>
      <c r="E51" s="243"/>
      <c r="F51" s="569">
        <f>-F49*0.35</f>
        <v>-3325551.3906512954</v>
      </c>
    </row>
    <row r="52" spans="1:6">
      <c r="A52" s="231">
        <f t="shared" si="0"/>
        <v>41</v>
      </c>
      <c r="B52" s="484"/>
      <c r="C52" s="484"/>
      <c r="D52" s="268"/>
      <c r="E52" s="268"/>
      <c r="F52" s="484"/>
    </row>
    <row r="53" spans="1:6" ht="16.5" thickBot="1">
      <c r="A53" s="231">
        <f t="shared" si="0"/>
        <v>42</v>
      </c>
      <c r="B53" s="484" t="s">
        <v>240</v>
      </c>
      <c r="C53" s="484"/>
      <c r="D53" s="268"/>
      <c r="E53" s="268"/>
      <c r="F53" s="881">
        <f>-(F49+F51)</f>
        <v>-6176024.0112095494</v>
      </c>
    </row>
    <row r="54" spans="1:6" ht="16.5" thickTop="1">
      <c r="A54" s="231"/>
      <c r="B54" s="882"/>
      <c r="C54" s="882"/>
      <c r="D54" s="883"/>
      <c r="E54" s="883"/>
      <c r="F54" s="268"/>
    </row>
  </sheetData>
  <pageMargins left="0.7" right="0.7" top="0.75" bottom="0.75" header="0.75" footer="0.3"/>
  <pageSetup scale="75" orientation="portrait" r:id="rId1"/>
  <headerFooter>
    <oddHeader>&amp;R&amp;"Times New Roman,Regular"&amp;12Exhibit KHB-2
Page 2.37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3"/>
  <sheetViews>
    <sheetView zoomScaleNormal="100" workbookViewId="0">
      <selection activeCell="B46" sqref="B46"/>
    </sheetView>
  </sheetViews>
  <sheetFormatPr defaultColWidth="9.140625" defaultRowHeight="15.75"/>
  <cols>
    <col min="1" max="1" width="9.140625" style="2"/>
    <col min="2" max="2" width="62.140625" style="2" customWidth="1"/>
    <col min="3" max="3" width="15.28515625" style="2" customWidth="1"/>
    <col min="4" max="4" width="14.85546875" style="2" customWidth="1"/>
    <col min="5" max="5" width="15.7109375" style="2" customWidth="1"/>
    <col min="6" max="6" width="0" style="2" hidden="1" customWidth="1"/>
    <col min="7" max="16384" width="9.140625" style="2"/>
  </cols>
  <sheetData>
    <row r="1" spans="1:5">
      <c r="A1" s="2" t="str">
        <f>CO</f>
        <v>Puget Sound Energy</v>
      </c>
    </row>
    <row r="2" spans="1:5">
      <c r="A2" s="2" t="str">
        <f>DOCKET</f>
        <v>Docket UE-090704/UG-090705</v>
      </c>
    </row>
    <row r="4" spans="1:5">
      <c r="A4" s="146" t="s">
        <v>201</v>
      </c>
      <c r="B4" s="147"/>
      <c r="C4" s="148"/>
      <c r="D4" s="148"/>
      <c r="E4" s="148"/>
    </row>
    <row r="5" spans="1:5">
      <c r="A5" s="148" t="s">
        <v>800</v>
      </c>
      <c r="B5" s="148"/>
      <c r="C5" s="148"/>
      <c r="D5" s="148"/>
      <c r="E5" s="47"/>
    </row>
    <row r="6" spans="1:5">
      <c r="A6" s="149" t="s">
        <v>204</v>
      </c>
      <c r="B6" s="148"/>
      <c r="C6" s="148"/>
      <c r="D6" s="148"/>
      <c r="E6" s="48"/>
    </row>
    <row r="7" spans="1:5">
      <c r="A7" s="149" t="s">
        <v>207</v>
      </c>
      <c r="B7" s="148"/>
      <c r="C7" s="148"/>
      <c r="D7" s="148"/>
      <c r="E7" s="48"/>
    </row>
    <row r="8" spans="1:5">
      <c r="A8" s="150"/>
      <c r="B8" s="151"/>
      <c r="C8" s="150"/>
      <c r="D8" s="152"/>
      <c r="E8" s="150"/>
    </row>
    <row r="9" spans="1:5">
      <c r="A9" s="153" t="s">
        <v>208</v>
      </c>
      <c r="B9" s="150"/>
      <c r="C9" s="154" t="s">
        <v>209</v>
      </c>
      <c r="D9" s="154"/>
      <c r="E9" s="154"/>
    </row>
    <row r="10" spans="1:5">
      <c r="A10" s="155" t="s">
        <v>215</v>
      </c>
      <c r="B10" s="156" t="s">
        <v>216</v>
      </c>
      <c r="C10" s="155" t="s">
        <v>220</v>
      </c>
      <c r="D10" s="155" t="s">
        <v>221</v>
      </c>
      <c r="E10" s="155" t="s">
        <v>217</v>
      </c>
    </row>
    <row r="11" spans="1:5">
      <c r="A11" s="151"/>
      <c r="B11" s="151"/>
      <c r="C11" s="151"/>
      <c r="D11" s="151"/>
      <c r="E11" s="151"/>
    </row>
    <row r="12" spans="1:5">
      <c r="A12" s="57">
        <v>1</v>
      </c>
      <c r="B12" s="157" t="s">
        <v>235</v>
      </c>
      <c r="C12" s="158"/>
      <c r="D12" s="158"/>
      <c r="E12" s="158"/>
    </row>
    <row r="13" spans="1:5">
      <c r="A13" s="57">
        <f t="shared" ref="A13:A50" si="0">+A12+1</f>
        <v>2</v>
      </c>
      <c r="B13" s="88" t="s">
        <v>241</v>
      </c>
      <c r="C13" s="158">
        <v>360424.90749999997</v>
      </c>
      <c r="D13" s="158">
        <v>0</v>
      </c>
      <c r="E13" s="158">
        <f t="shared" ref="E13:E23" si="1">+D13-C13</f>
        <v>-360424.90749999997</v>
      </c>
    </row>
    <row r="14" spans="1:5">
      <c r="A14" s="57">
        <f t="shared" si="0"/>
        <v>3</v>
      </c>
      <c r="B14" s="88" t="s">
        <v>244</v>
      </c>
      <c r="C14" s="159">
        <v>118166087.33333333</v>
      </c>
      <c r="D14" s="159">
        <v>47565333.333333336</v>
      </c>
      <c r="E14" s="159">
        <f t="shared" si="1"/>
        <v>-70600754</v>
      </c>
    </row>
    <row r="15" spans="1:5">
      <c r="A15" s="57">
        <f t="shared" si="0"/>
        <v>4</v>
      </c>
      <c r="B15" s="88" t="s">
        <v>250</v>
      </c>
      <c r="C15" s="159">
        <v>21714195.093333341</v>
      </c>
      <c r="D15" s="159">
        <v>16211898.00999999</v>
      </c>
      <c r="E15" s="159">
        <f t="shared" si="1"/>
        <v>-5502297.0833333507</v>
      </c>
    </row>
    <row r="16" spans="1:5">
      <c r="A16" s="57">
        <f t="shared" si="0"/>
        <v>5</v>
      </c>
      <c r="B16" s="88" t="s">
        <v>254</v>
      </c>
      <c r="C16" s="159">
        <v>35059014.578749992</v>
      </c>
      <c r="D16" s="160">
        <v>30893115.254358869</v>
      </c>
      <c r="E16" s="160">
        <f t="shared" si="1"/>
        <v>-4165899.3243911229</v>
      </c>
    </row>
    <row r="17" spans="1:6">
      <c r="A17" s="57">
        <f t="shared" si="0"/>
        <v>6</v>
      </c>
      <c r="B17" s="88" t="s">
        <v>260</v>
      </c>
      <c r="C17" s="159">
        <v>19828325.963749994</v>
      </c>
      <c r="D17" s="160">
        <v>19459946.740000002</v>
      </c>
      <c r="E17" s="160">
        <f t="shared" si="1"/>
        <v>-368379.22374999151</v>
      </c>
    </row>
    <row r="18" spans="1:6">
      <c r="A18" s="57">
        <f t="shared" si="0"/>
        <v>7</v>
      </c>
      <c r="B18" s="88" t="s">
        <v>263</v>
      </c>
      <c r="C18" s="159">
        <v>0</v>
      </c>
      <c r="D18" s="160">
        <v>-16250000</v>
      </c>
      <c r="E18" s="160">
        <f t="shared" si="1"/>
        <v>-16250000</v>
      </c>
    </row>
    <row r="19" spans="1:6">
      <c r="A19" s="57">
        <f t="shared" si="0"/>
        <v>8</v>
      </c>
      <c r="B19" s="88" t="s">
        <v>266</v>
      </c>
      <c r="C19" s="159">
        <v>-319932.3125</v>
      </c>
      <c r="D19" s="159">
        <v>0</v>
      </c>
      <c r="E19" s="160">
        <f t="shared" si="1"/>
        <v>319932.3125</v>
      </c>
    </row>
    <row r="20" spans="1:6">
      <c r="A20" s="57">
        <f t="shared" si="0"/>
        <v>9</v>
      </c>
      <c r="B20" s="88" t="s">
        <v>270</v>
      </c>
      <c r="C20" s="159">
        <v>6017544.9212500006</v>
      </c>
      <c r="D20" s="159">
        <v>938031.71083333273</v>
      </c>
      <c r="E20" s="159">
        <f t="shared" si="1"/>
        <v>-5079513.2104166681</v>
      </c>
    </row>
    <row r="21" spans="1:6">
      <c r="A21" s="57">
        <f t="shared" si="0"/>
        <v>10</v>
      </c>
      <c r="B21" s="88" t="s">
        <v>272</v>
      </c>
      <c r="C21" s="159">
        <v>7814471.5583333327</v>
      </c>
      <c r="D21" s="159">
        <v>2930760.940415205</v>
      </c>
      <c r="E21" s="159">
        <f t="shared" si="1"/>
        <v>-4883710.6179181281</v>
      </c>
    </row>
    <row r="22" spans="1:6">
      <c r="A22" s="57">
        <f t="shared" si="0"/>
        <v>11</v>
      </c>
      <c r="B22" s="88" t="s">
        <v>276</v>
      </c>
      <c r="C22" s="159">
        <v>-775673.63</v>
      </c>
      <c r="D22" s="159">
        <v>-160521.7881944445</v>
      </c>
      <c r="E22" s="159">
        <f t="shared" si="1"/>
        <v>615151.84180555551</v>
      </c>
    </row>
    <row r="23" spans="1:6">
      <c r="A23" s="57">
        <f t="shared" si="0"/>
        <v>12</v>
      </c>
      <c r="B23" s="88" t="s">
        <v>335</v>
      </c>
      <c r="C23" s="159">
        <v>0</v>
      </c>
      <c r="D23" s="159">
        <v>2083590</v>
      </c>
      <c r="E23" s="159">
        <f t="shared" si="1"/>
        <v>2083590</v>
      </c>
    </row>
    <row r="24" spans="1:6">
      <c r="A24" s="57">
        <f t="shared" si="0"/>
        <v>13</v>
      </c>
      <c r="B24" s="88" t="s">
        <v>283</v>
      </c>
      <c r="C24" s="159">
        <v>-713271.18333333335</v>
      </c>
      <c r="D24" s="159">
        <v>-2060421.4583333333</v>
      </c>
      <c r="E24" s="159">
        <f>+D24-C24</f>
        <v>-1347150.2749999999</v>
      </c>
    </row>
    <row r="25" spans="1:6">
      <c r="A25" s="57">
        <f t="shared" si="0"/>
        <v>14</v>
      </c>
      <c r="B25" s="88" t="s">
        <v>288</v>
      </c>
      <c r="C25" s="161"/>
      <c r="D25" s="161"/>
      <c r="E25" s="161">
        <f>+D25-C25</f>
        <v>0</v>
      </c>
    </row>
    <row r="26" spans="1:6">
      <c r="A26" s="57">
        <f t="shared" si="0"/>
        <v>15</v>
      </c>
      <c r="B26" s="88" t="s">
        <v>293</v>
      </c>
      <c r="C26" s="158">
        <f>SUM(C13:C25)</f>
        <v>207151187.23041666</v>
      </c>
      <c r="D26" s="158">
        <f>SUM(D13:D25)</f>
        <v>101611732.74241295</v>
      </c>
      <c r="E26" s="158">
        <f>SUM(E13:E25)</f>
        <v>-105539454.48800372</v>
      </c>
      <c r="F26" s="2" t="s">
        <v>20</v>
      </c>
    </row>
    <row r="27" spans="1:6">
      <c r="A27" s="57">
        <f t="shared" si="0"/>
        <v>16</v>
      </c>
      <c r="B27" s="88"/>
      <c r="C27" s="162"/>
      <c r="D27" s="162"/>
      <c r="E27" s="162"/>
    </row>
    <row r="28" spans="1:6">
      <c r="A28" s="57">
        <f t="shared" si="0"/>
        <v>17</v>
      </c>
      <c r="B28" s="163"/>
      <c r="C28" s="164"/>
      <c r="D28" s="164"/>
      <c r="E28" s="164"/>
    </row>
    <row r="29" spans="1:6">
      <c r="A29" s="57">
        <f t="shared" si="0"/>
        <v>18</v>
      </c>
      <c r="B29" s="163" t="s">
        <v>298</v>
      </c>
      <c r="C29" s="159"/>
      <c r="D29" s="159"/>
      <c r="E29" s="159"/>
    </row>
    <row r="30" spans="1:6">
      <c r="A30" s="57">
        <f t="shared" si="0"/>
        <v>19</v>
      </c>
      <c r="B30" s="88" t="s">
        <v>241</v>
      </c>
      <c r="C30" s="158">
        <v>1410032.98</v>
      </c>
      <c r="D30" s="158">
        <v>0</v>
      </c>
      <c r="E30" s="158">
        <f t="shared" ref="E30:E41" si="2">+D30-C30</f>
        <v>-1410032.98</v>
      </c>
      <c r="F30" s="2" t="s">
        <v>339</v>
      </c>
    </row>
    <row r="31" spans="1:6">
      <c r="A31" s="57">
        <f t="shared" si="0"/>
        <v>20</v>
      </c>
      <c r="B31" s="88" t="s">
        <v>302</v>
      </c>
      <c r="C31" s="159">
        <v>4802000</v>
      </c>
      <c r="D31" s="159">
        <v>6051142.8571428573</v>
      </c>
      <c r="E31" s="159">
        <f t="shared" si="2"/>
        <v>1249142.8571428573</v>
      </c>
      <c r="F31" s="2" t="s">
        <v>341</v>
      </c>
    </row>
    <row r="32" spans="1:6">
      <c r="A32" s="57">
        <f t="shared" si="0"/>
        <v>21</v>
      </c>
      <c r="B32" s="88" t="s">
        <v>250</v>
      </c>
      <c r="C32" s="159">
        <v>3526620</v>
      </c>
      <c r="D32" s="159">
        <v>3526620</v>
      </c>
      <c r="E32" s="159">
        <f t="shared" si="2"/>
        <v>0</v>
      </c>
    </row>
    <row r="33" spans="1:6">
      <c r="A33" s="57">
        <f t="shared" si="0"/>
        <v>22</v>
      </c>
      <c r="B33" s="88" t="s">
        <v>254</v>
      </c>
      <c r="C33" s="159">
        <v>1494702</v>
      </c>
      <c r="D33" s="160">
        <v>1494702</v>
      </c>
      <c r="E33" s="159">
        <f t="shared" si="2"/>
        <v>0</v>
      </c>
    </row>
    <row r="34" spans="1:6">
      <c r="A34" s="57">
        <f t="shared" si="0"/>
        <v>23</v>
      </c>
      <c r="B34" s="88" t="s">
        <v>260</v>
      </c>
      <c r="C34" s="159"/>
      <c r="D34" s="160">
        <v>0</v>
      </c>
      <c r="E34" s="160">
        <f t="shared" si="2"/>
        <v>0</v>
      </c>
    </row>
    <row r="35" spans="1:6">
      <c r="A35" s="57">
        <f t="shared" si="0"/>
        <v>24</v>
      </c>
      <c r="B35" s="88" t="s">
        <v>266</v>
      </c>
      <c r="C35" s="159">
        <v>-1898740.5</v>
      </c>
      <c r="D35" s="159">
        <v>0</v>
      </c>
      <c r="E35" s="159">
        <f t="shared" si="2"/>
        <v>1898740.5</v>
      </c>
      <c r="F35" s="2" t="s">
        <v>339</v>
      </c>
    </row>
    <row r="36" spans="1:6">
      <c r="A36" s="57">
        <f t="shared" si="0"/>
        <v>25</v>
      </c>
      <c r="B36" s="88" t="s">
        <v>270</v>
      </c>
      <c r="C36" s="159">
        <v>1992887.67</v>
      </c>
      <c r="D36" s="159">
        <v>1925091.1600000034</v>
      </c>
      <c r="E36" s="159">
        <f t="shared" si="2"/>
        <v>-67796.509999996517</v>
      </c>
      <c r="F36" s="2" t="s">
        <v>10</v>
      </c>
    </row>
    <row r="37" spans="1:6">
      <c r="A37" s="57">
        <f t="shared" si="0"/>
        <v>26</v>
      </c>
      <c r="B37" s="88" t="s">
        <v>272</v>
      </c>
      <c r="C37" s="159">
        <v>693692</v>
      </c>
      <c r="D37" s="159">
        <v>4162153.8237249996</v>
      </c>
      <c r="E37" s="159">
        <f t="shared" si="2"/>
        <v>3468461.8237249996</v>
      </c>
      <c r="F37" s="2" t="s">
        <v>20</v>
      </c>
    </row>
    <row r="38" spans="1:6">
      <c r="A38" s="57">
        <f t="shared" si="0"/>
        <v>27</v>
      </c>
      <c r="B38" s="88" t="s">
        <v>276</v>
      </c>
      <c r="C38" s="159">
        <v>-241916.66666666666</v>
      </c>
      <c r="D38" s="159">
        <v>-846708.33333333337</v>
      </c>
      <c r="E38" s="159">
        <f t="shared" si="2"/>
        <v>-604791.66666666674</v>
      </c>
      <c r="F38" s="2" t="s">
        <v>10</v>
      </c>
    </row>
    <row r="39" spans="1:6">
      <c r="A39" s="57">
        <f t="shared" si="0"/>
        <v>28</v>
      </c>
      <c r="B39" s="88" t="s">
        <v>279</v>
      </c>
      <c r="C39" s="159">
        <v>10487160</v>
      </c>
      <c r="D39" s="159"/>
      <c r="E39" s="159">
        <f t="shared" si="2"/>
        <v>-10487160</v>
      </c>
      <c r="F39" s="2" t="s">
        <v>34</v>
      </c>
    </row>
    <row r="40" spans="1:6">
      <c r="A40" s="57">
        <f t="shared" si="0"/>
        <v>29</v>
      </c>
      <c r="B40" s="88" t="s">
        <v>283</v>
      </c>
      <c r="C40" s="159">
        <v>0</v>
      </c>
      <c r="D40" s="159">
        <v>-392150.00000000006</v>
      </c>
      <c r="E40" s="159">
        <f t="shared" si="2"/>
        <v>-392150.00000000006</v>
      </c>
      <c r="F40" s="2" t="s">
        <v>339</v>
      </c>
    </row>
    <row r="41" spans="1:6">
      <c r="A41" s="57">
        <f t="shared" si="0"/>
        <v>30</v>
      </c>
      <c r="B41" s="88" t="s">
        <v>317</v>
      </c>
      <c r="C41" s="159"/>
      <c r="D41" s="159"/>
      <c r="E41" s="159">
        <f t="shared" si="2"/>
        <v>0</v>
      </c>
    </row>
    <row r="42" spans="1:6">
      <c r="A42" s="57">
        <f t="shared" si="0"/>
        <v>31</v>
      </c>
      <c r="B42" s="58" t="s">
        <v>318</v>
      </c>
      <c r="C42" s="165">
        <f>SUM(C30:C41)</f>
        <v>22266437.483333334</v>
      </c>
      <c r="D42" s="165">
        <f>SUM(D30:D41)</f>
        <v>15920851.507534528</v>
      </c>
      <c r="E42" s="165">
        <f>SUM(E30:E41)</f>
        <v>-6345585.9757988071</v>
      </c>
    </row>
    <row r="43" spans="1:6">
      <c r="A43" s="57">
        <f t="shared" si="0"/>
        <v>32</v>
      </c>
      <c r="B43" s="91"/>
      <c r="C43" s="91"/>
      <c r="D43" s="91"/>
      <c r="E43" s="91"/>
    </row>
    <row r="44" spans="1:6">
      <c r="A44" s="57">
        <f t="shared" si="0"/>
        <v>33</v>
      </c>
      <c r="B44" s="58" t="s">
        <v>321</v>
      </c>
      <c r="C44" s="159">
        <v>23470000</v>
      </c>
      <c r="D44" s="159">
        <v>32254250</v>
      </c>
      <c r="E44" s="159">
        <f>+D44-C44</f>
        <v>8784250</v>
      </c>
      <c r="F44" s="2" t="s">
        <v>341</v>
      </c>
    </row>
    <row r="45" spans="1:6">
      <c r="A45" s="57">
        <f t="shared" si="0"/>
        <v>34</v>
      </c>
      <c r="B45" s="91"/>
      <c r="C45" s="91"/>
      <c r="D45" s="91"/>
      <c r="E45" s="91"/>
    </row>
    <row r="46" spans="1:6">
      <c r="A46" s="57">
        <f t="shared" si="0"/>
        <v>35</v>
      </c>
      <c r="B46" s="58" t="s">
        <v>324</v>
      </c>
      <c r="C46" s="58"/>
      <c r="D46" s="166"/>
      <c r="E46" s="440">
        <f>+E42+E44</f>
        <v>2438664.0242011929</v>
      </c>
    </row>
    <row r="47" spans="1:6">
      <c r="A47" s="57">
        <f t="shared" si="0"/>
        <v>36</v>
      </c>
      <c r="B47" s="91"/>
      <c r="C47" s="91"/>
      <c r="D47" s="167"/>
      <c r="E47" s="168"/>
    </row>
    <row r="48" spans="1:6">
      <c r="A48" s="57">
        <f t="shared" si="0"/>
        <v>37</v>
      </c>
      <c r="B48" s="91" t="s">
        <v>325</v>
      </c>
      <c r="C48" s="91"/>
      <c r="D48" s="167">
        <v>0.35</v>
      </c>
      <c r="E48" s="441">
        <f>-E42*D48</f>
        <v>2220955.0915295822</v>
      </c>
    </row>
    <row r="49" spans="1:5">
      <c r="A49" s="57">
        <f t="shared" si="0"/>
        <v>38</v>
      </c>
      <c r="B49" s="91"/>
      <c r="C49" s="91"/>
      <c r="D49" s="91"/>
      <c r="E49" s="91"/>
    </row>
    <row r="50" spans="1:5" ht="16.5" thickBot="1">
      <c r="A50" s="57">
        <f t="shared" si="0"/>
        <v>39</v>
      </c>
      <c r="B50" s="91" t="s">
        <v>326</v>
      </c>
      <c r="C50" s="91"/>
      <c r="D50" s="91"/>
      <c r="E50" s="442">
        <f>-E46-E48</f>
        <v>-4659619.1157307755</v>
      </c>
    </row>
    <row r="51" spans="1:5" ht="16.5" thickTop="1">
      <c r="A51" s="57"/>
      <c r="B51" s="169"/>
      <c r="C51" s="170"/>
      <c r="D51" s="170"/>
      <c r="E51" s="170"/>
    </row>
    <row r="52" spans="1:5">
      <c r="A52" s="57"/>
      <c r="B52" s="85"/>
      <c r="C52" s="85"/>
      <c r="D52" s="85"/>
      <c r="E52" s="85"/>
    </row>
    <row r="53" spans="1:5">
      <c r="A53" s="197"/>
      <c r="B53" s="197"/>
      <c r="C53" s="197"/>
      <c r="D53" s="197"/>
      <c r="E53" s="197"/>
    </row>
  </sheetData>
  <pageMargins left="0.7" right="0.7" top="0.75" bottom="0.75" header="0.75" footer="0.3"/>
  <pageSetup scale="77" orientation="portrait" r:id="rId1"/>
  <headerFooter>
    <oddHeader>&amp;R&amp;"Times New Roman,Regular"&amp;12EXHIBIT KHB-2
Page 2.38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2"/>
  <sheetViews>
    <sheetView topLeftCell="A2" zoomScaleNormal="100" workbookViewId="0">
      <selection activeCell="B46" sqref="B46"/>
    </sheetView>
  </sheetViews>
  <sheetFormatPr defaultColWidth="9.140625" defaultRowHeight="15.75"/>
  <cols>
    <col min="1" max="1" width="7.42578125" style="2" customWidth="1"/>
    <col min="2" max="2" width="66.7109375" style="2" customWidth="1"/>
    <col min="3" max="4" width="15.140625" style="2" bestFit="1" customWidth="1"/>
    <col min="5" max="5" width="16.7109375" style="2" bestFit="1" customWidth="1"/>
    <col min="6" max="16384" width="9.140625" style="2"/>
  </cols>
  <sheetData>
    <row r="1" spans="1:5">
      <c r="A1" s="2" t="str">
        <f>CO</f>
        <v>Puget Sound Energy</v>
      </c>
    </row>
    <row r="2" spans="1:5">
      <c r="A2" s="2" t="str">
        <f>DOCKET</f>
        <v>Docket UE-090704/UG-090705</v>
      </c>
    </row>
    <row r="4" spans="1:5">
      <c r="A4" s="218" t="s">
        <v>201</v>
      </c>
      <c r="B4" s="219"/>
      <c r="C4" s="219"/>
      <c r="D4" s="219"/>
      <c r="E4" s="219"/>
    </row>
    <row r="5" spans="1:5">
      <c r="A5" s="218" t="s">
        <v>801</v>
      </c>
      <c r="B5" s="219"/>
      <c r="C5" s="219"/>
      <c r="D5" s="219"/>
      <c r="E5" s="219"/>
    </row>
    <row r="6" spans="1:5">
      <c r="A6" s="219" t="str">
        <f>TY</f>
        <v>FOR THE TWELVE MONTHS ENDED DECEMBER 31, 2008</v>
      </c>
      <c r="B6" s="219"/>
      <c r="C6" s="219"/>
      <c r="D6" s="219"/>
      <c r="E6" s="219"/>
    </row>
    <row r="7" spans="1:5">
      <c r="A7" s="218" t="s">
        <v>205</v>
      </c>
      <c r="B7" s="219"/>
      <c r="C7" s="219"/>
      <c r="D7" s="219"/>
      <c r="E7" s="219"/>
    </row>
    <row r="8" spans="1:5">
      <c r="A8" s="220"/>
      <c r="B8" s="220"/>
      <c r="C8" s="220"/>
      <c r="D8" s="220"/>
      <c r="E8" s="220"/>
    </row>
    <row r="9" spans="1:5">
      <c r="A9" s="222" t="s">
        <v>208</v>
      </c>
      <c r="B9" s="220"/>
      <c r="C9" s="738"/>
      <c r="D9" s="220"/>
      <c r="E9" s="225"/>
    </row>
    <row r="10" spans="1:5">
      <c r="A10" s="226" t="s">
        <v>215</v>
      </c>
      <c r="B10" s="227" t="s">
        <v>216</v>
      </c>
      <c r="C10" s="227" t="s">
        <v>495</v>
      </c>
      <c r="D10" s="226" t="s">
        <v>470</v>
      </c>
      <c r="E10" s="228" t="s">
        <v>217</v>
      </c>
    </row>
    <row r="11" spans="1:5">
      <c r="A11" s="229"/>
      <c r="B11" s="232"/>
      <c r="C11" s="232"/>
      <c r="D11" s="232"/>
      <c r="E11" s="232"/>
    </row>
    <row r="12" spans="1:5">
      <c r="A12" s="231">
        <v>1</v>
      </c>
      <c r="B12" s="739" t="s">
        <v>569</v>
      </c>
      <c r="C12" s="740"/>
      <c r="D12" s="740"/>
      <c r="E12" s="740"/>
    </row>
    <row r="13" spans="1:5">
      <c r="A13" s="231">
        <f t="shared" ref="A13:A41" si="0">A12+1</f>
        <v>2</v>
      </c>
      <c r="B13" s="739" t="s">
        <v>570</v>
      </c>
      <c r="C13" s="740"/>
      <c r="D13" s="740"/>
      <c r="E13" s="740"/>
    </row>
    <row r="14" spans="1:5">
      <c r="A14" s="231">
        <f t="shared" si="0"/>
        <v>3</v>
      </c>
      <c r="B14" s="740" t="s">
        <v>571</v>
      </c>
      <c r="C14" s="741">
        <v>163345134.52000001</v>
      </c>
      <c r="D14" s="741">
        <v>151549220.57000002</v>
      </c>
      <c r="E14" s="177">
        <f>D14-C14</f>
        <v>-11795913.949999988</v>
      </c>
    </row>
    <row r="15" spans="1:5">
      <c r="A15" s="231">
        <f t="shared" si="0"/>
        <v>4</v>
      </c>
      <c r="B15" s="740" t="s">
        <v>572</v>
      </c>
      <c r="C15" s="682">
        <v>5390884.6375320004</v>
      </c>
      <c r="D15" s="682">
        <v>8077207.9951440003</v>
      </c>
      <c r="E15" s="682">
        <f>D15-C15</f>
        <v>2686323.3576119998</v>
      </c>
    </row>
    <row r="16" spans="1:5">
      <c r="A16" s="231">
        <f t="shared" si="0"/>
        <v>5</v>
      </c>
      <c r="B16" s="740" t="s">
        <v>573</v>
      </c>
      <c r="C16" s="742">
        <v>4462321.9015580006</v>
      </c>
      <c r="D16" s="743">
        <v>4462321.9015580006</v>
      </c>
      <c r="E16" s="683">
        <f>D16-C16</f>
        <v>0</v>
      </c>
    </row>
    <row r="17" spans="1:5">
      <c r="A17" s="231">
        <f t="shared" si="0"/>
        <v>6</v>
      </c>
      <c r="B17" s="740" t="s">
        <v>574</v>
      </c>
      <c r="C17" s="744">
        <f>SUM(C14:C16)</f>
        <v>173198341.05909002</v>
      </c>
      <c r="D17" s="744">
        <f>SUM(D14:D16)</f>
        <v>164088750.46670204</v>
      </c>
      <c r="E17" s="744">
        <f>SUM(E14:E16)</f>
        <v>-9109590.5923879892</v>
      </c>
    </row>
    <row r="18" spans="1:5">
      <c r="A18" s="231">
        <f t="shared" si="0"/>
        <v>7</v>
      </c>
      <c r="B18" s="740"/>
      <c r="C18" s="248"/>
      <c r="D18" s="248"/>
      <c r="E18" s="248"/>
    </row>
    <row r="19" spans="1:5">
      <c r="A19" s="231">
        <f t="shared" si="0"/>
        <v>8</v>
      </c>
      <c r="B19" s="740" t="s">
        <v>575</v>
      </c>
      <c r="C19" s="682">
        <v>102030.99</v>
      </c>
      <c r="D19" s="682">
        <v>108699.31304799998</v>
      </c>
      <c r="E19" s="682">
        <f>D19-C19</f>
        <v>6668.3230479999766</v>
      </c>
    </row>
    <row r="20" spans="1:5">
      <c r="A20" s="231">
        <f t="shared" si="0"/>
        <v>9</v>
      </c>
      <c r="B20" s="740" t="s">
        <v>576</v>
      </c>
      <c r="C20" s="742">
        <v>6668.3230479999993</v>
      </c>
      <c r="D20" s="743">
        <v>0</v>
      </c>
      <c r="E20" s="683">
        <f>D20-C20</f>
        <v>-6668.3230479999993</v>
      </c>
    </row>
    <row r="21" spans="1:5">
      <c r="A21" s="231">
        <f t="shared" si="0"/>
        <v>10</v>
      </c>
      <c r="B21" s="740" t="s">
        <v>577</v>
      </c>
      <c r="C21" s="744">
        <f>SUM(C19:C20)</f>
        <v>108699.31304800001</v>
      </c>
      <c r="D21" s="744">
        <f>SUM(D19:D20)</f>
        <v>108699.31304799998</v>
      </c>
      <c r="E21" s="744">
        <f>SUM(E19:E20)</f>
        <v>-2.2737367544323206E-11</v>
      </c>
    </row>
    <row r="22" spans="1:5">
      <c r="A22" s="231">
        <f t="shared" si="0"/>
        <v>11</v>
      </c>
      <c r="B22" s="740"/>
      <c r="C22" s="242"/>
      <c r="D22" s="242"/>
      <c r="E22" s="242"/>
    </row>
    <row r="23" spans="1:5">
      <c r="A23" s="231">
        <f t="shared" si="0"/>
        <v>12</v>
      </c>
      <c r="B23" s="740" t="s">
        <v>578</v>
      </c>
      <c r="C23" s="661">
        <f>C17+C21</f>
        <v>173307040.37213802</v>
      </c>
      <c r="D23" s="661">
        <f>D17+D21</f>
        <v>164197449.77975005</v>
      </c>
      <c r="E23" s="661">
        <f>E17+E21</f>
        <v>-9109590.5923879892</v>
      </c>
    </row>
    <row r="24" spans="1:5">
      <c r="A24" s="231">
        <f t="shared" si="0"/>
        <v>13</v>
      </c>
      <c r="B24" s="740"/>
      <c r="C24" s="242"/>
      <c r="D24" s="242"/>
      <c r="E24" s="242"/>
    </row>
    <row r="25" spans="1:5">
      <c r="A25" s="231">
        <f t="shared" si="0"/>
        <v>14</v>
      </c>
      <c r="B25" s="739" t="s">
        <v>579</v>
      </c>
      <c r="C25" s="248"/>
      <c r="D25" s="248"/>
      <c r="E25" s="248"/>
    </row>
    <row r="26" spans="1:5">
      <c r="A26" s="231">
        <f t="shared" si="0"/>
        <v>15</v>
      </c>
      <c r="B26" s="740" t="s">
        <v>580</v>
      </c>
      <c r="C26" s="745">
        <v>832086</v>
      </c>
      <c r="D26" s="745">
        <v>968935.92206600006</v>
      </c>
      <c r="E26" s="746">
        <f>D26-C26</f>
        <v>136849.92206600006</v>
      </c>
    </row>
    <row r="27" spans="1:5">
      <c r="A27" s="231">
        <f t="shared" si="0"/>
        <v>16</v>
      </c>
      <c r="B27" s="740" t="s">
        <v>581</v>
      </c>
      <c r="C27" s="747">
        <v>136850</v>
      </c>
      <c r="D27" s="747">
        <v>0</v>
      </c>
      <c r="E27" s="747">
        <f>D27-C27</f>
        <v>-136850</v>
      </c>
    </row>
    <row r="28" spans="1:5">
      <c r="A28" s="231">
        <f t="shared" si="0"/>
        <v>17</v>
      </c>
      <c r="B28" s="740" t="s">
        <v>582</v>
      </c>
      <c r="C28" s="745">
        <f>SUM(C26:C27)</f>
        <v>968936</v>
      </c>
      <c r="D28" s="745">
        <f>SUM(D26:D27)</f>
        <v>968935.92206600006</v>
      </c>
      <c r="E28" s="745">
        <f>SUM(E26:E27)</f>
        <v>-7.7933999942615628E-2</v>
      </c>
    </row>
    <row r="29" spans="1:5">
      <c r="A29" s="231">
        <f t="shared" si="0"/>
        <v>18</v>
      </c>
      <c r="B29" s="740"/>
      <c r="C29" s="748"/>
      <c r="D29" s="748"/>
      <c r="E29" s="748"/>
    </row>
    <row r="30" spans="1:5">
      <c r="A30" s="231">
        <f t="shared" si="0"/>
        <v>19</v>
      </c>
      <c r="B30" s="740" t="s">
        <v>583</v>
      </c>
      <c r="C30" s="745">
        <v>0</v>
      </c>
      <c r="D30" s="745">
        <v>0</v>
      </c>
      <c r="E30" s="746">
        <f>D30-C30</f>
        <v>0</v>
      </c>
    </row>
    <row r="31" spans="1:5">
      <c r="A31" s="231">
        <f t="shared" si="0"/>
        <v>20</v>
      </c>
      <c r="B31" s="740"/>
      <c r="C31" s="748"/>
      <c r="D31" s="748"/>
      <c r="E31" s="748"/>
    </row>
    <row r="32" spans="1:5">
      <c r="A32" s="231">
        <f t="shared" si="0"/>
        <v>21</v>
      </c>
      <c r="B32" s="544" t="s">
        <v>454</v>
      </c>
      <c r="C32" s="749"/>
      <c r="D32" s="749"/>
      <c r="E32" s="749">
        <f>E23+E28+E30</f>
        <v>-9109590.6703219898</v>
      </c>
    </row>
    <row r="33" spans="1:5">
      <c r="A33" s="231">
        <f t="shared" si="0"/>
        <v>22</v>
      </c>
      <c r="B33" s="544"/>
      <c r="C33" s="120"/>
      <c r="D33" s="237"/>
      <c r="E33" s="73"/>
    </row>
    <row r="34" spans="1:5">
      <c r="A34" s="231">
        <f t="shared" si="0"/>
        <v>23</v>
      </c>
      <c r="B34" s="750" t="s">
        <v>262</v>
      </c>
      <c r="C34" s="120"/>
      <c r="D34" s="249">
        <f>FIT</f>
        <v>0.35</v>
      </c>
      <c r="E34" s="241"/>
    </row>
    <row r="35" spans="1:5" ht="16.5" thickBot="1">
      <c r="A35" s="231">
        <f t="shared" si="0"/>
        <v>24</v>
      </c>
      <c r="B35" s="544" t="s">
        <v>258</v>
      </c>
      <c r="C35" s="120"/>
      <c r="D35" s="232"/>
      <c r="E35" s="355">
        <f>-E32-E34</f>
        <v>9109590.6703219898</v>
      </c>
    </row>
    <row r="36" spans="1:5" ht="16.5" thickTop="1">
      <c r="A36" s="231">
        <f t="shared" si="0"/>
        <v>25</v>
      </c>
      <c r="B36" s="544"/>
      <c r="C36" s="120"/>
      <c r="D36" s="120"/>
      <c r="E36" s="120"/>
    </row>
    <row r="37" spans="1:5">
      <c r="A37" s="231">
        <f t="shared" si="0"/>
        <v>26</v>
      </c>
      <c r="B37" s="544"/>
      <c r="C37" s="120"/>
      <c r="D37" s="120"/>
      <c r="E37" s="120"/>
    </row>
    <row r="38" spans="1:5">
      <c r="A38" s="231">
        <f t="shared" si="0"/>
        <v>27</v>
      </c>
      <c r="B38" s="739" t="s">
        <v>584</v>
      </c>
      <c r="C38" s="120"/>
      <c r="D38" s="120"/>
      <c r="E38" s="120"/>
    </row>
    <row r="39" spans="1:5">
      <c r="A39" s="231">
        <f t="shared" si="0"/>
        <v>28</v>
      </c>
      <c r="B39" s="740" t="s">
        <v>585</v>
      </c>
      <c r="C39" s="120"/>
      <c r="D39" s="120"/>
      <c r="E39" s="120">
        <f>-E32*0.5</f>
        <v>4554795.3351609949</v>
      </c>
    </row>
    <row r="40" spans="1:5">
      <c r="A40" s="231">
        <f t="shared" si="0"/>
        <v>29</v>
      </c>
      <c r="B40" s="740"/>
      <c r="C40" s="120"/>
      <c r="D40" s="120"/>
      <c r="E40" s="120">
        <f>E33*0.5</f>
        <v>0</v>
      </c>
    </row>
    <row r="41" spans="1:5" ht="16.5" thickBot="1">
      <c r="A41" s="231">
        <f t="shared" si="0"/>
        <v>30</v>
      </c>
      <c r="B41" s="544" t="s">
        <v>584</v>
      </c>
      <c r="C41" s="249"/>
      <c r="D41" s="740"/>
      <c r="E41" s="87">
        <f>SUM(E39:E40)</f>
        <v>4554795.3351609949</v>
      </c>
    </row>
    <row r="42" spans="1:5" ht="16.5" thickTop="1"/>
  </sheetData>
  <pageMargins left="0.7" right="0.7" top="0.75" bottom="0.75" header="0.75" footer="0.3"/>
  <pageSetup scale="74" orientation="portrait" r:id="rId1"/>
  <headerFooter>
    <oddHeader>&amp;R&amp;"Times New Roman,Regular"&amp;12Exhibit KHB-2
Page 2.39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2:I52"/>
  <sheetViews>
    <sheetView zoomScaleNormal="100" workbookViewId="0">
      <pane xSplit="2" ySplit="9" topLeftCell="C30" activePane="bottomRight" state="frozen"/>
      <selection activeCell="B52" sqref="B52"/>
      <selection pane="topRight" activeCell="B52" sqref="B52"/>
      <selection pane="bottomLeft" activeCell="B52" sqref="B52"/>
      <selection pane="bottomRight" activeCell="B52" sqref="B52"/>
    </sheetView>
  </sheetViews>
  <sheetFormatPr defaultColWidth="6" defaultRowHeight="15.75"/>
  <cols>
    <col min="1" max="1" width="6" style="18"/>
    <col min="2" max="2" width="33.7109375" style="18" customWidth="1"/>
    <col min="3" max="9" width="20.7109375" style="18" customWidth="1"/>
    <col min="10" max="16384" width="6" style="18"/>
  </cols>
  <sheetData>
    <row r="2" spans="1:9">
      <c r="A2" s="770" t="s">
        <v>53</v>
      </c>
      <c r="B2" s="770"/>
      <c r="C2" s="770"/>
      <c r="D2" s="770"/>
      <c r="E2" s="770"/>
      <c r="F2" s="770"/>
      <c r="G2" s="770"/>
      <c r="H2" s="771"/>
      <c r="I2" s="771"/>
    </row>
    <row r="3" spans="1:9">
      <c r="A3" s="770" t="s">
        <v>55</v>
      </c>
      <c r="B3" s="770"/>
      <c r="C3" s="770"/>
      <c r="D3" s="770"/>
      <c r="E3" s="770"/>
      <c r="F3" s="770"/>
      <c r="G3" s="770"/>
      <c r="H3" s="771"/>
      <c r="I3" s="771"/>
    </row>
    <row r="4" spans="1:9">
      <c r="A4" s="770" t="s">
        <v>54</v>
      </c>
      <c r="B4" s="770"/>
      <c r="C4" s="770"/>
      <c r="D4" s="770"/>
      <c r="E4" s="770"/>
      <c r="F4" s="770"/>
      <c r="G4" s="770"/>
      <c r="H4" s="771"/>
      <c r="I4" s="771"/>
    </row>
    <row r="5" spans="1:9">
      <c r="A5" s="770" t="s">
        <v>108</v>
      </c>
      <c r="B5" s="770"/>
      <c r="C5" s="770"/>
      <c r="D5" s="770"/>
      <c r="E5" s="770"/>
      <c r="F5" s="770"/>
      <c r="G5" s="770"/>
      <c r="H5" s="771"/>
      <c r="I5" s="771"/>
    </row>
    <row r="6" spans="1:9">
      <c r="A6" s="11"/>
      <c r="B6" s="11"/>
      <c r="C6" s="11" t="s">
        <v>123</v>
      </c>
      <c r="D6" s="11" t="s">
        <v>125</v>
      </c>
      <c r="E6" s="11" t="s">
        <v>134</v>
      </c>
      <c r="F6" s="11" t="s">
        <v>127</v>
      </c>
      <c r="G6" s="11" t="s">
        <v>129</v>
      </c>
      <c r="H6" s="11" t="s">
        <v>131</v>
      </c>
      <c r="I6" s="11"/>
    </row>
    <row r="7" spans="1:9">
      <c r="A7" s="12" t="s">
        <v>37</v>
      </c>
      <c r="B7" s="12"/>
      <c r="C7" s="12" t="s">
        <v>124</v>
      </c>
      <c r="D7" s="12" t="s">
        <v>126</v>
      </c>
      <c r="E7" s="12" t="s">
        <v>135</v>
      </c>
      <c r="F7" s="12" t="s">
        <v>128</v>
      </c>
      <c r="G7" s="12" t="s">
        <v>130</v>
      </c>
      <c r="H7" s="12" t="s">
        <v>132</v>
      </c>
      <c r="I7" s="12" t="s">
        <v>133</v>
      </c>
    </row>
    <row r="8" spans="1:9">
      <c r="A8" s="13" t="s">
        <v>38</v>
      </c>
      <c r="B8" s="12" t="s">
        <v>39</v>
      </c>
      <c r="C8" s="12" t="s">
        <v>116</v>
      </c>
      <c r="D8" s="12" t="s">
        <v>117</v>
      </c>
      <c r="E8" s="12" t="s">
        <v>118</v>
      </c>
      <c r="F8" s="12" t="s">
        <v>119</v>
      </c>
      <c r="G8" s="12" t="s">
        <v>120</v>
      </c>
      <c r="H8" s="12" t="s">
        <v>121</v>
      </c>
      <c r="I8" s="12" t="s">
        <v>122</v>
      </c>
    </row>
    <row r="9" spans="1:9">
      <c r="A9" s="14"/>
      <c r="B9" s="15"/>
      <c r="C9" s="14" t="s">
        <v>109</v>
      </c>
      <c r="D9" s="14" t="s">
        <v>110</v>
      </c>
      <c r="E9" s="14" t="s">
        <v>111</v>
      </c>
      <c r="F9" s="14" t="s">
        <v>112</v>
      </c>
      <c r="G9" s="14" t="s">
        <v>113</v>
      </c>
      <c r="H9" s="14" t="s">
        <v>114</v>
      </c>
      <c r="I9" s="17" t="s">
        <v>115</v>
      </c>
    </row>
    <row r="10" spans="1:9">
      <c r="A10" s="20">
        <v>1</v>
      </c>
      <c r="B10" s="22" t="s">
        <v>0</v>
      </c>
      <c r="C10" s="23"/>
      <c r="D10" s="23"/>
      <c r="E10" s="23"/>
      <c r="F10" s="23"/>
      <c r="G10" s="23"/>
    </row>
    <row r="11" spans="1:9">
      <c r="A11" s="20">
        <f>1+A10</f>
        <v>2</v>
      </c>
      <c r="B11" s="22" t="s">
        <v>1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  <c r="H11" s="30">
        <v>0</v>
      </c>
      <c r="I11" s="30">
        <v>0</v>
      </c>
    </row>
    <row r="12" spans="1:9">
      <c r="A12" s="20">
        <f t="shared" ref="A12:A51" si="0">1+A11</f>
        <v>3</v>
      </c>
      <c r="B12" s="24" t="s">
        <v>2</v>
      </c>
      <c r="C12" s="23"/>
      <c r="D12" s="23"/>
      <c r="E12" s="23"/>
      <c r="F12" s="23"/>
      <c r="G12" s="23"/>
      <c r="I12" s="23"/>
    </row>
    <row r="13" spans="1:9">
      <c r="A13" s="20">
        <f t="shared" si="0"/>
        <v>4</v>
      </c>
      <c r="B13" s="24" t="s">
        <v>3</v>
      </c>
      <c r="C13" s="23"/>
      <c r="D13" s="23"/>
      <c r="E13" s="23"/>
      <c r="F13" s="23"/>
      <c r="G13" s="23"/>
      <c r="I13" s="23"/>
    </row>
    <row r="14" spans="1:9">
      <c r="A14" s="20">
        <f t="shared" si="0"/>
        <v>5</v>
      </c>
      <c r="B14" s="24" t="s">
        <v>4</v>
      </c>
      <c r="C14" s="23">
        <f>+'Adj 10.14 P2.21'!F13</f>
        <v>848136.5</v>
      </c>
      <c r="D14" s="23"/>
      <c r="E14" s="23"/>
      <c r="F14" s="23"/>
      <c r="G14" s="23"/>
      <c r="I14" s="23"/>
    </row>
    <row r="15" spans="1:9">
      <c r="A15" s="20">
        <f t="shared" si="0"/>
        <v>6</v>
      </c>
      <c r="B15" s="8" t="s">
        <v>5</v>
      </c>
      <c r="C15" s="32">
        <f>SUM(C11:C14)</f>
        <v>848136.5</v>
      </c>
      <c r="D15" s="32">
        <f>SUM(D11:D14)</f>
        <v>0</v>
      </c>
      <c r="E15" s="32">
        <f>SUM(E11:E14)</f>
        <v>0</v>
      </c>
      <c r="F15" s="32">
        <f>SUM(F11:F14)</f>
        <v>0</v>
      </c>
      <c r="G15" s="32">
        <f t="shared" ref="G15:I15" si="1">SUM(G11:G14)</f>
        <v>0</v>
      </c>
      <c r="H15" s="32">
        <f t="shared" si="1"/>
        <v>0</v>
      </c>
      <c r="I15" s="32">
        <f t="shared" si="1"/>
        <v>0</v>
      </c>
    </row>
    <row r="16" spans="1:9">
      <c r="A16" s="20">
        <f t="shared" si="0"/>
        <v>7</v>
      </c>
      <c r="B16" s="24"/>
      <c r="C16" s="23"/>
      <c r="D16" s="23" t="s">
        <v>60</v>
      </c>
      <c r="E16" s="23" t="s">
        <v>60</v>
      </c>
      <c r="F16" s="23" t="s">
        <v>60</v>
      </c>
      <c r="G16" s="23"/>
      <c r="I16" s="23"/>
    </row>
    <row r="17" spans="1:9">
      <c r="A17" s="20">
        <f t="shared" si="0"/>
        <v>8</v>
      </c>
      <c r="B17" s="22" t="s">
        <v>6</v>
      </c>
      <c r="C17" s="23"/>
      <c r="D17" s="23"/>
      <c r="E17" s="23"/>
      <c r="F17" s="23"/>
      <c r="G17" s="23"/>
      <c r="I17" s="23"/>
    </row>
    <row r="18" spans="1:9">
      <c r="A18" s="20">
        <f t="shared" si="0"/>
        <v>9</v>
      </c>
      <c r="B18" s="24" t="s">
        <v>7</v>
      </c>
      <c r="C18" s="23"/>
      <c r="D18" s="23"/>
      <c r="E18" s="23"/>
      <c r="F18" s="23"/>
      <c r="G18" s="23"/>
      <c r="I18" s="23"/>
    </row>
    <row r="19" spans="1:9">
      <c r="A19" s="20">
        <f t="shared" si="0"/>
        <v>10</v>
      </c>
      <c r="B19" s="24" t="s">
        <v>8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30">
        <v>0</v>
      </c>
      <c r="I19" s="29">
        <v>0</v>
      </c>
    </row>
    <row r="20" spans="1:9">
      <c r="A20" s="20">
        <f t="shared" si="0"/>
        <v>11</v>
      </c>
      <c r="B20" s="24" t="s">
        <v>9</v>
      </c>
      <c r="C20" s="23"/>
      <c r="D20" s="23"/>
      <c r="E20" s="23"/>
      <c r="F20" s="23"/>
      <c r="G20" s="23"/>
      <c r="I20" s="23"/>
    </row>
    <row r="21" spans="1:9">
      <c r="A21" s="20">
        <f t="shared" si="0"/>
        <v>12</v>
      </c>
      <c r="B21" s="25" t="s">
        <v>10</v>
      </c>
      <c r="C21" s="23"/>
      <c r="D21" s="23"/>
      <c r="E21" s="23"/>
      <c r="F21" s="23"/>
      <c r="G21" s="23"/>
      <c r="I21" s="23"/>
    </row>
    <row r="22" spans="1:9">
      <c r="A22" s="20">
        <f t="shared" si="0"/>
        <v>13</v>
      </c>
      <c r="B22" s="25" t="s">
        <v>11</v>
      </c>
      <c r="C22" s="23"/>
      <c r="D22" s="23"/>
      <c r="E22" s="23"/>
      <c r="F22" s="23"/>
      <c r="G22" s="23"/>
      <c r="I22" s="23"/>
    </row>
    <row r="23" spans="1:9">
      <c r="A23" s="20">
        <f t="shared" si="0"/>
        <v>14</v>
      </c>
      <c r="B23" s="26" t="s">
        <v>12</v>
      </c>
      <c r="C23" s="33">
        <f t="shared" ref="C23:I23" si="2">SUM(C19:C22)</f>
        <v>0</v>
      </c>
      <c r="D23" s="33">
        <f t="shared" si="2"/>
        <v>0</v>
      </c>
      <c r="E23" s="33">
        <f t="shared" si="2"/>
        <v>0</v>
      </c>
      <c r="F23" s="33">
        <f t="shared" si="2"/>
        <v>0</v>
      </c>
      <c r="G23" s="33">
        <f t="shared" si="2"/>
        <v>0</v>
      </c>
      <c r="H23" s="33">
        <f t="shared" si="2"/>
        <v>0</v>
      </c>
      <c r="I23" s="33">
        <f t="shared" si="2"/>
        <v>0</v>
      </c>
    </row>
    <row r="24" spans="1:9">
      <c r="A24" s="20">
        <f t="shared" si="0"/>
        <v>15</v>
      </c>
      <c r="B24" s="25"/>
      <c r="C24" s="23"/>
      <c r="D24" s="23"/>
      <c r="E24" s="23"/>
      <c r="F24" s="23"/>
      <c r="G24" s="23"/>
      <c r="I24" s="23"/>
    </row>
    <row r="25" spans="1:9">
      <c r="A25" s="20">
        <f t="shared" si="0"/>
        <v>16</v>
      </c>
      <c r="B25" s="25" t="s">
        <v>13</v>
      </c>
      <c r="C25" s="29"/>
      <c r="D25" s="29">
        <v>0</v>
      </c>
      <c r="E25" s="29">
        <v>0</v>
      </c>
      <c r="F25" s="29"/>
      <c r="G25" s="29">
        <v>0</v>
      </c>
      <c r="H25" s="30">
        <v>0</v>
      </c>
      <c r="I25" s="29">
        <v>0</v>
      </c>
    </row>
    <row r="26" spans="1:9">
      <c r="A26" s="20">
        <f t="shared" si="0"/>
        <v>17</v>
      </c>
      <c r="B26" s="24" t="s">
        <v>14</v>
      </c>
      <c r="C26" s="23">
        <f>+'Adj 10.14 P2.21'!F23</f>
        <v>-687000</v>
      </c>
      <c r="D26" s="23"/>
      <c r="E26" s="23"/>
      <c r="F26" s="23"/>
      <c r="G26" s="23"/>
      <c r="H26" s="23"/>
      <c r="I26" s="23"/>
    </row>
    <row r="27" spans="1:9">
      <c r="A27" s="20">
        <f t="shared" si="0"/>
        <v>18</v>
      </c>
      <c r="B27" s="24" t="s">
        <v>15</v>
      </c>
      <c r="C27" s="23"/>
      <c r="D27" s="23"/>
      <c r="E27" s="23"/>
      <c r="F27" s="23"/>
      <c r="G27" s="23"/>
      <c r="H27" s="23"/>
      <c r="I27" s="23"/>
    </row>
    <row r="28" spans="1:9">
      <c r="A28" s="20">
        <f t="shared" si="0"/>
        <v>19</v>
      </c>
      <c r="B28" s="24" t="s">
        <v>612</v>
      </c>
      <c r="C28" s="23"/>
      <c r="D28" s="23"/>
      <c r="E28" s="23"/>
      <c r="F28" s="23"/>
      <c r="G28" s="23"/>
      <c r="H28" s="23">
        <f>+'Adj 10.19 P2.26'!D12</f>
        <v>61479.013170731705</v>
      </c>
      <c r="I28" s="23"/>
    </row>
    <row r="29" spans="1:9">
      <c r="A29" s="20">
        <f t="shared" si="0"/>
        <v>20</v>
      </c>
      <c r="B29" s="24" t="s">
        <v>16</v>
      </c>
      <c r="C29" s="23"/>
      <c r="D29" s="23"/>
      <c r="E29" s="23"/>
      <c r="F29" s="23"/>
      <c r="G29" s="23"/>
      <c r="H29" s="23"/>
      <c r="I29" s="23"/>
    </row>
    <row r="30" spans="1:9">
      <c r="A30" s="20">
        <f t="shared" si="0"/>
        <v>21</v>
      </c>
      <c r="B30" s="25" t="s">
        <v>17</v>
      </c>
      <c r="C30" s="23"/>
      <c r="D30" s="23"/>
      <c r="E30" s="23"/>
      <c r="F30" s="23"/>
      <c r="G30" s="23"/>
      <c r="H30" s="23"/>
      <c r="I30" s="23"/>
    </row>
    <row r="31" spans="1:9">
      <c r="A31" s="20">
        <f t="shared" si="0"/>
        <v>22</v>
      </c>
      <c r="B31" s="24" t="s">
        <v>18</v>
      </c>
      <c r="C31" s="23">
        <f>+'Adj 10.14 P2.21'!F26+'Adj 10.14 P2.21'!F27+'Adj 10.14 P2.21'!F28+'Adj 10.14 P2.21'!F29+'Adj 10.14 P2.21'!F30</f>
        <v>918252.63448859868</v>
      </c>
      <c r="D31" s="23"/>
      <c r="E31" s="23"/>
      <c r="F31" s="23">
        <f>+'Adj 10.17 P2.24'!H18</f>
        <v>-470484.73534035496</v>
      </c>
      <c r="G31" s="23"/>
      <c r="H31" s="23"/>
      <c r="I31" s="23"/>
    </row>
    <row r="32" spans="1:9">
      <c r="A32" s="20">
        <f t="shared" si="0"/>
        <v>23</v>
      </c>
      <c r="B32" s="24" t="s">
        <v>19</v>
      </c>
      <c r="C32" s="23"/>
      <c r="D32" s="23"/>
      <c r="E32" s="23"/>
      <c r="F32" s="23"/>
      <c r="G32" s="23"/>
      <c r="H32" s="23"/>
      <c r="I32" s="23"/>
    </row>
    <row r="33" spans="1:9">
      <c r="A33" s="20">
        <f t="shared" si="0"/>
        <v>24</v>
      </c>
      <c r="B33" s="24" t="s">
        <v>20</v>
      </c>
      <c r="C33" s="23"/>
      <c r="D33" s="23"/>
      <c r="E33" s="23"/>
      <c r="F33" s="23"/>
      <c r="G33" s="23"/>
      <c r="H33" s="23"/>
      <c r="I33" s="23"/>
    </row>
    <row r="34" spans="1:9">
      <c r="A34" s="20">
        <f t="shared" si="0"/>
        <v>25</v>
      </c>
      <c r="B34" s="22" t="s">
        <v>21</v>
      </c>
      <c r="C34" s="23"/>
      <c r="D34" s="23"/>
      <c r="E34" s="23"/>
      <c r="F34" s="23"/>
      <c r="G34" s="23"/>
      <c r="H34" s="23"/>
      <c r="I34" s="23"/>
    </row>
    <row r="35" spans="1:9">
      <c r="A35" s="20">
        <f t="shared" si="0"/>
        <v>26</v>
      </c>
      <c r="B35" s="25" t="s">
        <v>22</v>
      </c>
      <c r="C35" s="23">
        <f>+'Adj 10.14 P2.21'!F19+'Adj 10.14 P2.21'!F22</f>
        <v>-1811618.14</v>
      </c>
      <c r="D35" s="23"/>
      <c r="E35" s="23"/>
      <c r="F35" s="23"/>
      <c r="G35" s="23"/>
      <c r="H35" s="23"/>
      <c r="I35" s="23"/>
    </row>
    <row r="36" spans="1:9">
      <c r="A36" s="20">
        <f t="shared" si="0"/>
        <v>27</v>
      </c>
      <c r="B36" s="25" t="s">
        <v>23</v>
      </c>
      <c r="C36" s="23"/>
      <c r="D36" s="23"/>
      <c r="E36" s="23"/>
      <c r="F36" s="23"/>
      <c r="G36" s="23"/>
      <c r="H36" s="23"/>
      <c r="I36" s="23"/>
    </row>
    <row r="37" spans="1:9">
      <c r="A37" s="20">
        <f t="shared" si="0"/>
        <v>28</v>
      </c>
      <c r="B37" s="24" t="s">
        <v>24</v>
      </c>
      <c r="C37" s="23"/>
      <c r="D37" s="23"/>
      <c r="E37" s="23">
        <f>+'Adj 10.16 P2.23'!D20</f>
        <v>-406300.84487998672</v>
      </c>
      <c r="F37" s="23"/>
      <c r="G37" s="23">
        <f>+'Adj 10.18 P2.25'!E19</f>
        <v>-78492.544970000628</v>
      </c>
      <c r="H37" s="23"/>
      <c r="I37" s="23">
        <f>+'Adj 10.20 P2.27'!E14</f>
        <v>-7537999</v>
      </c>
    </row>
    <row r="38" spans="1:9">
      <c r="A38" s="20">
        <f t="shared" si="0"/>
        <v>29</v>
      </c>
      <c r="B38" s="24" t="s">
        <v>25</v>
      </c>
      <c r="C38" s="23">
        <f>+'Adj 10.14 P2.21'!F35</f>
        <v>849975.8174289898</v>
      </c>
      <c r="D38" s="23"/>
      <c r="E38" s="23">
        <f>+'Adj 10.16 P2.23'!D22</f>
        <v>142205</v>
      </c>
      <c r="F38" s="23">
        <f>+'Adj 10.17 P2.24'!H20</f>
        <v>164669.65736912424</v>
      </c>
      <c r="G38" s="145">
        <f>+'Adj 10.18 P2.25'!E21</f>
        <v>27472.390739500217</v>
      </c>
      <c r="H38" s="23"/>
      <c r="I38" s="23"/>
    </row>
    <row r="39" spans="1:9">
      <c r="A39" s="20">
        <f t="shared" si="0"/>
        <v>30</v>
      </c>
      <c r="B39" s="24" t="s">
        <v>26</v>
      </c>
      <c r="C39" s="23"/>
      <c r="D39" s="23"/>
      <c r="E39" s="23"/>
      <c r="G39" s="27"/>
      <c r="I39" s="23">
        <f>+'Adj 10.20 P2.27'!E18</f>
        <v>2638299.65</v>
      </c>
    </row>
    <row r="40" spans="1:9">
      <c r="A40" s="20">
        <f t="shared" si="0"/>
        <v>31</v>
      </c>
      <c r="B40" s="28" t="s">
        <v>27</v>
      </c>
      <c r="C40" s="33">
        <f t="shared" ref="C40:I40" si="3">SUM(C23:C39)</f>
        <v>-730389.68808241142</v>
      </c>
      <c r="D40" s="33">
        <f t="shared" si="3"/>
        <v>0</v>
      </c>
      <c r="E40" s="33">
        <f t="shared" si="3"/>
        <v>-264095.84487998672</v>
      </c>
      <c r="F40" s="33">
        <f t="shared" si="3"/>
        <v>-305815.07797123073</v>
      </c>
      <c r="G40" s="33">
        <f t="shared" si="3"/>
        <v>-51020.154230500411</v>
      </c>
      <c r="H40" s="33">
        <f t="shared" si="3"/>
        <v>61479.013170731705</v>
      </c>
      <c r="I40" s="33">
        <f t="shared" si="3"/>
        <v>-4899699.3499999996</v>
      </c>
    </row>
    <row r="41" spans="1:9">
      <c r="A41" s="20">
        <f t="shared" si="0"/>
        <v>32</v>
      </c>
      <c r="B41" s="28"/>
      <c r="C41" s="16"/>
      <c r="D41" s="16"/>
      <c r="E41" s="16"/>
      <c r="F41" s="16"/>
      <c r="G41" s="16"/>
      <c r="H41" s="16"/>
      <c r="I41" s="16"/>
    </row>
    <row r="42" spans="1:9" ht="16.5" thickBot="1">
      <c r="A42" s="20">
        <f t="shared" si="0"/>
        <v>33</v>
      </c>
      <c r="B42" s="8" t="s">
        <v>28</v>
      </c>
      <c r="C42" s="34">
        <f t="shared" ref="C42:I42" si="4">+C15-C40</f>
        <v>1578526.1880824114</v>
      </c>
      <c r="D42" s="34">
        <f t="shared" si="4"/>
        <v>0</v>
      </c>
      <c r="E42" s="34">
        <f t="shared" si="4"/>
        <v>264095.84487998672</v>
      </c>
      <c r="F42" s="34">
        <f t="shared" si="4"/>
        <v>305815.07797123073</v>
      </c>
      <c r="G42" s="34">
        <f t="shared" si="4"/>
        <v>51020.154230500411</v>
      </c>
      <c r="H42" s="34">
        <f t="shared" si="4"/>
        <v>-61479.013170731705</v>
      </c>
      <c r="I42" s="34">
        <f t="shared" si="4"/>
        <v>4899699.3499999996</v>
      </c>
    </row>
    <row r="43" spans="1:9" ht="16.5" thickTop="1">
      <c r="A43" s="20">
        <f t="shared" si="0"/>
        <v>34</v>
      </c>
      <c r="B43" s="24"/>
      <c r="C43" s="23"/>
      <c r="D43" s="23"/>
      <c r="E43" s="23"/>
      <c r="F43" s="23"/>
      <c r="G43" s="23"/>
      <c r="I43" s="23"/>
    </row>
    <row r="44" spans="1:9">
      <c r="A44" s="20">
        <f t="shared" si="0"/>
        <v>35</v>
      </c>
      <c r="B44" s="8" t="s">
        <v>29</v>
      </c>
      <c r="C44" s="23"/>
      <c r="D44" s="23"/>
      <c r="E44" s="23"/>
      <c r="F44" s="23"/>
      <c r="G44" s="23"/>
      <c r="I44" s="23"/>
    </row>
    <row r="45" spans="1:9">
      <c r="A45" s="20">
        <f t="shared" si="0"/>
        <v>36</v>
      </c>
      <c r="B45" s="24" t="s">
        <v>611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  <c r="H45" s="30">
        <v>0</v>
      </c>
      <c r="I45" s="29"/>
    </row>
    <row r="46" spans="1:9">
      <c r="A46" s="20">
        <f t="shared" si="0"/>
        <v>37</v>
      </c>
      <c r="B46" s="24" t="s">
        <v>30</v>
      </c>
      <c r="C46" s="23"/>
      <c r="D46" s="23"/>
      <c r="E46" s="23"/>
      <c r="F46" s="23"/>
      <c r="G46" s="23"/>
      <c r="H46" s="23"/>
      <c r="I46" s="23"/>
    </row>
    <row r="47" spans="1:9">
      <c r="A47" s="20">
        <f t="shared" si="0"/>
        <v>38</v>
      </c>
      <c r="B47" s="24" t="s">
        <v>31</v>
      </c>
      <c r="C47" s="23"/>
      <c r="D47" s="23"/>
      <c r="E47" s="23"/>
      <c r="F47" s="23"/>
      <c r="G47" s="23"/>
      <c r="H47" s="23"/>
      <c r="I47" s="23"/>
    </row>
    <row r="48" spans="1:9">
      <c r="A48" s="20">
        <f t="shared" si="0"/>
        <v>39</v>
      </c>
      <c r="B48" s="24" t="s">
        <v>32</v>
      </c>
      <c r="C48" s="23"/>
      <c r="D48" s="23"/>
      <c r="E48" s="23"/>
      <c r="F48" s="23"/>
      <c r="G48" s="23"/>
      <c r="H48" s="23"/>
      <c r="I48" s="23"/>
    </row>
    <row r="49" spans="1:9">
      <c r="A49" s="20">
        <f t="shared" si="0"/>
        <v>40</v>
      </c>
      <c r="B49" s="24" t="s">
        <v>33</v>
      </c>
      <c r="C49" s="23"/>
      <c r="D49" s="23"/>
      <c r="E49" s="23"/>
      <c r="F49" s="23"/>
      <c r="G49" s="23"/>
      <c r="H49" s="23">
        <f>+'Adj 10.19 P2.26'!D16</f>
        <v>4846474.2075103223</v>
      </c>
      <c r="I49" s="23"/>
    </row>
    <row r="50" spans="1:9">
      <c r="A50" s="20">
        <f t="shared" si="0"/>
        <v>41</v>
      </c>
      <c r="B50" s="24" t="s">
        <v>34</v>
      </c>
      <c r="C50" s="23"/>
      <c r="D50" s="23"/>
      <c r="E50" s="23"/>
      <c r="F50" s="23"/>
      <c r="G50" s="23"/>
      <c r="H50" s="23"/>
      <c r="I50" s="23"/>
    </row>
    <row r="51" spans="1:9" ht="16.5" thickBot="1">
      <c r="A51" s="20">
        <f t="shared" si="0"/>
        <v>42</v>
      </c>
      <c r="B51" s="24" t="s">
        <v>35</v>
      </c>
      <c r="C51" s="34">
        <f t="shared" ref="C51:I51" si="5">SUM(C45:C50)</f>
        <v>0</v>
      </c>
      <c r="D51" s="34">
        <f t="shared" si="5"/>
        <v>0</v>
      </c>
      <c r="E51" s="34">
        <f t="shared" si="5"/>
        <v>0</v>
      </c>
      <c r="F51" s="34">
        <f t="shared" si="5"/>
        <v>0</v>
      </c>
      <c r="G51" s="34">
        <f t="shared" si="5"/>
        <v>0</v>
      </c>
      <c r="H51" s="34">
        <f t="shared" si="5"/>
        <v>4846474.2075103223</v>
      </c>
      <c r="I51" s="34">
        <f t="shared" si="5"/>
        <v>0</v>
      </c>
    </row>
    <row r="52" spans="1:9" ht="16.5" thickTop="1">
      <c r="A52" s="25"/>
      <c r="B52" s="25"/>
    </row>
  </sheetData>
  <mergeCells count="4">
    <mergeCell ref="A2:I2"/>
    <mergeCell ref="A3:I3"/>
    <mergeCell ref="A4:I4"/>
    <mergeCell ref="A5:I5"/>
  </mergeCells>
  <pageMargins left="0.5" right="0.5" top="0.75" bottom="0.3" header="0.3" footer="0.3"/>
  <pageSetup scale="68" orientation="landscape" r:id="rId1"/>
  <headerFooter scaleWithDoc="0">
    <oddHeader>&amp;R&amp;"Times New Roman,Regular"UE-090704/UG-090705
Exhibit No. KHB-2
Page  2.4</oddHead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topLeftCell="A5" zoomScaleNormal="100" workbookViewId="0">
      <selection activeCell="F31" sqref="F31"/>
    </sheetView>
  </sheetViews>
  <sheetFormatPr defaultColWidth="9.140625" defaultRowHeight="15.75"/>
  <cols>
    <col min="1" max="1" width="7.42578125" style="2" customWidth="1"/>
    <col min="2" max="2" width="54.85546875" style="2" customWidth="1"/>
    <col min="3" max="3" width="9.140625" style="2" customWidth="1"/>
    <col min="4" max="4" width="14.28515625" style="2" customWidth="1"/>
    <col min="5" max="5" width="18" style="2" customWidth="1"/>
    <col min="6" max="6" width="16.85546875" style="2" customWidth="1"/>
    <col min="7" max="16384" width="9.140625" style="2"/>
  </cols>
  <sheetData>
    <row r="1" spans="1:6">
      <c r="A1" s="2" t="str">
        <f>CO</f>
        <v>Puget Sound Energy</v>
      </c>
    </row>
    <row r="2" spans="1:6">
      <c r="A2" s="2" t="str">
        <f>DOCKET</f>
        <v>Docket UE-090704/UG-090705</v>
      </c>
    </row>
    <row r="4" spans="1:6">
      <c r="A4" s="443" t="s">
        <v>201</v>
      </c>
      <c r="B4" s="443"/>
      <c r="C4" s="443"/>
      <c r="D4" s="444"/>
      <c r="E4" s="444"/>
      <c r="F4" s="444"/>
    </row>
    <row r="5" spans="1:6">
      <c r="A5" s="444" t="s">
        <v>595</v>
      </c>
      <c r="B5" s="444"/>
      <c r="C5" s="444"/>
      <c r="D5" s="444"/>
      <c r="E5" s="444"/>
      <c r="F5" s="445"/>
    </row>
    <row r="6" spans="1:6">
      <c r="A6" s="444" t="s">
        <v>204</v>
      </c>
      <c r="B6" s="444"/>
      <c r="C6" s="444"/>
      <c r="D6" s="444"/>
      <c r="E6" s="444"/>
      <c r="F6" s="446"/>
    </row>
    <row r="7" spans="1:6">
      <c r="A7" s="444" t="s">
        <v>205</v>
      </c>
      <c r="B7" s="444"/>
      <c r="C7" s="444"/>
      <c r="D7" s="444"/>
      <c r="E7" s="444"/>
      <c r="F7" s="446"/>
    </row>
    <row r="8" spans="1:6">
      <c r="A8" s="444"/>
      <c r="B8" s="444"/>
      <c r="C8" s="444"/>
      <c r="D8" s="444"/>
      <c r="E8" s="444"/>
      <c r="F8" s="446"/>
    </row>
    <row r="9" spans="1:6">
      <c r="A9" s="295" t="s">
        <v>208</v>
      </c>
      <c r="B9" s="296"/>
      <c r="C9" s="296"/>
      <c r="D9" s="298"/>
      <c r="E9" s="298"/>
      <c r="F9" s="298"/>
    </row>
    <row r="10" spans="1:6">
      <c r="A10" s="447" t="s">
        <v>215</v>
      </c>
      <c r="B10" s="448" t="s">
        <v>216</v>
      </c>
      <c r="C10" s="448"/>
      <c r="D10" s="447" t="s">
        <v>495</v>
      </c>
      <c r="E10" s="447" t="s">
        <v>214</v>
      </c>
      <c r="F10" s="447" t="s">
        <v>217</v>
      </c>
    </row>
    <row r="11" spans="1:6">
      <c r="A11" s="304"/>
      <c r="B11" s="304"/>
      <c r="C11" s="304"/>
      <c r="D11" s="304"/>
      <c r="E11" s="304"/>
      <c r="F11" s="304"/>
    </row>
    <row r="12" spans="1:6">
      <c r="A12" s="449"/>
      <c r="B12" s="307"/>
      <c r="C12" s="307"/>
      <c r="D12" s="450"/>
      <c r="E12" s="450"/>
      <c r="F12" s="450"/>
    </row>
    <row r="13" spans="1:6">
      <c r="A13" s="449">
        <v>1</v>
      </c>
      <c r="B13" s="451" t="s">
        <v>586</v>
      </c>
      <c r="C13" s="451"/>
      <c r="D13" s="450"/>
      <c r="E13" s="450"/>
      <c r="F13" s="450"/>
    </row>
    <row r="14" spans="1:6">
      <c r="A14" s="449">
        <f>A13+1</f>
        <v>2</v>
      </c>
      <c r="B14" s="452" t="s">
        <v>587</v>
      </c>
      <c r="C14" s="452"/>
      <c r="D14" s="453">
        <v>0</v>
      </c>
      <c r="E14" s="454">
        <v>0</v>
      </c>
      <c r="F14" s="454">
        <f>+E14-D14</f>
        <v>0</v>
      </c>
    </row>
    <row r="15" spans="1:6">
      <c r="A15" s="449">
        <f>A14+1</f>
        <v>3</v>
      </c>
      <c r="B15" s="452" t="s">
        <v>588</v>
      </c>
      <c r="C15" s="452"/>
      <c r="D15" s="455">
        <v>0</v>
      </c>
      <c r="E15" s="456">
        <v>0</v>
      </c>
      <c r="F15" s="456">
        <f>+E15-D15</f>
        <v>0</v>
      </c>
    </row>
    <row r="16" spans="1:6">
      <c r="A16" s="449">
        <f t="shared" ref="A16:A30" si="0">A15+1</f>
        <v>4</v>
      </c>
      <c r="B16" s="452" t="s">
        <v>589</v>
      </c>
      <c r="C16" s="452"/>
      <c r="D16" s="457">
        <f>([14]DFIT!S41+[14]DFIT!S40)/2</f>
        <v>-5482292.5045000017</v>
      </c>
      <c r="E16" s="457">
        <v>-5482293</v>
      </c>
      <c r="F16" s="457">
        <f>+E16-D16</f>
        <v>-0.49549999833106995</v>
      </c>
    </row>
    <row r="17" spans="1:6" ht="16.5" thickBot="1">
      <c r="A17" s="449">
        <f t="shared" si="0"/>
        <v>5</v>
      </c>
      <c r="B17" s="451" t="s">
        <v>590</v>
      </c>
      <c r="C17" s="451"/>
      <c r="D17" s="458">
        <f>SUM(D14:D16)</f>
        <v>-5482292.5045000017</v>
      </c>
      <c r="E17" s="458">
        <f>SUM(E14:E16)</f>
        <v>-5482293</v>
      </c>
      <c r="F17" s="458">
        <f>SUM(F14:F16)</f>
        <v>-0.49549999833106995</v>
      </c>
    </row>
    <row r="18" spans="1:6" ht="16.5" thickTop="1">
      <c r="A18" s="449">
        <f t="shared" si="0"/>
        <v>6</v>
      </c>
      <c r="B18" s="452"/>
      <c r="C18" s="452"/>
      <c r="D18" s="459"/>
      <c r="E18" s="459"/>
      <c r="F18" s="459"/>
    </row>
    <row r="19" spans="1:6">
      <c r="A19" s="449">
        <f t="shared" si="0"/>
        <v>7</v>
      </c>
      <c r="B19" s="452"/>
      <c r="C19" s="452"/>
      <c r="D19" s="459"/>
      <c r="E19" s="459"/>
      <c r="F19" s="459"/>
    </row>
    <row r="20" spans="1:6">
      <c r="A20" s="449">
        <f t="shared" si="0"/>
        <v>8</v>
      </c>
      <c r="B20" s="451" t="s">
        <v>424</v>
      </c>
      <c r="C20" s="451"/>
      <c r="D20" s="460"/>
      <c r="E20" s="460"/>
      <c r="F20" s="460"/>
    </row>
    <row r="21" spans="1:6">
      <c r="A21" s="449">
        <f t="shared" si="0"/>
        <v>9</v>
      </c>
      <c r="B21" s="452" t="s">
        <v>591</v>
      </c>
      <c r="C21" s="452"/>
      <c r="D21" s="461"/>
      <c r="E21" s="462">
        <v>5295052</v>
      </c>
      <c r="F21" s="453">
        <f>E21-D21</f>
        <v>5295052</v>
      </c>
    </row>
    <row r="22" spans="1:6">
      <c r="A22" s="449">
        <f t="shared" si="0"/>
        <v>10</v>
      </c>
      <c r="B22" s="452" t="s">
        <v>570</v>
      </c>
      <c r="C22" s="452"/>
      <c r="D22" s="453">
        <v>0</v>
      </c>
      <c r="E22" s="453">
        <v>0</v>
      </c>
      <c r="F22" s="453">
        <f>E22-D22</f>
        <v>0</v>
      </c>
    </row>
    <row r="23" spans="1:6">
      <c r="A23" s="449">
        <f t="shared" si="0"/>
        <v>11</v>
      </c>
      <c r="B23" s="452" t="s">
        <v>592</v>
      </c>
      <c r="C23" s="452"/>
      <c r="D23" s="456">
        <f>'[14]Insurance Costs'!S7</f>
        <v>38323.80000000001</v>
      </c>
      <c r="E23" s="456">
        <v>38324</v>
      </c>
      <c r="F23" s="456">
        <f>E23-D23</f>
        <v>0.19999999998981366</v>
      </c>
    </row>
    <row r="24" spans="1:6">
      <c r="A24" s="449">
        <f t="shared" si="0"/>
        <v>12</v>
      </c>
      <c r="B24" s="452" t="s">
        <v>593</v>
      </c>
      <c r="C24" s="452"/>
      <c r="D24" s="456"/>
      <c r="E24" s="456"/>
      <c r="F24" s="456">
        <f>E24-D24</f>
        <v>0</v>
      </c>
    </row>
    <row r="25" spans="1:6">
      <c r="A25" s="449">
        <f t="shared" si="0"/>
        <v>13</v>
      </c>
      <c r="B25" s="452" t="s">
        <v>249</v>
      </c>
      <c r="C25" s="452"/>
      <c r="D25" s="463">
        <f>SUM(D21:D24)</f>
        <v>38323.80000000001</v>
      </c>
      <c r="E25" s="463">
        <f>SUM(E21:E24)</f>
        <v>5333376</v>
      </c>
      <c r="F25" s="463">
        <f>SUM(F21:F24)</f>
        <v>5295052.2</v>
      </c>
    </row>
    <row r="26" spans="1:6">
      <c r="A26" s="449">
        <f t="shared" si="0"/>
        <v>14</v>
      </c>
      <c r="B26" s="452"/>
      <c r="C26" s="452"/>
      <c r="D26" s="454"/>
      <c r="E26" s="454"/>
      <c r="F26" s="454"/>
    </row>
    <row r="27" spans="1:6">
      <c r="A27" s="449">
        <f t="shared" si="0"/>
        <v>15</v>
      </c>
      <c r="B27" s="452" t="s">
        <v>249</v>
      </c>
      <c r="C27" s="452"/>
      <c r="D27" s="455">
        <f>D25</f>
        <v>38323.80000000001</v>
      </c>
      <c r="E27" s="455">
        <f>E25</f>
        <v>5333376</v>
      </c>
      <c r="F27" s="455">
        <f>F25</f>
        <v>5295052.2</v>
      </c>
    </row>
    <row r="28" spans="1:6">
      <c r="A28" s="449">
        <f t="shared" si="0"/>
        <v>16</v>
      </c>
      <c r="B28" s="452"/>
      <c r="C28" s="452"/>
      <c r="D28" s="455"/>
      <c r="E28" s="455"/>
      <c r="F28" s="455"/>
    </row>
    <row r="29" spans="1:6">
      <c r="A29" s="449">
        <f t="shared" si="0"/>
        <v>17</v>
      </c>
      <c r="B29" s="452" t="s">
        <v>259</v>
      </c>
      <c r="C29" s="464">
        <v>0.35</v>
      </c>
      <c r="D29" s="465">
        <f>ROUND(-D27*C$29,0)</f>
        <v>-13413</v>
      </c>
      <c r="E29" s="465">
        <f>ROUND(-E27*C$29,0)</f>
        <v>-1866682</v>
      </c>
      <c r="F29" s="465">
        <f>ROUND(-F27*C$29,0)</f>
        <v>-1853268</v>
      </c>
    </row>
    <row r="30" spans="1:6">
      <c r="A30" s="449">
        <f t="shared" si="0"/>
        <v>18</v>
      </c>
      <c r="B30" s="452" t="s">
        <v>594</v>
      </c>
      <c r="C30" s="452"/>
      <c r="D30" s="466">
        <f>-D27-D29</f>
        <v>-24910.80000000001</v>
      </c>
      <c r="E30" s="466">
        <f>-E27-E29</f>
        <v>-3466694</v>
      </c>
      <c r="F30" s="466">
        <f>-F27-F29</f>
        <v>-3441784.2</v>
      </c>
    </row>
    <row r="31" spans="1:6">
      <c r="A31" s="266"/>
      <c r="B31" s="359"/>
      <c r="C31" s="243"/>
      <c r="D31" s="340"/>
    </row>
    <row r="32" spans="1:6">
      <c r="A32" s="266"/>
      <c r="B32" s="360"/>
      <c r="C32" s="243"/>
      <c r="D32" s="340"/>
    </row>
    <row r="33" spans="1:4">
      <c r="A33" s="266"/>
      <c r="B33" s="360"/>
      <c r="C33" s="243"/>
      <c r="D33" s="340"/>
    </row>
    <row r="34" spans="1:4">
      <c r="A34" s="266"/>
      <c r="B34" s="360"/>
      <c r="C34" s="243"/>
      <c r="D34" s="340"/>
    </row>
    <row r="35" spans="1:4">
      <c r="A35" s="266"/>
      <c r="B35" s="243"/>
      <c r="C35" s="243"/>
      <c r="D35" s="340"/>
    </row>
    <row r="36" spans="1:4">
      <c r="A36" s="266"/>
      <c r="B36" s="243"/>
      <c r="C36" s="243"/>
      <c r="D36" s="339"/>
    </row>
    <row r="37" spans="1:4">
      <c r="A37" s="266"/>
      <c r="B37" s="243"/>
      <c r="C37" s="243"/>
      <c r="D37" s="339"/>
    </row>
    <row r="38" spans="1:4">
      <c r="A38" s="266"/>
      <c r="B38" s="243"/>
      <c r="C38" s="243"/>
      <c r="D38" s="339"/>
    </row>
    <row r="39" spans="1:4">
      <c r="A39" s="266"/>
      <c r="B39" s="243"/>
      <c r="C39" s="243"/>
      <c r="D39" s="340"/>
    </row>
    <row r="40" spans="1:4">
      <c r="A40" s="243"/>
      <c r="B40" s="243"/>
      <c r="C40" s="243"/>
      <c r="D40" s="243"/>
    </row>
    <row r="41" spans="1:4">
      <c r="A41" s="18"/>
      <c r="B41" s="18"/>
      <c r="C41" s="18"/>
      <c r="D41" s="18"/>
    </row>
  </sheetData>
  <pageMargins left="0.7" right="0.7" top="0.75" bottom="0.75" header="0.75" footer="0.3"/>
  <pageSetup scale="75" orientation="portrait" r:id="rId1"/>
  <headerFooter>
    <oddHeader>&amp;R&amp;"Times New Roman,Regular"&amp;12Exhibit KHB-2
Page 2.40</oddHead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8"/>
  <sheetViews>
    <sheetView zoomScaleNormal="100" workbookViewId="0">
      <selection activeCell="B46" sqref="B46"/>
    </sheetView>
  </sheetViews>
  <sheetFormatPr defaultColWidth="9.140625" defaultRowHeight="15.75"/>
  <cols>
    <col min="1" max="1" width="9.140625" style="2"/>
    <col min="2" max="2" width="58.140625" style="2" customWidth="1"/>
    <col min="3" max="3" width="17" style="2" customWidth="1"/>
    <col min="4" max="4" width="15.7109375" style="2" customWidth="1"/>
    <col min="5" max="5" width="21.28515625" style="2" customWidth="1"/>
    <col min="6" max="16384" width="9.140625" style="2"/>
  </cols>
  <sheetData>
    <row r="1" spans="1:5">
      <c r="A1" s="2" t="str">
        <f>CO</f>
        <v>Puget Sound Energy</v>
      </c>
    </row>
    <row r="2" spans="1:5">
      <c r="A2" s="2" t="str">
        <f>DOCKET</f>
        <v>Docket UE-090704/UG-090705</v>
      </c>
    </row>
    <row r="4" spans="1:5">
      <c r="A4" s="46" t="s">
        <v>201</v>
      </c>
      <c r="B4" s="38"/>
      <c r="C4" s="38"/>
      <c r="D4" s="38"/>
      <c r="E4" s="38"/>
    </row>
    <row r="5" spans="1:5">
      <c r="A5" s="38" t="s">
        <v>596</v>
      </c>
      <c r="B5" s="38"/>
      <c r="C5" s="38"/>
      <c r="D5" s="38"/>
      <c r="E5" s="38"/>
    </row>
    <row r="6" spans="1:5">
      <c r="A6" s="38" t="str">
        <f>TY</f>
        <v>FOR THE TWELVE MONTHS ENDED DECEMBER 31, 2008</v>
      </c>
      <c r="B6" s="38"/>
      <c r="C6" s="38"/>
      <c r="D6" s="38"/>
      <c r="E6" s="38"/>
    </row>
    <row r="7" spans="1:5">
      <c r="A7" s="46" t="s">
        <v>205</v>
      </c>
      <c r="B7" s="38"/>
      <c r="C7" s="38"/>
      <c r="D7" s="38"/>
      <c r="E7" s="38"/>
    </row>
    <row r="8" spans="1:5">
      <c r="A8" s="49"/>
      <c r="B8" s="130"/>
      <c r="C8" s="130"/>
      <c r="D8" s="130"/>
      <c r="E8" s="49"/>
    </row>
    <row r="9" spans="1:5">
      <c r="A9" s="50" t="s">
        <v>208</v>
      </c>
      <c r="B9" s="130"/>
      <c r="C9" s="171"/>
      <c r="D9" s="50"/>
      <c r="E9" s="50"/>
    </row>
    <row r="10" spans="1:5">
      <c r="A10" s="40" t="s">
        <v>215</v>
      </c>
      <c r="B10" s="52" t="s">
        <v>216</v>
      </c>
      <c r="C10" s="172" t="s">
        <v>218</v>
      </c>
      <c r="D10" s="40" t="s">
        <v>214</v>
      </c>
      <c r="E10" s="40" t="s">
        <v>217</v>
      </c>
    </row>
    <row r="11" spans="1:5">
      <c r="A11" s="57">
        <v>1</v>
      </c>
      <c r="B11" s="58"/>
      <c r="C11" s="58"/>
      <c r="D11" s="58"/>
      <c r="E11" s="58"/>
    </row>
    <row r="12" spans="1:5">
      <c r="A12" s="57">
        <f t="shared" ref="A12:A26" si="0">A11+1</f>
        <v>2</v>
      </c>
      <c r="B12" s="58" t="s">
        <v>236</v>
      </c>
      <c r="C12" s="72">
        <v>0</v>
      </c>
      <c r="D12" s="177">
        <v>3780788</v>
      </c>
      <c r="E12" s="72">
        <f>D12-C12</f>
        <v>3780788</v>
      </c>
    </row>
    <row r="13" spans="1:5">
      <c r="A13" s="57">
        <f t="shared" si="0"/>
        <v>3</v>
      </c>
      <c r="B13" s="58" t="s">
        <v>242</v>
      </c>
      <c r="C13" s="44">
        <v>-776937</v>
      </c>
      <c r="D13" s="73">
        <v>0</v>
      </c>
      <c r="E13" s="75">
        <f>D13-C13</f>
        <v>776937</v>
      </c>
    </row>
    <row r="14" spans="1:5">
      <c r="A14" s="57">
        <f t="shared" si="0"/>
        <v>4</v>
      </c>
      <c r="B14" s="58" t="s">
        <v>236</v>
      </c>
      <c r="C14" s="173">
        <f>SUM(C12:C13)</f>
        <v>-776937</v>
      </c>
      <c r="D14" s="173">
        <f>SUM(D12:D13)</f>
        <v>3780788</v>
      </c>
      <c r="E14" s="173">
        <f>SUM(E12:E13)</f>
        <v>4557725</v>
      </c>
    </row>
    <row r="15" spans="1:5">
      <c r="A15" s="57">
        <f t="shared" si="0"/>
        <v>5</v>
      </c>
      <c r="B15" s="58"/>
      <c r="C15" s="44"/>
      <c r="D15" s="44"/>
      <c r="E15" s="44"/>
    </row>
    <row r="16" spans="1:5">
      <c r="A16" s="57">
        <f t="shared" si="0"/>
        <v>6</v>
      </c>
      <c r="B16" s="58" t="s">
        <v>255</v>
      </c>
      <c r="C16" s="83"/>
      <c r="D16" s="83"/>
      <c r="E16" s="44">
        <f>E14</f>
        <v>4557725</v>
      </c>
    </row>
    <row r="17" spans="1:5">
      <c r="A17" s="57">
        <f t="shared" si="0"/>
        <v>7</v>
      </c>
      <c r="B17" s="58"/>
      <c r="C17" s="44"/>
      <c r="D17" s="44"/>
      <c r="E17" s="44"/>
    </row>
    <row r="18" spans="1:5">
      <c r="A18" s="57">
        <f t="shared" si="0"/>
        <v>8</v>
      </c>
      <c r="B18" s="58" t="s">
        <v>248</v>
      </c>
      <c r="C18" s="113"/>
      <c r="D18" s="174">
        <f>FIT</f>
        <v>0.35</v>
      </c>
      <c r="E18" s="43">
        <f>ROUND(-E16*D18,0)</f>
        <v>-1595204</v>
      </c>
    </row>
    <row r="19" spans="1:5">
      <c r="A19" s="57">
        <f t="shared" si="0"/>
        <v>9</v>
      </c>
      <c r="B19" s="58"/>
      <c r="C19" s="97"/>
      <c r="D19" s="97"/>
      <c r="E19" s="70"/>
    </row>
    <row r="20" spans="1:5" ht="16.5" thickBot="1">
      <c r="A20" s="57">
        <f t="shared" si="0"/>
        <v>10</v>
      </c>
      <c r="B20" s="58" t="s">
        <v>258</v>
      </c>
      <c r="C20" s="44"/>
      <c r="D20" s="44"/>
      <c r="E20" s="175">
        <f>-E16-E18</f>
        <v>-2962521</v>
      </c>
    </row>
    <row r="21" spans="1:5" ht="16.5" thickTop="1">
      <c r="A21" s="57">
        <f t="shared" si="0"/>
        <v>11</v>
      </c>
      <c r="B21" s="176"/>
      <c r="C21" s="176"/>
      <c r="D21" s="176"/>
      <c r="E21" s="176"/>
    </row>
    <row r="22" spans="1:5">
      <c r="A22" s="57">
        <f t="shared" si="0"/>
        <v>12</v>
      </c>
      <c r="B22" s="44" t="s">
        <v>229</v>
      </c>
      <c r="C22" s="44"/>
      <c r="D22" s="44"/>
      <c r="E22" s="44"/>
    </row>
    <row r="23" spans="1:5">
      <c r="A23" s="57">
        <f t="shared" si="0"/>
        <v>13</v>
      </c>
      <c r="B23" s="44" t="s">
        <v>280</v>
      </c>
      <c r="C23" s="177">
        <v>110252</v>
      </c>
      <c r="D23" s="177">
        <v>56711824</v>
      </c>
      <c r="E23" s="72">
        <f>D23-C23</f>
        <v>56601572</v>
      </c>
    </row>
    <row r="24" spans="1:5">
      <c r="A24" s="57">
        <f t="shared" si="0"/>
        <v>14</v>
      </c>
      <c r="B24" s="44" t="s">
        <v>285</v>
      </c>
      <c r="C24" s="44">
        <v>0</v>
      </c>
      <c r="D24" s="44">
        <v>-1890394</v>
      </c>
      <c r="E24" s="177">
        <f>D24-C24</f>
        <v>-1890394</v>
      </c>
    </row>
    <row r="25" spans="1:5">
      <c r="A25" s="57">
        <f t="shared" si="0"/>
        <v>15</v>
      </c>
      <c r="B25" s="44" t="s">
        <v>289</v>
      </c>
      <c r="C25" s="44">
        <v>-38583</v>
      </c>
      <c r="D25" s="44">
        <v>-19187501</v>
      </c>
      <c r="E25" s="177">
        <f>D25-C25</f>
        <v>-19148918</v>
      </c>
    </row>
    <row r="26" spans="1:5" ht="16.5" thickBot="1">
      <c r="A26" s="57">
        <f t="shared" si="0"/>
        <v>16</v>
      </c>
      <c r="B26" s="58" t="s">
        <v>294</v>
      </c>
      <c r="C26" s="178">
        <f>SUM(C23:C25)</f>
        <v>71669</v>
      </c>
      <c r="D26" s="178">
        <f>SUM(D23:D25)</f>
        <v>35633929</v>
      </c>
      <c r="E26" s="178">
        <f>SUM(E23:E25)</f>
        <v>35562260</v>
      </c>
    </row>
    <row r="27" spans="1:5" ht="16.5" thickTop="1">
      <c r="A27" s="57"/>
      <c r="B27" s="44"/>
      <c r="C27" s="44"/>
      <c r="D27" s="44"/>
      <c r="E27" s="44"/>
    </row>
    <row r="28" spans="1:5">
      <c r="A28" s="57"/>
      <c r="B28" s="467" t="s">
        <v>597</v>
      </c>
      <c r="C28" s="75"/>
      <c r="D28" s="75"/>
      <c r="E28" s="75"/>
    </row>
  </sheetData>
  <pageMargins left="0.7" right="0.7" top="0.75" bottom="0.75" header="0.75" footer="0.3"/>
  <pageSetup scale="74" orientation="portrait" r:id="rId1"/>
  <headerFooter>
    <oddHeader>&amp;R&amp;"Times New Roman,Regular"&amp;12EXHIBIT KBH-2
Page 2.41</oddHead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1"/>
  <sheetViews>
    <sheetView topLeftCell="A5" zoomScaleNormal="100" workbookViewId="0">
      <selection activeCell="B46" sqref="B46"/>
    </sheetView>
  </sheetViews>
  <sheetFormatPr defaultColWidth="9.140625" defaultRowHeight="15.75"/>
  <cols>
    <col min="1" max="1" width="7.42578125" style="2" customWidth="1"/>
    <col min="2" max="2" width="38.42578125" style="2" customWidth="1"/>
    <col min="3" max="4" width="14.140625" style="2" customWidth="1"/>
    <col min="5" max="5" width="18" style="2" customWidth="1"/>
    <col min="6" max="16384" width="9.140625" style="2"/>
  </cols>
  <sheetData>
    <row r="1" spans="1:5">
      <c r="A1" s="2" t="str">
        <f>CO</f>
        <v>Puget Sound Energy</v>
      </c>
    </row>
    <row r="2" spans="1:5">
      <c r="A2" s="2" t="str">
        <f>DOCKET</f>
        <v>Docket UE-090704/UG-090705</v>
      </c>
    </row>
    <row r="4" spans="1:5">
      <c r="A4" s="219" t="s">
        <v>201</v>
      </c>
      <c r="B4" s="219"/>
      <c r="C4" s="219"/>
      <c r="D4" s="219"/>
      <c r="E4" s="219"/>
    </row>
    <row r="5" spans="1:5">
      <c r="A5" s="219" t="s">
        <v>601</v>
      </c>
      <c r="B5" s="219"/>
      <c r="C5" s="219"/>
      <c r="D5" s="219"/>
      <c r="E5" s="219"/>
    </row>
    <row r="6" spans="1:5">
      <c r="A6" s="219" t="str">
        <f>TY</f>
        <v>FOR THE TWELVE MONTHS ENDED DECEMBER 31, 2008</v>
      </c>
      <c r="B6" s="219"/>
      <c r="C6" s="219"/>
      <c r="D6" s="219"/>
      <c r="E6" s="219"/>
    </row>
    <row r="7" spans="1:5">
      <c r="A7" s="219" t="s">
        <v>205</v>
      </c>
      <c r="B7" s="219"/>
      <c r="C7" s="219"/>
      <c r="D7" s="219"/>
      <c r="E7" s="219"/>
    </row>
    <row r="8" spans="1:5">
      <c r="A8" s="220"/>
      <c r="B8" s="220"/>
      <c r="C8" s="220"/>
      <c r="D8" s="220"/>
      <c r="E8" s="220"/>
    </row>
    <row r="9" spans="1:5">
      <c r="A9" s="222" t="s">
        <v>208</v>
      </c>
      <c r="B9" s="223"/>
      <c r="C9" s="849"/>
      <c r="D9" s="225"/>
      <c r="E9" s="225"/>
    </row>
    <row r="10" spans="1:5">
      <c r="A10" s="226" t="s">
        <v>215</v>
      </c>
      <c r="B10" s="227" t="s">
        <v>216</v>
      </c>
      <c r="C10" s="850" t="s">
        <v>218</v>
      </c>
      <c r="D10" s="228" t="s">
        <v>214</v>
      </c>
      <c r="E10" s="228" t="s">
        <v>217</v>
      </c>
    </row>
    <row r="11" spans="1:5">
      <c r="A11" s="232"/>
      <c r="B11" s="230"/>
      <c r="C11" s="230"/>
      <c r="D11" s="230"/>
      <c r="E11" s="230"/>
    </row>
    <row r="12" spans="1:5">
      <c r="A12" s="231">
        <v>1</v>
      </c>
      <c r="B12" s="851" t="s">
        <v>598</v>
      </c>
      <c r="C12" s="852"/>
      <c r="D12" s="853"/>
      <c r="E12" s="852"/>
    </row>
    <row r="13" spans="1:5">
      <c r="A13" s="231">
        <f>A12+1</f>
        <v>2</v>
      </c>
      <c r="B13" s="854" t="s">
        <v>591</v>
      </c>
      <c r="C13" s="177">
        <v>2761858.7483040001</v>
      </c>
      <c r="D13" s="177">
        <v>0</v>
      </c>
      <c r="E13" s="240">
        <f>+D13-C13</f>
        <v>-2761858.7483040001</v>
      </c>
    </row>
    <row r="14" spans="1:5">
      <c r="A14" s="231">
        <f t="shared" ref="A14:A28" si="0">A13+1</f>
        <v>3</v>
      </c>
      <c r="B14" s="854" t="s">
        <v>570</v>
      </c>
      <c r="C14" s="855">
        <v>0</v>
      </c>
      <c r="D14" s="856">
        <v>804616.29970017471</v>
      </c>
      <c r="E14" s="857">
        <f>D14-C14</f>
        <v>804616.29970017471</v>
      </c>
    </row>
    <row r="15" spans="1:5">
      <c r="A15" s="231">
        <f t="shared" si="0"/>
        <v>4</v>
      </c>
      <c r="B15" s="854" t="s">
        <v>249</v>
      </c>
      <c r="C15" s="858">
        <f>SUM(C13:C14)</f>
        <v>2761858.7483040001</v>
      </c>
      <c r="D15" s="858">
        <f>SUM(D13:D14)</f>
        <v>804616.29970017471</v>
      </c>
      <c r="E15" s="858">
        <f>SUM(E13:E14)</f>
        <v>-1957242.4486038254</v>
      </c>
    </row>
    <row r="16" spans="1:5">
      <c r="A16" s="231">
        <f t="shared" si="0"/>
        <v>5</v>
      </c>
      <c r="B16" s="854"/>
      <c r="C16" s="859"/>
      <c r="D16" s="859"/>
      <c r="E16" s="859"/>
    </row>
    <row r="17" spans="1:5">
      <c r="A17" s="231">
        <f t="shared" si="0"/>
        <v>6</v>
      </c>
      <c r="B17" s="854" t="s">
        <v>249</v>
      </c>
      <c r="C17" s="703">
        <f>C15</f>
        <v>2761858.7483040001</v>
      </c>
      <c r="D17" s="703">
        <f>D15</f>
        <v>804616.29970017471</v>
      </c>
      <c r="E17" s="703">
        <f>E15</f>
        <v>-1957242.4486038254</v>
      </c>
    </row>
    <row r="18" spans="1:5">
      <c r="A18" s="231">
        <f t="shared" si="0"/>
        <v>7</v>
      </c>
      <c r="B18" s="854"/>
      <c r="C18" s="860"/>
      <c r="D18" s="860"/>
      <c r="E18" s="860"/>
    </row>
    <row r="19" spans="1:5">
      <c r="A19" s="231">
        <f t="shared" si="0"/>
        <v>8</v>
      </c>
      <c r="B19" s="854"/>
      <c r="C19" s="174">
        <f>FIT</f>
        <v>0.35</v>
      </c>
      <c r="D19" s="861"/>
      <c r="E19" s="861"/>
    </row>
    <row r="20" spans="1:5">
      <c r="A20" s="231">
        <f t="shared" si="0"/>
        <v>9</v>
      </c>
      <c r="B20" s="854" t="s">
        <v>259</v>
      </c>
      <c r="C20" s="862">
        <f>ROUND(-C17*$C19,0)</f>
        <v>-966651</v>
      </c>
      <c r="D20" s="862">
        <f t="shared" ref="D20:E20" si="1">ROUND(-D17*$C19,0)</f>
        <v>-281616</v>
      </c>
      <c r="E20" s="862">
        <f t="shared" si="1"/>
        <v>685035</v>
      </c>
    </row>
    <row r="21" spans="1:5">
      <c r="A21" s="231">
        <f t="shared" si="0"/>
        <v>10</v>
      </c>
      <c r="B21" s="854" t="s">
        <v>594</v>
      </c>
      <c r="C21" s="863">
        <f>-C17-C20</f>
        <v>-1795207.7483040001</v>
      </c>
      <c r="D21" s="863">
        <f>-D17-D20</f>
        <v>-523000.29970017471</v>
      </c>
      <c r="E21" s="863">
        <f>-E17-E20</f>
        <v>1272207.4486038254</v>
      </c>
    </row>
    <row r="22" spans="1:5">
      <c r="A22" s="231">
        <f t="shared" si="0"/>
        <v>11</v>
      </c>
      <c r="B22" s="232"/>
      <c r="C22" s="232"/>
      <c r="D22" s="232"/>
      <c r="E22" s="232"/>
    </row>
    <row r="23" spans="1:5">
      <c r="A23" s="231">
        <f t="shared" si="0"/>
        <v>12</v>
      </c>
      <c r="B23" s="851" t="s">
        <v>586</v>
      </c>
      <c r="C23" s="232"/>
      <c r="D23" s="232"/>
      <c r="E23" s="232"/>
    </row>
    <row r="24" spans="1:5">
      <c r="A24" s="231">
        <f t="shared" si="0"/>
        <v>13</v>
      </c>
      <c r="B24" s="854" t="s">
        <v>599</v>
      </c>
      <c r="C24" s="177">
        <v>0</v>
      </c>
      <c r="D24" s="177">
        <v>8777632.3603655454</v>
      </c>
      <c r="E24" s="240">
        <f>+D24-C24</f>
        <v>8777632.3603655454</v>
      </c>
    </row>
    <row r="25" spans="1:5">
      <c r="A25" s="231">
        <f t="shared" si="0"/>
        <v>14</v>
      </c>
      <c r="B25" s="854" t="s">
        <v>588</v>
      </c>
      <c r="C25" s="855">
        <v>0</v>
      </c>
      <c r="D25" s="339">
        <v>-603462</v>
      </c>
      <c r="E25" s="339">
        <f>+D25-C25</f>
        <v>-603462</v>
      </c>
    </row>
    <row r="26" spans="1:5">
      <c r="A26" s="231">
        <f t="shared" si="0"/>
        <v>15</v>
      </c>
      <c r="B26" s="854" t="s">
        <v>589</v>
      </c>
      <c r="C26" s="857">
        <v>0</v>
      </c>
      <c r="D26" s="857">
        <v>-726142</v>
      </c>
      <c r="E26" s="857">
        <f>+D26-C26</f>
        <v>-726142</v>
      </c>
    </row>
    <row r="27" spans="1:5" ht="16.5" thickBot="1">
      <c r="A27" s="231">
        <f t="shared" si="0"/>
        <v>16</v>
      </c>
      <c r="B27" s="851" t="s">
        <v>600</v>
      </c>
      <c r="C27" s="864">
        <f>SUM(C24:C26)</f>
        <v>0</v>
      </c>
      <c r="D27" s="864">
        <f>SUM(D24:D26)</f>
        <v>7448028.3603655454</v>
      </c>
      <c r="E27" s="864">
        <f>SUM(E24:E26)</f>
        <v>7448028.3603655454</v>
      </c>
    </row>
    <row r="28" spans="1:5" ht="16.5" thickTop="1">
      <c r="A28" s="231">
        <f t="shared" si="0"/>
        <v>17</v>
      </c>
      <c r="B28" s="232"/>
      <c r="C28" s="232"/>
      <c r="D28" s="232"/>
      <c r="E28" s="232"/>
    </row>
    <row r="29" spans="1:5">
      <c r="A29" s="266"/>
      <c r="B29" s="358"/>
      <c r="C29" s="243"/>
      <c r="D29" s="340"/>
    </row>
    <row r="30" spans="1:5">
      <c r="A30" s="266"/>
      <c r="B30" s="358"/>
      <c r="C30" s="243"/>
      <c r="D30" s="340"/>
    </row>
    <row r="31" spans="1:5">
      <c r="A31" s="266"/>
      <c r="B31" s="359"/>
      <c r="C31" s="243"/>
      <c r="D31" s="340"/>
    </row>
    <row r="32" spans="1:5">
      <c r="A32" s="266"/>
      <c r="B32" s="360"/>
      <c r="C32" s="243"/>
      <c r="D32" s="340"/>
    </row>
    <row r="33" spans="1:4">
      <c r="A33" s="266"/>
      <c r="B33" s="360"/>
      <c r="C33" s="243"/>
      <c r="D33" s="340"/>
    </row>
    <row r="34" spans="1:4">
      <c r="A34" s="266"/>
      <c r="B34" s="360"/>
      <c r="C34" s="243"/>
      <c r="D34" s="340"/>
    </row>
    <row r="35" spans="1:4">
      <c r="A35" s="266"/>
      <c r="B35" s="243"/>
      <c r="C35" s="243"/>
      <c r="D35" s="340"/>
    </row>
    <row r="36" spans="1:4">
      <c r="A36" s="266"/>
      <c r="B36" s="243"/>
      <c r="C36" s="243"/>
      <c r="D36" s="339"/>
    </row>
    <row r="37" spans="1:4">
      <c r="A37" s="266"/>
      <c r="B37" s="243"/>
      <c r="C37" s="243"/>
      <c r="D37" s="339"/>
    </row>
    <row r="38" spans="1:4">
      <c r="A38" s="266"/>
      <c r="B38" s="243"/>
      <c r="C38" s="243"/>
      <c r="D38" s="339"/>
    </row>
    <row r="39" spans="1:4">
      <c r="A39" s="266"/>
      <c r="B39" s="243"/>
      <c r="C39" s="243"/>
      <c r="D39" s="340"/>
    </row>
    <row r="40" spans="1:4">
      <c r="A40" s="243"/>
      <c r="B40" s="243"/>
      <c r="C40" s="243"/>
      <c r="D40" s="243"/>
    </row>
    <row r="41" spans="1:4">
      <c r="A41" s="18"/>
      <c r="B41" s="18"/>
      <c r="C41" s="18"/>
      <c r="D41" s="18"/>
    </row>
  </sheetData>
  <pageMargins left="0.7" right="0.7" top="0.75" bottom="0.75" header="0.75" footer="0.3"/>
  <pageSetup scale="98" orientation="portrait" r:id="rId1"/>
  <headerFooter>
    <oddHeader>&amp;R&amp;"Times New Roman,Regular"&amp;12Exhibit KHB-2
Page 2.42</oddHead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1"/>
  <sheetViews>
    <sheetView zoomScaleNormal="100" workbookViewId="0">
      <selection activeCell="B46" sqref="B46"/>
    </sheetView>
  </sheetViews>
  <sheetFormatPr defaultColWidth="9.140625" defaultRowHeight="15.75"/>
  <cols>
    <col min="1" max="1" width="7.42578125" style="2" customWidth="1"/>
    <col min="2" max="2" width="54.85546875" style="2" customWidth="1"/>
    <col min="3" max="3" width="14.140625" style="2" customWidth="1"/>
    <col min="4" max="4" width="13.42578125" style="2" customWidth="1"/>
    <col min="5" max="5" width="18" style="2" customWidth="1"/>
    <col min="6" max="16384" width="9.140625" style="2"/>
  </cols>
  <sheetData>
    <row r="1" spans="1:5">
      <c r="A1" s="2" t="str">
        <f>CO</f>
        <v>Puget Sound Energy</v>
      </c>
    </row>
    <row r="2" spans="1:5">
      <c r="A2" s="2" t="str">
        <f>DOCKET</f>
        <v>Docket UE-090704/UG-090705</v>
      </c>
    </row>
    <row r="4" spans="1:5">
      <c r="A4" s="815" t="s">
        <v>201</v>
      </c>
      <c r="B4" s="816"/>
      <c r="C4" s="468"/>
      <c r="D4" s="468"/>
      <c r="E4" s="468"/>
    </row>
    <row r="5" spans="1:5">
      <c r="A5" s="815" t="s">
        <v>610</v>
      </c>
      <c r="B5" s="468"/>
      <c r="C5" s="468"/>
      <c r="D5" s="468"/>
      <c r="E5" s="468"/>
    </row>
    <row r="6" spans="1:5">
      <c r="A6" s="444" t="s">
        <v>602</v>
      </c>
      <c r="B6" s="817"/>
      <c r="C6" s="817"/>
      <c r="D6" s="817"/>
      <c r="E6" s="817"/>
    </row>
    <row r="7" spans="1:5">
      <c r="A7" s="815" t="s">
        <v>205</v>
      </c>
      <c r="B7" s="815"/>
      <c r="C7" s="815"/>
      <c r="D7" s="818"/>
      <c r="E7" s="818"/>
    </row>
    <row r="8" spans="1:5">
      <c r="A8" s="819"/>
      <c r="B8" s="818"/>
      <c r="C8" s="818"/>
      <c r="D8" s="818"/>
      <c r="E8" s="818"/>
    </row>
    <row r="9" spans="1:5">
      <c r="A9" s="820" t="s">
        <v>208</v>
      </c>
      <c r="B9" s="821"/>
      <c r="C9" s="820"/>
      <c r="D9" s="820" t="s">
        <v>603</v>
      </c>
      <c r="E9" s="820"/>
    </row>
    <row r="10" spans="1:5">
      <c r="A10" s="822" t="s">
        <v>215</v>
      </c>
      <c r="B10" s="823" t="s">
        <v>216</v>
      </c>
      <c r="C10" s="822" t="s">
        <v>495</v>
      </c>
      <c r="D10" s="822" t="s">
        <v>221</v>
      </c>
      <c r="E10" s="822" t="s">
        <v>217</v>
      </c>
    </row>
    <row r="11" spans="1:5">
      <c r="A11" s="304"/>
      <c r="B11" s="818"/>
      <c r="C11" s="818"/>
      <c r="D11" s="818"/>
      <c r="E11" s="818"/>
    </row>
    <row r="12" spans="1:5">
      <c r="A12" s="304">
        <v>1</v>
      </c>
      <c r="B12" s="824" t="s">
        <v>604</v>
      </c>
      <c r="C12" s="325"/>
      <c r="D12" s="325"/>
      <c r="E12" s="325"/>
    </row>
    <row r="13" spans="1:5">
      <c r="A13" s="304">
        <v>2</v>
      </c>
      <c r="B13" s="825" t="s">
        <v>605</v>
      </c>
      <c r="C13" s="826">
        <v>2633392.0833333335</v>
      </c>
      <c r="D13" s="477">
        <v>0</v>
      </c>
      <c r="E13" s="477">
        <v>-2633392.0833333335</v>
      </c>
    </row>
    <row r="14" spans="1:5">
      <c r="A14" s="304">
        <v>3</v>
      </c>
      <c r="B14" s="825" t="s">
        <v>606</v>
      </c>
      <c r="C14" s="827"/>
      <c r="D14" s="479">
        <v>0</v>
      </c>
      <c r="E14" s="479">
        <v>0</v>
      </c>
    </row>
    <row r="15" spans="1:5">
      <c r="A15" s="304">
        <v>4</v>
      </c>
      <c r="B15" s="825" t="s">
        <v>607</v>
      </c>
      <c r="C15" s="827">
        <v>897535.875</v>
      </c>
      <c r="D15" s="479">
        <v>0</v>
      </c>
      <c r="E15" s="479">
        <v>-897535.875</v>
      </c>
    </row>
    <row r="16" spans="1:5">
      <c r="A16" s="304">
        <v>5</v>
      </c>
      <c r="B16" s="828" t="s">
        <v>608</v>
      </c>
      <c r="C16" s="488">
        <v>3530927.9583333335</v>
      </c>
      <c r="D16" s="488">
        <v>0</v>
      </c>
      <c r="E16" s="488">
        <v>-3530927.9583333335</v>
      </c>
    </row>
    <row r="17" spans="1:5">
      <c r="A17" s="304">
        <v>6</v>
      </c>
      <c r="B17" s="828"/>
      <c r="C17" s="829"/>
      <c r="D17" s="830"/>
      <c r="E17" s="831"/>
    </row>
    <row r="18" spans="1:5">
      <c r="A18" s="304">
        <v>7</v>
      </c>
      <c r="B18" s="824" t="s">
        <v>609</v>
      </c>
      <c r="C18" s="832"/>
      <c r="D18" s="833"/>
      <c r="E18" s="834"/>
    </row>
    <row r="19" spans="1:5">
      <c r="A19" s="304">
        <v>8</v>
      </c>
      <c r="B19" s="825" t="s">
        <v>579</v>
      </c>
      <c r="C19" s="835"/>
      <c r="D19" s="836">
        <v>0</v>
      </c>
      <c r="E19" s="479">
        <v>0</v>
      </c>
    </row>
    <row r="20" spans="1:5">
      <c r="A20" s="304">
        <v>9</v>
      </c>
      <c r="B20" s="828" t="s">
        <v>386</v>
      </c>
      <c r="C20" s="837">
        <v>0</v>
      </c>
      <c r="D20" s="837">
        <v>0</v>
      </c>
      <c r="E20" s="838">
        <v>0</v>
      </c>
    </row>
    <row r="21" spans="1:5">
      <c r="A21" s="304">
        <v>10</v>
      </c>
      <c r="B21" s="839"/>
      <c r="C21" s="840"/>
      <c r="D21" s="840"/>
      <c r="E21" s="841"/>
    </row>
    <row r="22" spans="1:5">
      <c r="A22" s="304">
        <v>11</v>
      </c>
      <c r="B22" s="842" t="s">
        <v>249</v>
      </c>
      <c r="C22" s="491"/>
      <c r="D22" s="491"/>
      <c r="E22" s="843">
        <v>0</v>
      </c>
    </row>
    <row r="23" spans="1:5">
      <c r="A23" s="304">
        <v>12</v>
      </c>
      <c r="B23" s="844"/>
      <c r="C23" s="845"/>
      <c r="D23" s="845"/>
      <c r="E23" s="846"/>
    </row>
    <row r="24" spans="1:5">
      <c r="A24" s="304">
        <v>13</v>
      </c>
      <c r="B24" s="323" t="s">
        <v>259</v>
      </c>
      <c r="C24" s="847"/>
      <c r="D24" s="847">
        <v>0.35</v>
      </c>
      <c r="E24" s="465">
        <v>0</v>
      </c>
    </row>
    <row r="25" spans="1:5" ht="16.5" thickBot="1">
      <c r="A25" s="304">
        <v>14</v>
      </c>
      <c r="B25" s="323" t="s">
        <v>240</v>
      </c>
      <c r="C25" s="848"/>
      <c r="D25" s="848"/>
      <c r="E25" s="528">
        <v>0</v>
      </c>
    </row>
    <row r="26" spans="1:5" ht="16.5" thickTop="1">
      <c r="A26" s="266"/>
      <c r="B26" s="243"/>
      <c r="C26" s="243"/>
      <c r="D26" s="340"/>
    </row>
    <row r="27" spans="1:5">
      <c r="A27" s="266"/>
      <c r="B27" s="357"/>
      <c r="C27" s="243"/>
      <c r="D27" s="340"/>
    </row>
    <row r="28" spans="1:5">
      <c r="A28" s="266"/>
      <c r="B28" s="358"/>
      <c r="C28" s="243"/>
      <c r="D28" s="340"/>
    </row>
    <row r="29" spans="1:5">
      <c r="A29" s="266"/>
      <c r="B29" s="358"/>
      <c r="C29" s="243"/>
      <c r="D29" s="340"/>
    </row>
    <row r="30" spans="1:5">
      <c r="A30" s="266"/>
      <c r="B30" s="358"/>
      <c r="C30" s="243"/>
      <c r="D30" s="340"/>
    </row>
    <row r="31" spans="1:5">
      <c r="A31" s="266"/>
      <c r="B31" s="359"/>
      <c r="C31" s="243"/>
      <c r="D31" s="340"/>
    </row>
    <row r="32" spans="1:5">
      <c r="A32" s="266"/>
      <c r="B32" s="360"/>
      <c r="C32" s="243"/>
      <c r="D32" s="340"/>
    </row>
    <row r="33" spans="1:4">
      <c r="A33" s="266"/>
      <c r="B33" s="360"/>
      <c r="C33" s="243"/>
      <c r="D33" s="340"/>
    </row>
    <row r="34" spans="1:4">
      <c r="A34" s="266"/>
      <c r="B34" s="360"/>
      <c r="C34" s="243"/>
      <c r="D34" s="340"/>
    </row>
    <row r="35" spans="1:4">
      <c r="A35" s="266"/>
      <c r="B35" s="243"/>
      <c r="C35" s="243"/>
      <c r="D35" s="340"/>
    </row>
    <row r="36" spans="1:4">
      <c r="A36" s="266"/>
      <c r="B36" s="243"/>
      <c r="C36" s="243"/>
      <c r="D36" s="339"/>
    </row>
    <row r="37" spans="1:4">
      <c r="A37" s="266"/>
      <c r="B37" s="243"/>
      <c r="C37" s="243"/>
      <c r="D37" s="339"/>
    </row>
    <row r="38" spans="1:4">
      <c r="A38" s="266"/>
      <c r="B38" s="243"/>
      <c r="C38" s="243"/>
      <c r="D38" s="339"/>
    </row>
    <row r="39" spans="1:4">
      <c r="A39" s="266"/>
      <c r="B39" s="243"/>
      <c r="C39" s="243"/>
      <c r="D39" s="340"/>
    </row>
    <row r="40" spans="1:4">
      <c r="A40" s="243"/>
      <c r="B40" s="243"/>
      <c r="C40" s="243"/>
      <c r="D40" s="243"/>
    </row>
    <row r="41" spans="1:4">
      <c r="A41" s="18"/>
      <c r="B41" s="18"/>
      <c r="C41" s="18"/>
      <c r="D41" s="18"/>
    </row>
  </sheetData>
  <pageMargins left="0.7" right="0.7" top="0.75" bottom="0.75" header="0.75" footer="0.3"/>
  <pageSetup scale="83" orientation="portrait" r:id="rId1"/>
  <headerFooter>
    <oddHeader>&amp;R&amp;"Times New Roman,Regular"&amp;12Exhibit KHB-2
Page 2.43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04"/>
  <sheetViews>
    <sheetView zoomScaleNormal="100" workbookViewId="0">
      <selection activeCell="B46" sqref="B46"/>
    </sheetView>
  </sheetViews>
  <sheetFormatPr defaultColWidth="9.140625" defaultRowHeight="15.75"/>
  <cols>
    <col min="1" max="1" width="7.42578125" style="2" customWidth="1"/>
    <col min="2" max="2" width="54.85546875" style="2" customWidth="1"/>
    <col min="3" max="3" width="17.5703125" style="2" customWidth="1"/>
    <col min="4" max="4" width="17.140625" style="2" customWidth="1"/>
    <col min="5" max="5" width="18" style="2" customWidth="1"/>
    <col min="6" max="16384" width="9.140625" style="2"/>
  </cols>
  <sheetData>
    <row r="1" spans="1:5">
      <c r="A1" s="2" t="str">
        <f>CO</f>
        <v>Puget Sound Energy</v>
      </c>
    </row>
    <row r="2" spans="1:5">
      <c r="A2" s="2" t="str">
        <f>DOCKET</f>
        <v>Docket UE-090704/UG-090705</v>
      </c>
    </row>
    <row r="4" spans="1:5">
      <c r="A4" s="218" t="s">
        <v>201</v>
      </c>
      <c r="B4" s="219"/>
      <c r="C4" s="219"/>
      <c r="D4" s="219"/>
      <c r="E4" s="219"/>
    </row>
    <row r="5" spans="1:5">
      <c r="A5" s="219" t="s">
        <v>806</v>
      </c>
      <c r="B5" s="219"/>
      <c r="C5" s="219"/>
      <c r="D5" s="219"/>
      <c r="E5" s="445"/>
    </row>
    <row r="6" spans="1:5">
      <c r="A6" s="219" t="str">
        <f>TY</f>
        <v>FOR THE TWELVE MONTHS ENDED DECEMBER 31, 2008</v>
      </c>
      <c r="B6" s="219"/>
      <c r="C6" s="219"/>
      <c r="D6" s="219"/>
      <c r="E6" s="446"/>
    </row>
    <row r="7" spans="1:5">
      <c r="A7" s="219" t="s">
        <v>205</v>
      </c>
      <c r="B7" s="219"/>
      <c r="C7" s="219"/>
      <c r="D7" s="219"/>
      <c r="E7" s="446"/>
    </row>
    <row r="8" spans="1:5">
      <c r="A8" s="220"/>
      <c r="B8" s="232"/>
      <c r="C8" s="231"/>
      <c r="D8" s="220"/>
      <c r="E8" s="220"/>
    </row>
    <row r="9" spans="1:5">
      <c r="A9" s="225" t="s">
        <v>208</v>
      </c>
      <c r="B9" s="220"/>
      <c r="C9" s="222" t="s">
        <v>214</v>
      </c>
      <c r="D9" s="222" t="s">
        <v>663</v>
      </c>
      <c r="E9" s="222" t="s">
        <v>664</v>
      </c>
    </row>
    <row r="10" spans="1:5">
      <c r="A10" s="226" t="s">
        <v>215</v>
      </c>
      <c r="B10" s="227" t="s">
        <v>216</v>
      </c>
      <c r="C10" s="226" t="s">
        <v>665</v>
      </c>
      <c r="D10" s="594"/>
      <c r="E10" s="562">
        <f>FIT</f>
        <v>0.35</v>
      </c>
    </row>
    <row r="11" spans="1:5">
      <c r="A11" s="232"/>
      <c r="B11" s="232"/>
      <c r="C11" s="232"/>
      <c r="D11" s="245"/>
      <c r="E11" s="232"/>
    </row>
    <row r="12" spans="1:5">
      <c r="A12" s="231">
        <v>1</v>
      </c>
      <c r="B12" s="563" t="s">
        <v>666</v>
      </c>
      <c r="C12" s="232"/>
      <c r="D12" s="245"/>
      <c r="E12" s="232"/>
    </row>
    <row r="13" spans="1:5">
      <c r="A13" s="231">
        <f t="shared" ref="A13:A76" si="0">A12+1</f>
        <v>2</v>
      </c>
      <c r="B13" s="236" t="s">
        <v>667</v>
      </c>
      <c r="C13" s="247"/>
      <c r="D13" s="247"/>
      <c r="E13" s="247"/>
    </row>
    <row r="14" spans="1:5">
      <c r="A14" s="231">
        <f t="shared" si="0"/>
        <v>3</v>
      </c>
      <c r="B14" s="236" t="s">
        <v>497</v>
      </c>
      <c r="C14" s="240"/>
      <c r="D14" s="564"/>
      <c r="E14" s="564"/>
    </row>
    <row r="15" spans="1:5">
      <c r="A15" s="231">
        <f t="shared" si="0"/>
        <v>4</v>
      </c>
      <c r="B15" s="236" t="s">
        <v>498</v>
      </c>
      <c r="C15" s="237"/>
      <c r="D15" s="565"/>
      <c r="E15" s="565"/>
    </row>
    <row r="16" spans="1:5">
      <c r="A16" s="231">
        <f t="shared" si="0"/>
        <v>5</v>
      </c>
      <c r="B16" s="232" t="s">
        <v>668</v>
      </c>
      <c r="C16" s="566"/>
      <c r="D16" s="567"/>
      <c r="E16" s="567"/>
    </row>
    <row r="17" spans="1:5">
      <c r="A17" s="231">
        <f t="shared" si="0"/>
        <v>6</v>
      </c>
      <c r="B17" s="232"/>
      <c r="C17" s="566"/>
      <c r="D17" s="567"/>
      <c r="E17" s="567"/>
    </row>
    <row r="18" spans="1:5">
      <c r="A18" s="231">
        <f t="shared" si="0"/>
        <v>7</v>
      </c>
      <c r="B18" s="232" t="s">
        <v>669</v>
      </c>
      <c r="C18" s="268"/>
      <c r="D18" s="568"/>
      <c r="E18" s="568"/>
    </row>
    <row r="19" spans="1:5">
      <c r="A19" s="231">
        <f t="shared" si="0"/>
        <v>8</v>
      </c>
      <c r="B19" s="236" t="s">
        <v>670</v>
      </c>
      <c r="C19" s="268"/>
      <c r="D19" s="568"/>
      <c r="E19" s="568"/>
    </row>
    <row r="20" spans="1:5">
      <c r="A20" s="231">
        <f t="shared" si="0"/>
        <v>9</v>
      </c>
      <c r="B20" s="236" t="s">
        <v>592</v>
      </c>
      <c r="C20" s="569"/>
      <c r="D20" s="570"/>
      <c r="E20" s="570"/>
    </row>
    <row r="21" spans="1:5">
      <c r="A21" s="231">
        <f t="shared" si="0"/>
        <v>10</v>
      </c>
      <c r="B21" s="236" t="s">
        <v>671</v>
      </c>
      <c r="C21" s="566"/>
      <c r="D21" s="567"/>
      <c r="E21" s="567"/>
    </row>
    <row r="22" spans="1:5">
      <c r="A22" s="231">
        <f t="shared" si="0"/>
        <v>11</v>
      </c>
      <c r="B22" s="236"/>
      <c r="C22" s="566"/>
      <c r="D22" s="567"/>
      <c r="E22" s="567"/>
    </row>
    <row r="23" spans="1:5">
      <c r="A23" s="231">
        <f t="shared" si="0"/>
        <v>12</v>
      </c>
      <c r="B23" s="236" t="s">
        <v>672</v>
      </c>
      <c r="C23" s="232"/>
      <c r="D23" s="571"/>
      <c r="E23" s="571"/>
    </row>
    <row r="24" spans="1:5">
      <c r="A24" s="231">
        <f t="shared" si="0"/>
        <v>13</v>
      </c>
      <c r="B24" s="236" t="s">
        <v>673</v>
      </c>
      <c r="C24" s="268"/>
      <c r="D24" s="568"/>
      <c r="E24" s="568"/>
    </row>
    <row r="25" spans="1:5">
      <c r="A25" s="231">
        <f t="shared" si="0"/>
        <v>14</v>
      </c>
      <c r="B25" s="236" t="s">
        <v>674</v>
      </c>
      <c r="C25" s="237"/>
      <c r="D25" s="565"/>
      <c r="E25" s="565"/>
    </row>
    <row r="26" spans="1:5">
      <c r="A26" s="231">
        <f t="shared" si="0"/>
        <v>15</v>
      </c>
      <c r="B26" s="236" t="s">
        <v>675</v>
      </c>
      <c r="C26" s="566"/>
      <c r="D26" s="567"/>
      <c r="E26" s="567"/>
    </row>
    <row r="27" spans="1:5">
      <c r="A27" s="231">
        <f t="shared" si="0"/>
        <v>16</v>
      </c>
      <c r="B27" s="232"/>
      <c r="C27" s="566"/>
      <c r="D27" s="567"/>
      <c r="E27" s="567"/>
    </row>
    <row r="28" spans="1:5">
      <c r="A28" s="231">
        <f t="shared" si="0"/>
        <v>17</v>
      </c>
      <c r="B28" s="236" t="s">
        <v>676</v>
      </c>
      <c r="C28" s="268"/>
      <c r="D28" s="568"/>
      <c r="E28" s="568"/>
    </row>
    <row r="29" spans="1:5">
      <c r="A29" s="231">
        <f t="shared" si="0"/>
        <v>18</v>
      </c>
      <c r="B29" s="236" t="s">
        <v>677</v>
      </c>
      <c r="C29" s="237"/>
      <c r="D29" s="565"/>
      <c r="E29" s="565"/>
    </row>
    <row r="30" spans="1:5">
      <c r="A30" s="231">
        <f t="shared" si="0"/>
        <v>19</v>
      </c>
      <c r="B30" s="236" t="s">
        <v>678</v>
      </c>
      <c r="C30" s="237"/>
      <c r="D30" s="565"/>
      <c r="E30" s="565"/>
    </row>
    <row r="31" spans="1:5">
      <c r="A31" s="231">
        <f t="shared" si="0"/>
        <v>20</v>
      </c>
      <c r="B31" s="236" t="s">
        <v>679</v>
      </c>
      <c r="C31" s="237"/>
      <c r="D31" s="565"/>
      <c r="E31" s="565"/>
    </row>
    <row r="32" spans="1:5">
      <c r="A32" s="231">
        <f t="shared" si="0"/>
        <v>21</v>
      </c>
      <c r="B32" s="236" t="s">
        <v>680</v>
      </c>
      <c r="C32" s="237"/>
      <c r="D32" s="565"/>
      <c r="E32" s="565"/>
    </row>
    <row r="33" spans="1:5">
      <c r="A33" s="231">
        <f t="shared" si="0"/>
        <v>22</v>
      </c>
      <c r="B33" s="236" t="s">
        <v>681</v>
      </c>
      <c r="C33" s="567"/>
      <c r="D33" s="567"/>
      <c r="E33" s="567"/>
    </row>
    <row r="34" spans="1:5">
      <c r="A34" s="231">
        <f t="shared" si="0"/>
        <v>23</v>
      </c>
      <c r="B34" s="236"/>
      <c r="C34" s="566"/>
      <c r="D34" s="567"/>
      <c r="E34" s="567"/>
    </row>
    <row r="35" spans="1:5">
      <c r="A35" s="231">
        <f t="shared" si="0"/>
        <v>24</v>
      </c>
      <c r="B35" s="572" t="s">
        <v>682</v>
      </c>
      <c r="C35" s="268"/>
      <c r="D35" s="568"/>
      <c r="E35" s="568"/>
    </row>
    <row r="36" spans="1:5">
      <c r="A36" s="231">
        <f t="shared" si="0"/>
        <v>25</v>
      </c>
      <c r="B36" s="236" t="s">
        <v>377</v>
      </c>
      <c r="C36" s="268"/>
      <c r="D36" s="565"/>
      <c r="E36" s="565"/>
    </row>
    <row r="37" spans="1:5">
      <c r="A37" s="231">
        <f t="shared" si="0"/>
        <v>26</v>
      </c>
      <c r="B37" s="236" t="s">
        <v>497</v>
      </c>
      <c r="C37" s="268"/>
      <c r="D37" s="565"/>
      <c r="E37" s="565"/>
    </row>
    <row r="38" spans="1:5">
      <c r="A38" s="231">
        <f t="shared" si="0"/>
        <v>27</v>
      </c>
      <c r="B38" s="236" t="s">
        <v>382</v>
      </c>
      <c r="C38" s="268"/>
      <c r="D38" s="565"/>
      <c r="E38" s="565"/>
    </row>
    <row r="39" spans="1:5">
      <c r="A39" s="231">
        <f t="shared" si="0"/>
        <v>28</v>
      </c>
      <c r="B39" s="236" t="s">
        <v>373</v>
      </c>
      <c r="C39" s="268"/>
      <c r="D39" s="565"/>
      <c r="E39" s="565"/>
    </row>
    <row r="40" spans="1:5">
      <c r="A40" s="231">
        <f t="shared" si="0"/>
        <v>29</v>
      </c>
      <c r="B40" s="236" t="s">
        <v>655</v>
      </c>
      <c r="C40" s="569"/>
      <c r="D40" s="570"/>
      <c r="E40" s="570"/>
    </row>
    <row r="41" spans="1:5">
      <c r="A41" s="231">
        <f t="shared" si="0"/>
        <v>30</v>
      </c>
      <c r="B41" s="236" t="s">
        <v>683</v>
      </c>
      <c r="C41" s="268"/>
      <c r="D41" s="568"/>
      <c r="E41" s="568"/>
    </row>
    <row r="42" spans="1:5">
      <c r="A42" s="231">
        <f t="shared" si="0"/>
        <v>31</v>
      </c>
      <c r="B42" s="236"/>
      <c r="C42" s="268"/>
      <c r="D42" s="568"/>
      <c r="E42" s="568"/>
    </row>
    <row r="43" spans="1:5">
      <c r="A43" s="231">
        <f t="shared" si="0"/>
        <v>32</v>
      </c>
      <c r="B43" s="563" t="s">
        <v>684</v>
      </c>
      <c r="C43" s="268"/>
      <c r="D43" s="568"/>
      <c r="E43" s="568"/>
    </row>
    <row r="44" spans="1:5">
      <c r="A44" s="231">
        <f t="shared" si="0"/>
        <v>33</v>
      </c>
      <c r="B44" s="544" t="s">
        <v>241</v>
      </c>
      <c r="C44" s="158"/>
      <c r="D44" s="573"/>
      <c r="E44" s="565"/>
    </row>
    <row r="45" spans="1:5">
      <c r="A45" s="231">
        <f t="shared" si="0"/>
        <v>34</v>
      </c>
      <c r="B45" s="544" t="s">
        <v>302</v>
      </c>
      <c r="C45" s="158"/>
      <c r="D45" s="565"/>
      <c r="E45" s="565"/>
    </row>
    <row r="46" spans="1:5">
      <c r="A46" s="231">
        <f t="shared" si="0"/>
        <v>35</v>
      </c>
      <c r="B46" s="544" t="s">
        <v>250</v>
      </c>
      <c r="C46" s="158"/>
      <c r="D46" s="565"/>
      <c r="E46" s="565"/>
    </row>
    <row r="47" spans="1:5">
      <c r="A47" s="231">
        <f t="shared" si="0"/>
        <v>36</v>
      </c>
      <c r="B47" s="544" t="s">
        <v>254</v>
      </c>
      <c r="C47" s="158"/>
      <c r="D47" s="565"/>
      <c r="E47" s="565"/>
    </row>
    <row r="48" spans="1:5">
      <c r="A48" s="231">
        <f t="shared" si="0"/>
        <v>37</v>
      </c>
      <c r="B48" s="544" t="s">
        <v>260</v>
      </c>
      <c r="C48" s="158"/>
      <c r="D48" s="565"/>
      <c r="E48" s="565"/>
    </row>
    <row r="49" spans="1:5">
      <c r="A49" s="231">
        <f t="shared" si="0"/>
        <v>38</v>
      </c>
      <c r="B49" s="544" t="s">
        <v>266</v>
      </c>
      <c r="C49" s="158"/>
      <c r="D49" s="565"/>
      <c r="E49" s="565"/>
    </row>
    <row r="50" spans="1:5">
      <c r="A50" s="231">
        <f t="shared" si="0"/>
        <v>39</v>
      </c>
      <c r="B50" s="544" t="s">
        <v>270</v>
      </c>
      <c r="C50" s="158"/>
      <c r="D50" s="565"/>
      <c r="E50" s="565"/>
    </row>
    <row r="51" spans="1:5">
      <c r="A51" s="231">
        <f t="shared" si="0"/>
        <v>40</v>
      </c>
      <c r="B51" s="544" t="s">
        <v>272</v>
      </c>
      <c r="C51" s="158"/>
      <c r="D51" s="565"/>
      <c r="E51" s="565"/>
    </row>
    <row r="52" spans="1:5">
      <c r="A52" s="231">
        <f t="shared" si="0"/>
        <v>41</v>
      </c>
      <c r="B52" s="544" t="s">
        <v>276</v>
      </c>
      <c r="C52" s="158"/>
      <c r="D52" s="565"/>
      <c r="E52" s="565"/>
    </row>
    <row r="53" spans="1:5">
      <c r="A53" s="231">
        <f t="shared" si="0"/>
        <v>42</v>
      </c>
      <c r="B53" s="544" t="s">
        <v>279</v>
      </c>
      <c r="C53" s="158"/>
      <c r="D53" s="565"/>
      <c r="E53" s="565"/>
    </row>
    <row r="54" spans="1:5">
      <c r="A54" s="231">
        <f t="shared" si="0"/>
        <v>43</v>
      </c>
      <c r="B54" s="544" t="s">
        <v>283</v>
      </c>
      <c r="C54" s="158"/>
      <c r="D54" s="565"/>
      <c r="E54" s="565"/>
    </row>
    <row r="55" spans="1:5">
      <c r="A55" s="231">
        <f t="shared" si="0"/>
        <v>44</v>
      </c>
      <c r="B55" s="544" t="s">
        <v>685</v>
      </c>
      <c r="C55" s="158"/>
      <c r="D55" s="565"/>
      <c r="E55" s="565"/>
    </row>
    <row r="56" spans="1:5">
      <c r="A56" s="231">
        <f t="shared" si="0"/>
        <v>45</v>
      </c>
      <c r="B56" s="544" t="s">
        <v>686</v>
      </c>
      <c r="C56" s="158"/>
      <c r="D56" s="565"/>
      <c r="E56" s="565"/>
    </row>
    <row r="57" spans="1:5">
      <c r="A57" s="231">
        <f t="shared" si="0"/>
        <v>46</v>
      </c>
      <c r="B57" s="232" t="s">
        <v>318</v>
      </c>
      <c r="C57" s="574"/>
      <c r="D57" s="574"/>
      <c r="E57" s="574"/>
    </row>
    <row r="58" spans="1:5">
      <c r="A58" s="231">
        <f t="shared" si="0"/>
        <v>47</v>
      </c>
      <c r="B58" s="395"/>
      <c r="C58" s="575"/>
      <c r="D58" s="571"/>
      <c r="E58" s="571"/>
    </row>
    <row r="59" spans="1:5">
      <c r="A59" s="231">
        <f t="shared" si="0"/>
        <v>48</v>
      </c>
      <c r="B59" s="232" t="s">
        <v>321</v>
      </c>
      <c r="C59" s="159"/>
      <c r="D59" s="565"/>
      <c r="E59" s="565"/>
    </row>
    <row r="60" spans="1:5">
      <c r="A60" s="231">
        <f t="shared" si="0"/>
        <v>49</v>
      </c>
      <c r="B60" s="232" t="s">
        <v>687</v>
      </c>
      <c r="C60" s="576"/>
      <c r="D60" s="576"/>
      <c r="E60" s="576"/>
    </row>
    <row r="61" spans="1:5">
      <c r="A61" s="231">
        <f t="shared" si="0"/>
        <v>50</v>
      </c>
      <c r="B61" s="232"/>
      <c r="C61" s="577"/>
      <c r="D61" s="578"/>
      <c r="E61" s="579"/>
    </row>
    <row r="62" spans="1:5">
      <c r="A62" s="231">
        <f t="shared" si="0"/>
        <v>51</v>
      </c>
      <c r="B62" s="232"/>
      <c r="C62" s="577"/>
      <c r="D62" s="578"/>
      <c r="E62" s="579"/>
    </row>
    <row r="63" spans="1:5">
      <c r="A63" s="231">
        <f t="shared" si="0"/>
        <v>52</v>
      </c>
      <c r="B63" s="236" t="s">
        <v>454</v>
      </c>
      <c r="C63" s="268"/>
      <c r="D63" s="568"/>
      <c r="E63" s="568"/>
    </row>
    <row r="64" spans="1:5">
      <c r="A64" s="231">
        <f t="shared" si="0"/>
        <v>53</v>
      </c>
      <c r="B64" s="236" t="s">
        <v>688</v>
      </c>
      <c r="C64" s="237"/>
      <c r="D64" s="571"/>
      <c r="E64" s="565"/>
    </row>
    <row r="65" spans="1:5" ht="16.5" thickBot="1">
      <c r="A65" s="231">
        <f t="shared" si="0"/>
        <v>54</v>
      </c>
      <c r="B65" s="236" t="s">
        <v>258</v>
      </c>
      <c r="C65" s="237"/>
      <c r="D65" s="565"/>
      <c r="E65" s="580"/>
    </row>
    <row r="66" spans="1:5" ht="16.5" thickTop="1">
      <c r="A66" s="231">
        <f t="shared" si="0"/>
        <v>55</v>
      </c>
      <c r="B66" s="232"/>
      <c r="C66" s="237"/>
      <c r="D66" s="237"/>
      <c r="E66" s="232"/>
    </row>
    <row r="67" spans="1:5">
      <c r="A67" s="231">
        <f t="shared" si="0"/>
        <v>56</v>
      </c>
      <c r="B67" s="563" t="s">
        <v>689</v>
      </c>
      <c r="C67" s="237"/>
      <c r="D67" s="237"/>
      <c r="E67" s="237"/>
    </row>
    <row r="68" spans="1:5">
      <c r="A68" s="231">
        <f t="shared" si="0"/>
        <v>57</v>
      </c>
      <c r="B68" s="236" t="s">
        <v>690</v>
      </c>
      <c r="C68" s="581"/>
      <c r="D68" s="582"/>
      <c r="E68" s="565"/>
    </row>
    <row r="69" spans="1:5">
      <c r="A69" s="231">
        <f t="shared" si="0"/>
        <v>58</v>
      </c>
      <c r="B69" s="236" t="s">
        <v>691</v>
      </c>
      <c r="C69" s="27"/>
      <c r="D69" s="583"/>
      <c r="E69" s="571"/>
    </row>
    <row r="70" spans="1:5">
      <c r="A70" s="231">
        <f t="shared" si="0"/>
        <v>59</v>
      </c>
      <c r="B70" s="236" t="s">
        <v>692</v>
      </c>
      <c r="C70" s="27"/>
      <c r="D70" s="583"/>
      <c r="E70" s="571"/>
    </row>
    <row r="71" spans="1:5">
      <c r="A71" s="231">
        <f t="shared" si="0"/>
        <v>60</v>
      </c>
      <c r="B71" s="236" t="s">
        <v>693</v>
      </c>
      <c r="C71" s="27"/>
      <c r="D71" s="583"/>
      <c r="E71" s="571"/>
    </row>
    <row r="72" spans="1:5">
      <c r="A72" s="231">
        <f t="shared" si="0"/>
        <v>61</v>
      </c>
      <c r="B72" s="236" t="s">
        <v>694</v>
      </c>
      <c r="C72" s="584"/>
      <c r="D72" s="585"/>
      <c r="E72" s="565"/>
    </row>
    <row r="73" spans="1:5">
      <c r="A73" s="231">
        <f t="shared" si="0"/>
        <v>62</v>
      </c>
      <c r="B73" s="236" t="s">
        <v>695</v>
      </c>
      <c r="C73" s="584"/>
      <c r="D73" s="585"/>
      <c r="E73" s="565"/>
    </row>
    <row r="74" spans="1:5">
      <c r="A74" s="231">
        <f t="shared" si="0"/>
        <v>63</v>
      </c>
      <c r="B74" s="236" t="s">
        <v>696</v>
      </c>
      <c r="C74" s="584"/>
      <c r="D74" s="583"/>
      <c r="E74" s="568"/>
    </row>
    <row r="75" spans="1:5">
      <c r="A75" s="231">
        <f t="shared" si="0"/>
        <v>64</v>
      </c>
      <c r="B75" s="236" t="s">
        <v>697</v>
      </c>
      <c r="C75" s="584"/>
      <c r="D75" s="583"/>
      <c r="E75" s="568"/>
    </row>
    <row r="76" spans="1:5">
      <c r="A76" s="231">
        <f t="shared" si="0"/>
        <v>65</v>
      </c>
      <c r="B76" s="232" t="s">
        <v>698</v>
      </c>
      <c r="C76" s="234"/>
      <c r="D76" s="586"/>
      <c r="E76" s="568"/>
    </row>
    <row r="77" spans="1:5">
      <c r="A77" s="231">
        <f t="shared" ref="A77:A102" si="1">A76+1</f>
        <v>66</v>
      </c>
      <c r="B77" s="232" t="s">
        <v>699</v>
      </c>
      <c r="C77" s="27"/>
      <c r="D77" s="587"/>
      <c r="E77" s="568"/>
    </row>
    <row r="78" spans="1:5">
      <c r="A78" s="231">
        <f t="shared" si="1"/>
        <v>67</v>
      </c>
      <c r="B78" s="236" t="s">
        <v>700</v>
      </c>
      <c r="C78" s="241"/>
      <c r="D78" s="585"/>
      <c r="E78" s="568"/>
    </row>
    <row r="79" spans="1:5">
      <c r="A79" s="231">
        <f t="shared" si="1"/>
        <v>68</v>
      </c>
      <c r="B79" s="236" t="s">
        <v>701</v>
      </c>
      <c r="C79" s="241"/>
      <c r="D79" s="565"/>
      <c r="E79" s="568"/>
    </row>
    <row r="80" spans="1:5">
      <c r="A80" s="231">
        <f t="shared" si="1"/>
        <v>69</v>
      </c>
      <c r="B80" s="236" t="s">
        <v>702</v>
      </c>
      <c r="C80" s="566"/>
      <c r="D80" s="567"/>
      <c r="E80" s="568"/>
    </row>
    <row r="81" spans="1:5">
      <c r="A81" s="231">
        <f t="shared" si="1"/>
        <v>70</v>
      </c>
      <c r="B81" s="236"/>
      <c r="C81" s="234"/>
      <c r="D81" s="567"/>
      <c r="E81" s="568"/>
    </row>
    <row r="82" spans="1:5" ht="16.5" thickBot="1">
      <c r="A82" s="231">
        <f t="shared" si="1"/>
        <v>71</v>
      </c>
      <c r="B82" s="236" t="s">
        <v>703</v>
      </c>
      <c r="C82" s="588"/>
      <c r="D82" s="589"/>
      <c r="E82" s="589"/>
    </row>
    <row r="83" spans="1:5" ht="16.5" thickTop="1">
      <c r="A83" s="231">
        <f t="shared" si="1"/>
        <v>72</v>
      </c>
      <c r="B83" s="232"/>
      <c r="C83" s="566"/>
      <c r="D83" s="590"/>
      <c r="E83" s="568"/>
    </row>
    <row r="84" spans="1:5">
      <c r="A84" s="231">
        <f t="shared" si="1"/>
        <v>73</v>
      </c>
      <c r="B84" s="563" t="s">
        <v>704</v>
      </c>
      <c r="C84" s="268"/>
      <c r="D84" s="568"/>
      <c r="E84" s="568"/>
    </row>
    <row r="85" spans="1:5">
      <c r="A85" s="231">
        <f t="shared" si="1"/>
        <v>74</v>
      </c>
      <c r="B85" s="236" t="s">
        <v>705</v>
      </c>
      <c r="C85" s="237"/>
      <c r="D85" s="565"/>
      <c r="E85" s="565"/>
    </row>
    <row r="86" spans="1:5">
      <c r="A86" s="231">
        <f t="shared" si="1"/>
        <v>75</v>
      </c>
      <c r="B86" s="236" t="s">
        <v>244</v>
      </c>
      <c r="C86" s="237"/>
      <c r="D86" s="565"/>
      <c r="E86" s="565"/>
    </row>
    <row r="87" spans="1:5">
      <c r="A87" s="231">
        <f t="shared" si="1"/>
        <v>76</v>
      </c>
      <c r="B87" s="236" t="s">
        <v>250</v>
      </c>
      <c r="C87" s="237"/>
      <c r="D87" s="565"/>
      <c r="E87" s="565"/>
    </row>
    <row r="88" spans="1:5">
      <c r="A88" s="231">
        <f t="shared" si="1"/>
        <v>77</v>
      </c>
      <c r="B88" s="236" t="s">
        <v>254</v>
      </c>
      <c r="C88" s="237"/>
      <c r="D88" s="565"/>
      <c r="E88" s="565"/>
    </row>
    <row r="89" spans="1:5">
      <c r="A89" s="231">
        <f t="shared" si="1"/>
        <v>78</v>
      </c>
      <c r="B89" s="236" t="s">
        <v>260</v>
      </c>
      <c r="C89" s="237"/>
      <c r="D89" s="565"/>
      <c r="E89" s="565"/>
    </row>
    <row r="90" spans="1:5">
      <c r="A90" s="231">
        <f t="shared" si="1"/>
        <v>79</v>
      </c>
      <c r="B90" s="544" t="s">
        <v>706</v>
      </c>
      <c r="C90" s="237"/>
      <c r="D90" s="565"/>
      <c r="E90" s="565"/>
    </row>
    <row r="91" spans="1:5">
      <c r="A91" s="231">
        <f t="shared" si="1"/>
        <v>80</v>
      </c>
      <c r="B91" s="236" t="s">
        <v>266</v>
      </c>
      <c r="C91" s="237"/>
      <c r="D91" s="565"/>
      <c r="E91" s="565"/>
    </row>
    <row r="92" spans="1:5">
      <c r="A92" s="231">
        <f t="shared" si="1"/>
        <v>81</v>
      </c>
      <c r="B92" s="236" t="s">
        <v>270</v>
      </c>
      <c r="C92" s="237"/>
      <c r="D92" s="565"/>
      <c r="E92" s="565"/>
    </row>
    <row r="93" spans="1:5">
      <c r="A93" s="231">
        <f t="shared" si="1"/>
        <v>82</v>
      </c>
      <c r="B93" s="544" t="s">
        <v>272</v>
      </c>
      <c r="C93" s="237"/>
      <c r="D93" s="565"/>
      <c r="E93" s="565"/>
    </row>
    <row r="94" spans="1:5">
      <c r="A94" s="231">
        <f t="shared" si="1"/>
        <v>83</v>
      </c>
      <c r="B94" s="544" t="s">
        <v>276</v>
      </c>
      <c r="C94" s="237"/>
      <c r="D94" s="565"/>
      <c r="E94" s="565"/>
    </row>
    <row r="95" spans="1:5">
      <c r="A95" s="231">
        <f t="shared" si="1"/>
        <v>84</v>
      </c>
      <c r="B95" s="544" t="s">
        <v>279</v>
      </c>
      <c r="C95" s="237"/>
      <c r="D95" s="565"/>
      <c r="E95" s="565"/>
    </row>
    <row r="96" spans="1:5">
      <c r="A96" s="231">
        <f t="shared" si="1"/>
        <v>85</v>
      </c>
      <c r="B96" s="544" t="s">
        <v>283</v>
      </c>
      <c r="C96" s="237"/>
      <c r="D96" s="565"/>
      <c r="E96" s="565"/>
    </row>
    <row r="97" spans="1:5">
      <c r="A97" s="231">
        <f t="shared" si="1"/>
        <v>86</v>
      </c>
      <c r="B97" s="544" t="s">
        <v>685</v>
      </c>
      <c r="C97" s="237"/>
      <c r="D97" s="565"/>
      <c r="E97" s="565"/>
    </row>
    <row r="98" spans="1:5">
      <c r="A98" s="231">
        <f t="shared" si="1"/>
        <v>87</v>
      </c>
      <c r="B98" s="544" t="s">
        <v>707</v>
      </c>
      <c r="C98" s="237"/>
      <c r="D98" s="565"/>
      <c r="E98" s="565"/>
    </row>
    <row r="99" spans="1:5">
      <c r="A99" s="231">
        <f t="shared" si="1"/>
        <v>88</v>
      </c>
      <c r="B99" s="236"/>
      <c r="C99" s="566"/>
      <c r="D99" s="567"/>
      <c r="E99" s="568"/>
    </row>
    <row r="100" spans="1:5" ht="16.5" thickBot="1">
      <c r="A100" s="231">
        <f t="shared" si="1"/>
        <v>89</v>
      </c>
      <c r="B100" s="232" t="s">
        <v>708</v>
      </c>
      <c r="C100" s="589"/>
      <c r="D100" s="589"/>
      <c r="E100" s="589"/>
    </row>
    <row r="101" spans="1:5" ht="16.5" thickTop="1">
      <c r="A101" s="231">
        <f t="shared" si="1"/>
        <v>90</v>
      </c>
      <c r="B101" s="232"/>
      <c r="C101" s="566"/>
      <c r="D101" s="591"/>
      <c r="E101" s="568"/>
    </row>
    <row r="102" spans="1:5" ht="16.5" thickBot="1">
      <c r="A102" s="231">
        <f t="shared" si="1"/>
        <v>91</v>
      </c>
      <c r="B102" s="232" t="s">
        <v>709</v>
      </c>
      <c r="C102" s="592"/>
      <c r="D102" s="589"/>
      <c r="E102" s="593"/>
    </row>
    <row r="103" spans="1:5" ht="16.5" thickTop="1">
      <c r="A103" s="209"/>
      <c r="B103" s="201"/>
      <c r="C103" s="213"/>
      <c r="D103" s="201"/>
      <c r="E103" s="214"/>
    </row>
    <row r="104" spans="1:5">
      <c r="A104" s="201"/>
      <c r="B104" s="387"/>
      <c r="C104" s="213"/>
      <c r="D104" s="201"/>
      <c r="E104" s="201"/>
    </row>
  </sheetData>
  <pageMargins left="0.7" right="0.7" top="0.75" bottom="0.75" header="0.75" footer="0.3"/>
  <pageSetup scale="43" orientation="portrait" r:id="rId1"/>
  <headerFooter>
    <oddHeader>&amp;R&amp;"Times New Roman,Regular"&amp;12Exhibit KHB-2
Page 2.34</oddHead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1"/>
  <sheetViews>
    <sheetView zoomScaleNormal="100" workbookViewId="0">
      <selection activeCell="B46" sqref="B46"/>
    </sheetView>
  </sheetViews>
  <sheetFormatPr defaultColWidth="9.140625" defaultRowHeight="15.75"/>
  <cols>
    <col min="1" max="1" width="7.42578125" style="2" customWidth="1"/>
    <col min="2" max="2" width="64.28515625" style="2" customWidth="1"/>
    <col min="3" max="3" width="14.140625" style="2" customWidth="1"/>
    <col min="4" max="4" width="16.85546875" style="2" customWidth="1"/>
    <col min="5" max="5" width="18" style="2" customWidth="1"/>
    <col min="6" max="16384" width="9.140625" style="2"/>
  </cols>
  <sheetData>
    <row r="1" spans="1:5">
      <c r="A1" s="2" t="str">
        <f>CO</f>
        <v>Puget Sound Energy</v>
      </c>
    </row>
    <row r="2" spans="1:5">
      <c r="A2" s="2" t="str">
        <f>DOCKET</f>
        <v>Docket UE-090704/UG-090705</v>
      </c>
    </row>
    <row r="4" spans="1:5">
      <c r="A4" s="788" t="s">
        <v>710</v>
      </c>
      <c r="B4" s="788"/>
      <c r="C4" s="789"/>
      <c r="D4" s="789"/>
      <c r="E4" s="789"/>
    </row>
    <row r="5" spans="1:5">
      <c r="A5" s="789" t="s">
        <v>711</v>
      </c>
      <c r="B5" s="789"/>
      <c r="C5" s="789"/>
      <c r="D5" s="789"/>
      <c r="E5" s="790"/>
    </row>
    <row r="6" spans="1:5">
      <c r="A6" s="789" t="s">
        <v>204</v>
      </c>
      <c r="B6" s="789"/>
      <c r="C6" s="789"/>
      <c r="D6" s="789"/>
      <c r="E6" s="791"/>
    </row>
    <row r="7" spans="1:5">
      <c r="A7" s="788" t="s">
        <v>205</v>
      </c>
      <c r="B7" s="789"/>
      <c r="C7" s="789"/>
      <c r="D7" s="789"/>
      <c r="E7" s="791"/>
    </row>
    <row r="8" spans="1:5">
      <c r="A8" s="792"/>
      <c r="B8" s="793"/>
      <c r="C8" s="792"/>
      <c r="D8" s="794"/>
      <c r="E8" s="792"/>
    </row>
    <row r="9" spans="1:5">
      <c r="A9" s="795" t="s">
        <v>208</v>
      </c>
      <c r="B9" s="792"/>
      <c r="C9" s="796"/>
      <c r="D9" s="796"/>
      <c r="E9" s="796"/>
    </row>
    <row r="10" spans="1:5">
      <c r="A10" s="797" t="s">
        <v>215</v>
      </c>
      <c r="B10" s="798" t="s">
        <v>216</v>
      </c>
      <c r="C10" s="797" t="s">
        <v>495</v>
      </c>
      <c r="D10" s="797" t="s">
        <v>221</v>
      </c>
      <c r="E10" s="797" t="s">
        <v>217</v>
      </c>
    </row>
    <row r="11" spans="1:5">
      <c r="A11" s="793"/>
      <c r="B11" s="793"/>
      <c r="C11" s="793"/>
      <c r="D11" s="793"/>
      <c r="E11" s="793"/>
    </row>
    <row r="12" spans="1:5">
      <c r="A12" s="794">
        <v>1</v>
      </c>
      <c r="B12" s="799" t="s">
        <v>712</v>
      </c>
      <c r="C12" s="800"/>
      <c r="D12" s="800"/>
      <c r="E12" s="800"/>
    </row>
    <row r="13" spans="1:5">
      <c r="A13" s="794">
        <v>2</v>
      </c>
      <c r="B13" s="232" t="s">
        <v>236</v>
      </c>
      <c r="C13" s="800">
        <v>0</v>
      </c>
      <c r="D13" s="800">
        <v>2915799.5314859287</v>
      </c>
      <c r="E13" s="800">
        <v>2915799.5314859287</v>
      </c>
    </row>
    <row r="14" spans="1:5">
      <c r="A14" s="794">
        <v>3</v>
      </c>
      <c r="B14" s="232" t="s">
        <v>713</v>
      </c>
      <c r="C14" s="800">
        <v>0</v>
      </c>
      <c r="D14" s="800">
        <v>0</v>
      </c>
      <c r="E14" s="801">
        <v>0</v>
      </c>
    </row>
    <row r="15" spans="1:5">
      <c r="A15" s="794">
        <v>4</v>
      </c>
      <c r="B15" s="802" t="s">
        <v>714</v>
      </c>
      <c r="C15" s="803">
        <v>0</v>
      </c>
      <c r="D15" s="803">
        <v>2915799.5314859287</v>
      </c>
      <c r="E15" s="803">
        <v>2915799.5314859287</v>
      </c>
    </row>
    <row r="16" spans="1:5">
      <c r="A16" s="794">
        <v>5</v>
      </c>
      <c r="B16" s="802"/>
      <c r="C16" s="804"/>
      <c r="D16" s="804"/>
      <c r="E16" s="804"/>
    </row>
    <row r="17" spans="1:5">
      <c r="A17" s="794">
        <v>6</v>
      </c>
      <c r="B17" s="805" t="s">
        <v>255</v>
      </c>
      <c r="C17" s="804"/>
      <c r="D17" s="804"/>
      <c r="E17" s="804">
        <v>2915799.5314859287</v>
      </c>
    </row>
    <row r="18" spans="1:5">
      <c r="A18" s="794">
        <v>7</v>
      </c>
      <c r="B18" s="802"/>
      <c r="C18" s="804"/>
      <c r="D18" s="804"/>
      <c r="E18" s="804"/>
    </row>
    <row r="19" spans="1:5">
      <c r="A19" s="794">
        <v>8</v>
      </c>
      <c r="B19" s="802" t="s">
        <v>715</v>
      </c>
      <c r="C19" s="804"/>
      <c r="D19" s="804"/>
      <c r="E19" s="806">
        <v>-1020529.836020075</v>
      </c>
    </row>
    <row r="20" spans="1:5">
      <c r="A20" s="794">
        <v>9</v>
      </c>
      <c r="B20" s="802"/>
      <c r="C20" s="804"/>
      <c r="D20" s="804"/>
      <c r="E20" s="804"/>
    </row>
    <row r="21" spans="1:5" ht="16.5" thickBot="1">
      <c r="A21" s="794">
        <v>10</v>
      </c>
      <c r="B21" s="802" t="s">
        <v>716</v>
      </c>
      <c r="C21" s="804"/>
      <c r="D21" s="804"/>
      <c r="E21" s="807">
        <v>-1895269.6954658537</v>
      </c>
    </row>
    <row r="22" spans="1:5" ht="16.5" thickTop="1">
      <c r="A22" s="794">
        <v>11</v>
      </c>
      <c r="B22" s="808"/>
      <c r="C22" s="809"/>
      <c r="D22" s="809"/>
      <c r="E22" s="809"/>
    </row>
    <row r="23" spans="1:5">
      <c r="A23" s="794">
        <v>12</v>
      </c>
      <c r="B23" s="810" t="s">
        <v>229</v>
      </c>
      <c r="C23" s="809"/>
      <c r="D23" s="809"/>
      <c r="E23" s="809"/>
    </row>
    <row r="24" spans="1:5">
      <c r="A24" s="794">
        <v>13</v>
      </c>
      <c r="B24" s="808" t="s">
        <v>717</v>
      </c>
      <c r="C24" s="804">
        <v>0</v>
      </c>
      <c r="D24" s="804">
        <v>5831599.0629718574</v>
      </c>
      <c r="E24" s="800">
        <v>5831599.0629718574</v>
      </c>
    </row>
    <row r="25" spans="1:5">
      <c r="A25" s="794">
        <v>14</v>
      </c>
      <c r="B25" s="467" t="s">
        <v>718</v>
      </c>
      <c r="C25" s="809">
        <v>0</v>
      </c>
      <c r="D25" s="811">
        <v>-1457899.7657429641</v>
      </c>
      <c r="E25" s="800">
        <v>-1457899.7657429641</v>
      </c>
    </row>
    <row r="26" spans="1:5">
      <c r="A26" s="794">
        <v>15</v>
      </c>
      <c r="B26" s="467" t="s">
        <v>719</v>
      </c>
      <c r="C26" s="806">
        <v>0</v>
      </c>
      <c r="D26" s="812">
        <v>-1530794.7540301131</v>
      </c>
      <c r="E26" s="800">
        <v>-1530794.7540301131</v>
      </c>
    </row>
    <row r="27" spans="1:5" ht="16.5" thickBot="1">
      <c r="A27" s="794">
        <v>16</v>
      </c>
      <c r="B27" s="808" t="s">
        <v>720</v>
      </c>
      <c r="C27" s="813">
        <v>0</v>
      </c>
      <c r="D27" s="814">
        <v>2842904.5431987802</v>
      </c>
      <c r="E27" s="814">
        <v>2842904.5431987802</v>
      </c>
    </row>
    <row r="28" spans="1:5" ht="16.5" thickTop="1">
      <c r="A28" s="794"/>
      <c r="B28" s="808"/>
      <c r="C28" s="809"/>
      <c r="D28" s="809"/>
      <c r="E28" s="809"/>
    </row>
    <row r="29" spans="1:5">
      <c r="A29" s="266"/>
      <c r="B29" s="358"/>
      <c r="C29" s="243"/>
      <c r="D29" s="340"/>
    </row>
    <row r="30" spans="1:5">
      <c r="A30" s="266"/>
      <c r="B30" s="358"/>
      <c r="C30" s="243"/>
      <c r="D30" s="340"/>
    </row>
    <row r="31" spans="1:5">
      <c r="A31" s="266"/>
      <c r="B31" s="359"/>
      <c r="C31" s="243"/>
      <c r="D31" s="340"/>
    </row>
    <row r="32" spans="1:5">
      <c r="A32" s="266"/>
      <c r="B32" s="360"/>
      <c r="C32" s="243"/>
      <c r="D32" s="340"/>
    </row>
    <row r="33" spans="1:4">
      <c r="A33" s="266"/>
      <c r="B33" s="360"/>
      <c r="C33" s="243"/>
      <c r="D33" s="340"/>
    </row>
    <row r="34" spans="1:4">
      <c r="A34" s="266"/>
      <c r="B34" s="360"/>
      <c r="C34" s="243"/>
      <c r="D34" s="340"/>
    </row>
    <row r="35" spans="1:4">
      <c r="A35" s="266"/>
      <c r="B35" s="243"/>
      <c r="C35" s="243"/>
      <c r="D35" s="340"/>
    </row>
    <row r="36" spans="1:4">
      <c r="A36" s="266"/>
      <c r="B36" s="243"/>
      <c r="C36" s="243"/>
      <c r="D36" s="339"/>
    </row>
    <row r="37" spans="1:4">
      <c r="A37" s="266"/>
      <c r="B37" s="243"/>
      <c r="C37" s="243"/>
      <c r="D37" s="339"/>
    </row>
    <row r="38" spans="1:4">
      <c r="A38" s="266"/>
      <c r="B38" s="243"/>
      <c r="C38" s="243"/>
      <c r="D38" s="339"/>
    </row>
    <row r="39" spans="1:4">
      <c r="A39" s="266"/>
      <c r="B39" s="243"/>
      <c r="C39" s="243"/>
      <c r="D39" s="340"/>
    </row>
    <row r="40" spans="1:4">
      <c r="A40" s="243"/>
      <c r="B40" s="243"/>
      <c r="C40" s="243"/>
      <c r="D40" s="243"/>
    </row>
    <row r="41" spans="1:4">
      <c r="A41" s="18"/>
      <c r="B41" s="18"/>
      <c r="C41" s="18"/>
      <c r="D41" s="18"/>
    </row>
  </sheetData>
  <pageMargins left="0.7" right="0.7" top="0.75" bottom="0.75" header="0.75" footer="0.3"/>
  <pageSetup scale="74" orientation="portrait" r:id="rId1"/>
  <headerFooter>
    <oddHeader>&amp;R&amp;"Times New Roman,Regular"&amp;12Exhibit KHB-2
Page 2.45</oddHead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5"/>
  <sheetViews>
    <sheetView tabSelected="1" topLeftCell="A8" zoomScaleNormal="100" workbookViewId="0">
      <selection activeCell="D17" sqref="D17"/>
    </sheetView>
  </sheetViews>
  <sheetFormatPr defaultColWidth="9.140625" defaultRowHeight="15.75"/>
  <cols>
    <col min="1" max="1" width="8.140625" style="2" customWidth="1"/>
    <col min="2" max="2" width="42.5703125" style="2" customWidth="1"/>
    <col min="3" max="3" width="20.28515625" style="2" customWidth="1"/>
    <col min="4" max="4" width="29.42578125" style="2" customWidth="1"/>
    <col min="5" max="16384" width="9.140625" style="2"/>
  </cols>
  <sheetData>
    <row r="1" spans="1:4">
      <c r="A1" s="2" t="str">
        <f>CO</f>
        <v>Puget Sound Energy</v>
      </c>
    </row>
    <row r="2" spans="1:4">
      <c r="A2" s="2" t="str">
        <f>DOCKET</f>
        <v>Docket UE-090704/UG-090705</v>
      </c>
    </row>
    <row r="4" spans="1:4">
      <c r="A4" s="46" t="s">
        <v>201</v>
      </c>
      <c r="B4" s="93"/>
      <c r="C4" s="38"/>
      <c r="D4" s="93"/>
    </row>
    <row r="5" spans="1:4">
      <c r="A5" s="46" t="s">
        <v>205</v>
      </c>
      <c r="B5" s="93"/>
      <c r="C5" s="38"/>
      <c r="D5" s="93"/>
    </row>
    <row r="6" spans="1:4">
      <c r="A6" s="38" t="str">
        <f>TY</f>
        <v>FOR THE TWELVE MONTHS ENDED DECEMBER 31, 2008</v>
      </c>
      <c r="B6" s="93"/>
      <c r="C6" s="38"/>
      <c r="D6" s="93"/>
    </row>
    <row r="7" spans="1:4">
      <c r="A7" s="46" t="s">
        <v>205</v>
      </c>
      <c r="B7" s="111"/>
      <c r="C7" s="93"/>
      <c r="D7" s="93"/>
    </row>
    <row r="8" spans="1:4">
      <c r="A8" s="58"/>
      <c r="B8" s="58"/>
      <c r="C8" s="58"/>
      <c r="D8" s="58"/>
    </row>
    <row r="9" spans="1:4">
      <c r="A9" s="51" t="s">
        <v>208</v>
      </c>
      <c r="B9" s="58"/>
      <c r="C9" s="58"/>
      <c r="D9" s="58"/>
    </row>
    <row r="10" spans="1:4">
      <c r="A10" s="53" t="s">
        <v>215</v>
      </c>
      <c r="B10" s="94" t="s">
        <v>216</v>
      </c>
      <c r="C10" s="112"/>
      <c r="D10" s="112"/>
    </row>
    <row r="11" spans="1:4">
      <c r="A11" s="58"/>
      <c r="B11" s="58"/>
      <c r="C11" s="58"/>
      <c r="D11" s="58"/>
    </row>
    <row r="12" spans="1:4">
      <c r="A12" s="57">
        <v>1</v>
      </c>
      <c r="B12" s="58" t="s">
        <v>229</v>
      </c>
      <c r="C12" s="58"/>
      <c r="D12" s="184">
        <f>+'EXH KBH-2 Summary P2.1'!E52</f>
        <v>3747871751.2125425</v>
      </c>
    </row>
    <row r="13" spans="1:4">
      <c r="A13" s="57">
        <f t="shared" ref="A13:A23" si="0">A12+1</f>
        <v>2</v>
      </c>
      <c r="B13" s="76" t="s">
        <v>327</v>
      </c>
      <c r="C13" s="58"/>
      <c r="D13" s="185">
        <f>+'Capital P2.47'!E20</f>
        <v>7.8899999999999998E-2</v>
      </c>
    </row>
    <row r="14" spans="1:4">
      <c r="A14" s="57">
        <f t="shared" si="0"/>
        <v>3</v>
      </c>
      <c r="B14" s="76"/>
      <c r="C14" s="113" t="s">
        <v>60</v>
      </c>
      <c r="D14" s="58"/>
    </row>
    <row r="15" spans="1:4">
      <c r="A15" s="57">
        <f t="shared" si="0"/>
        <v>4</v>
      </c>
      <c r="B15" s="58" t="s">
        <v>328</v>
      </c>
      <c r="C15" s="58"/>
      <c r="D15" s="186">
        <f>+D12*D13</f>
        <v>295707081.17066962</v>
      </c>
    </row>
    <row r="16" spans="1:4">
      <c r="A16" s="57">
        <f t="shared" si="0"/>
        <v>5</v>
      </c>
      <c r="B16" s="58"/>
      <c r="C16" s="58"/>
      <c r="D16" s="113"/>
    </row>
    <row r="17" spans="1:4">
      <c r="A17" s="57">
        <f t="shared" si="0"/>
        <v>6</v>
      </c>
      <c r="B17" s="76" t="s">
        <v>329</v>
      </c>
      <c r="C17" s="58"/>
      <c r="D17" s="187">
        <f>+'EXH KBH-2 Summary P2.1'!E43</f>
        <v>291900885.08224416</v>
      </c>
    </row>
    <row r="18" spans="1:4">
      <c r="A18" s="57">
        <f t="shared" si="0"/>
        <v>7</v>
      </c>
      <c r="B18" s="76" t="s">
        <v>330</v>
      </c>
      <c r="C18" s="58"/>
      <c r="D18" s="186">
        <f>+D15-D17</f>
        <v>3806196.0884254575</v>
      </c>
    </row>
    <row r="19" spans="1:4">
      <c r="A19" s="57">
        <f t="shared" si="0"/>
        <v>8</v>
      </c>
      <c r="B19" s="58"/>
      <c r="C19" s="58"/>
      <c r="D19" s="113"/>
    </row>
    <row r="20" spans="1:4">
      <c r="A20" s="57">
        <f t="shared" si="0"/>
        <v>9</v>
      </c>
      <c r="B20" s="58" t="s">
        <v>203</v>
      </c>
      <c r="C20" s="58"/>
      <c r="D20" s="114">
        <f>+'Conv Fact P2.48'!E23</f>
        <v>0.62126199999999998</v>
      </c>
    </row>
    <row r="21" spans="1:4">
      <c r="A21" s="57">
        <f>A20+1</f>
        <v>10</v>
      </c>
      <c r="B21" s="58" t="s">
        <v>331</v>
      </c>
      <c r="C21" s="58"/>
      <c r="D21" s="188">
        <f>ROUND(+D18/D20,0)</f>
        <v>6126555</v>
      </c>
    </row>
    <row r="22" spans="1:4">
      <c r="A22" s="57">
        <f t="shared" si="0"/>
        <v>11</v>
      </c>
      <c r="B22" s="76" t="s">
        <v>332</v>
      </c>
      <c r="C22" s="58"/>
      <c r="D22" s="189">
        <v>220879</v>
      </c>
    </row>
    <row r="23" spans="1:4">
      <c r="A23" s="57">
        <f t="shared" si="0"/>
        <v>12</v>
      </c>
      <c r="B23" s="76" t="s">
        <v>333</v>
      </c>
      <c r="C23" s="58"/>
      <c r="D23" s="189">
        <v>79160</v>
      </c>
    </row>
    <row r="24" spans="1:4" ht="16.5" thickBot="1">
      <c r="A24" s="57">
        <f>A23+1</f>
        <v>13</v>
      </c>
      <c r="B24" s="58" t="s">
        <v>331</v>
      </c>
      <c r="C24" s="58"/>
      <c r="D24" s="190">
        <f>+D21-D23-D22</f>
        <v>5826516</v>
      </c>
    </row>
    <row r="25" spans="1:4" ht="16.5" thickTop="1">
      <c r="A25" s="57"/>
      <c r="B25" s="58"/>
      <c r="C25" s="58"/>
      <c r="D25" s="58"/>
    </row>
  </sheetData>
  <pageMargins left="0.7" right="0.7" top="0.75" bottom="0.75" header="0.75" footer="0.3"/>
  <pageSetup scale="90" orientation="portrait" r:id="rId1"/>
  <headerFooter>
    <oddHeader>&amp;R&amp;"Times New Roman,Regular"&amp;12Exhibit KHB-2
Page 2.46</oddHead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codeName="Sheet11">
    <pageSetUpPr fitToPage="1"/>
  </sheetPr>
  <dimension ref="A1:F27"/>
  <sheetViews>
    <sheetView zoomScaleNormal="100" workbookViewId="0">
      <selection activeCell="B46" sqref="B46"/>
    </sheetView>
  </sheetViews>
  <sheetFormatPr defaultColWidth="9.140625" defaultRowHeight="15.75"/>
  <cols>
    <col min="1" max="1" width="7" style="2" customWidth="1"/>
    <col min="2" max="2" width="62.28515625" style="2" customWidth="1"/>
    <col min="3" max="3" width="19.42578125" style="2" customWidth="1"/>
    <col min="4" max="4" width="15.85546875" style="2" customWidth="1"/>
    <col min="5" max="5" width="16.5703125" style="2" customWidth="1"/>
    <col min="6" max="16384" width="9.140625" style="2"/>
  </cols>
  <sheetData>
    <row r="1" spans="1:6">
      <c r="A1" s="2" t="str">
        <f>CO</f>
        <v>Puget Sound Energy</v>
      </c>
    </row>
    <row r="2" spans="1:6">
      <c r="A2" s="2" t="str">
        <f>DOCKET</f>
        <v>Docket UE-090704/UG-090705</v>
      </c>
    </row>
    <row r="4" spans="1:6">
      <c r="A4" s="49"/>
      <c r="B4" s="58"/>
      <c r="C4" s="58"/>
      <c r="D4" s="58"/>
      <c r="E4" s="92"/>
    </row>
    <row r="5" spans="1:6">
      <c r="A5" s="58"/>
      <c r="B5" s="58"/>
      <c r="C5" s="58"/>
      <c r="D5" s="58"/>
      <c r="E5" s="92"/>
    </row>
    <row r="6" spans="1:6">
      <c r="A6" s="58"/>
      <c r="B6" s="58"/>
      <c r="C6" s="58"/>
      <c r="D6" s="58"/>
      <c r="E6" s="110"/>
    </row>
    <row r="7" spans="1:6">
      <c r="A7" s="46" t="s">
        <v>201</v>
      </c>
      <c r="B7" s="93"/>
      <c r="C7" s="38"/>
      <c r="D7" s="38"/>
      <c r="E7" s="38"/>
    </row>
    <row r="8" spans="1:6">
      <c r="A8" s="38" t="s">
        <v>290</v>
      </c>
      <c r="B8" s="93"/>
      <c r="C8" s="38"/>
      <c r="D8" s="38"/>
      <c r="E8" s="38"/>
    </row>
    <row r="9" spans="1:6">
      <c r="A9" s="38" t="str">
        <f>TY</f>
        <v>FOR THE TWELVE MONTHS ENDED DECEMBER 31, 2008</v>
      </c>
      <c r="B9" s="93"/>
      <c r="C9" s="38"/>
      <c r="D9" s="38"/>
      <c r="E9" s="38"/>
    </row>
    <row r="10" spans="1:6">
      <c r="A10" s="46" t="s">
        <v>205</v>
      </c>
      <c r="B10" s="93"/>
      <c r="C10" s="38"/>
      <c r="D10" s="38"/>
      <c r="E10" s="38"/>
    </row>
    <row r="11" spans="1:6">
      <c r="A11" s="39"/>
      <c r="B11" s="58"/>
      <c r="C11" s="58"/>
      <c r="D11" s="58"/>
      <c r="E11" s="58"/>
    </row>
    <row r="12" spans="1:6">
      <c r="A12" s="58"/>
      <c r="B12" s="58"/>
      <c r="C12" s="58"/>
      <c r="D12" s="58"/>
      <c r="E12" s="58"/>
    </row>
    <row r="13" spans="1:6">
      <c r="A13" s="51" t="s">
        <v>208</v>
      </c>
      <c r="B13" s="58"/>
      <c r="C13" s="57" t="s">
        <v>299</v>
      </c>
      <c r="D13" s="57"/>
      <c r="E13" s="57" t="s">
        <v>300</v>
      </c>
    </row>
    <row r="14" spans="1:6">
      <c r="A14" s="53" t="s">
        <v>215</v>
      </c>
      <c r="B14" s="94" t="s">
        <v>216</v>
      </c>
      <c r="C14" s="95" t="s">
        <v>303</v>
      </c>
      <c r="D14" s="95" t="s">
        <v>304</v>
      </c>
      <c r="E14" s="95" t="s">
        <v>305</v>
      </c>
    </row>
    <row r="15" spans="1:6">
      <c r="A15" s="96"/>
      <c r="B15" s="96"/>
      <c r="C15" s="96"/>
      <c r="D15" s="96"/>
      <c r="E15" s="96"/>
    </row>
    <row r="16" spans="1:6">
      <c r="A16" s="57">
        <v>1</v>
      </c>
      <c r="B16" s="58" t="s">
        <v>306</v>
      </c>
      <c r="C16" s="196">
        <v>3.95E-2</v>
      </c>
      <c r="D16" s="196">
        <v>2.47E-2</v>
      </c>
      <c r="E16" s="97">
        <f>ROUND(C16*D16,4)</f>
        <v>1E-3</v>
      </c>
      <c r="F16" s="197"/>
    </row>
    <row r="17" spans="1:6">
      <c r="A17" s="57">
        <v>2</v>
      </c>
      <c r="B17" s="58" t="s">
        <v>308</v>
      </c>
      <c r="C17" s="196">
        <v>0.51049999999999995</v>
      </c>
      <c r="D17" s="196">
        <v>6.4500000000000002E-2</v>
      </c>
      <c r="E17" s="97">
        <f>ROUND(C17*D17,4)</f>
        <v>3.2899999999999999E-2</v>
      </c>
      <c r="F17" s="197"/>
    </row>
    <row r="18" spans="1:6">
      <c r="A18" s="57">
        <v>3</v>
      </c>
      <c r="B18" s="58" t="s">
        <v>309</v>
      </c>
      <c r="C18" s="196">
        <v>0</v>
      </c>
      <c r="D18" s="196">
        <v>0</v>
      </c>
      <c r="E18" s="97">
        <f>ROUND(C18*D18,4)</f>
        <v>0</v>
      </c>
      <c r="F18" s="197"/>
    </row>
    <row r="19" spans="1:6">
      <c r="A19" s="57">
        <v>4</v>
      </c>
      <c r="B19" s="58" t="s">
        <v>310</v>
      </c>
      <c r="C19" s="198">
        <v>0.45</v>
      </c>
      <c r="D19" s="199">
        <v>0.1</v>
      </c>
      <c r="E19" s="97">
        <f>ROUND(C19*D19,4)</f>
        <v>4.4999999999999998E-2</v>
      </c>
      <c r="F19" s="197"/>
    </row>
    <row r="20" spans="1:6">
      <c r="A20" s="57">
        <v>5</v>
      </c>
      <c r="B20" s="58" t="s">
        <v>226</v>
      </c>
      <c r="C20" s="98">
        <v>1</v>
      </c>
      <c r="D20" s="97"/>
      <c r="E20" s="98">
        <f>SUM(E16:E19)</f>
        <v>7.8899999999999998E-2</v>
      </c>
      <c r="F20" s="197"/>
    </row>
    <row r="21" spans="1:6">
      <c r="A21" s="57">
        <v>6</v>
      </c>
      <c r="B21" s="58"/>
      <c r="C21" s="97"/>
      <c r="D21" s="97"/>
      <c r="E21" s="97"/>
      <c r="F21" s="197"/>
    </row>
    <row r="22" spans="1:6">
      <c r="A22" s="57">
        <v>7</v>
      </c>
      <c r="B22" s="58" t="s">
        <v>313</v>
      </c>
      <c r="C22" s="97">
        <f>C16</f>
        <v>3.95E-2</v>
      </c>
      <c r="D22" s="97">
        <f>D16*0.65</f>
        <v>1.6055E-2</v>
      </c>
      <c r="E22" s="97">
        <f>ROUND(E16*0.65,4)</f>
        <v>6.9999999999999999E-4</v>
      </c>
      <c r="F22" s="197"/>
    </row>
    <row r="23" spans="1:6">
      <c r="A23" s="57">
        <v>8</v>
      </c>
      <c r="B23" s="58" t="s">
        <v>315</v>
      </c>
      <c r="C23" s="97">
        <f>C17</f>
        <v>0.51049999999999995</v>
      </c>
      <c r="D23" s="97">
        <f>D17*0.65</f>
        <v>4.1925000000000004E-2</v>
      </c>
      <c r="E23" s="97">
        <f>ROUND(E17*0.65,4)</f>
        <v>2.1399999999999999E-2</v>
      </c>
      <c r="F23" s="197"/>
    </row>
    <row r="24" spans="1:6">
      <c r="A24" s="57">
        <v>9</v>
      </c>
      <c r="B24" s="58" t="s">
        <v>309</v>
      </c>
      <c r="C24" s="97">
        <f>C18</f>
        <v>0</v>
      </c>
      <c r="D24" s="97">
        <f>D18</f>
        <v>0</v>
      </c>
      <c r="E24" s="97">
        <f>ROUND(C24*D24,4)</f>
        <v>0</v>
      </c>
      <c r="F24" s="197"/>
    </row>
    <row r="25" spans="1:6">
      <c r="A25" s="57">
        <v>10</v>
      </c>
      <c r="B25" s="58" t="s">
        <v>310</v>
      </c>
      <c r="C25" s="45">
        <f>C19</f>
        <v>0.45</v>
      </c>
      <c r="D25" s="99">
        <f>D19</f>
        <v>0.1</v>
      </c>
      <c r="E25" s="97">
        <f>ROUND(C25*D25,4)</f>
        <v>4.4999999999999998E-2</v>
      </c>
      <c r="F25" s="197"/>
    </row>
    <row r="26" spans="1:6">
      <c r="A26" s="57">
        <v>11</v>
      </c>
      <c r="B26" s="58" t="s">
        <v>319</v>
      </c>
      <c r="C26" s="98">
        <f>SUM(C22:C25)</f>
        <v>1</v>
      </c>
      <c r="D26" s="97"/>
      <c r="E26" s="98">
        <f>SUM(E22:E25)</f>
        <v>6.7099999999999993E-2</v>
      </c>
      <c r="F26" s="197"/>
    </row>
    <row r="27" spans="1:6">
      <c r="A27" s="57"/>
      <c r="B27" s="58"/>
      <c r="C27" s="45"/>
      <c r="D27" s="97"/>
      <c r="E27" s="45"/>
      <c r="F27" s="197"/>
    </row>
  </sheetData>
  <pageMargins left="0.7" right="0.7" top="0.75" bottom="0.75" header="0.75" footer="0.3"/>
  <pageSetup scale="74" orientation="portrait" r:id="rId1"/>
  <headerFooter>
    <oddHeader>&amp;R&amp;"Times New Roman,Regular"Exhibit KHB-2
Page 2.47</oddHead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3"/>
  <sheetViews>
    <sheetView zoomScaleNormal="100" workbookViewId="0">
      <selection activeCell="B46" sqref="B46"/>
    </sheetView>
  </sheetViews>
  <sheetFormatPr defaultColWidth="9.140625" defaultRowHeight="15.75"/>
  <cols>
    <col min="1" max="1" width="9.140625" style="2"/>
    <col min="2" max="2" width="64.5703125" style="2" customWidth="1"/>
    <col min="3" max="4" width="9.140625" style="2"/>
    <col min="5" max="5" width="26.7109375" style="2" customWidth="1"/>
    <col min="6" max="16384" width="9.140625" style="2"/>
  </cols>
  <sheetData>
    <row r="1" spans="1:6">
      <c r="A1" s="2" t="str">
        <f>CO</f>
        <v>Puget Sound Energy</v>
      </c>
    </row>
    <row r="2" spans="1:6">
      <c r="A2" s="2" t="str">
        <f>DOCKET</f>
        <v>Docket UE-090704/UG-090705</v>
      </c>
    </row>
    <row r="4" spans="1:6">
      <c r="A4" s="49"/>
      <c r="B4" s="58"/>
      <c r="C4" s="58"/>
      <c r="D4" s="58"/>
      <c r="E4" s="92"/>
      <c r="F4" s="49"/>
    </row>
    <row r="5" spans="1:6">
      <c r="A5" s="49"/>
      <c r="B5" s="49"/>
      <c r="C5" s="49"/>
      <c r="D5" s="49"/>
      <c r="E5" s="92"/>
      <c r="F5" s="100"/>
    </row>
    <row r="6" spans="1:6">
      <c r="A6" s="49"/>
      <c r="B6" s="49"/>
      <c r="C6" s="49"/>
      <c r="D6" s="49"/>
      <c r="E6" s="110"/>
      <c r="F6" s="49"/>
    </row>
    <row r="7" spans="1:6">
      <c r="A7" s="46" t="s">
        <v>201</v>
      </c>
      <c r="B7" s="38"/>
      <c r="C7" s="38"/>
      <c r="D7" s="38"/>
      <c r="E7" s="38"/>
      <c r="F7" s="46"/>
    </row>
    <row r="8" spans="1:6">
      <c r="A8" s="38" t="s">
        <v>203</v>
      </c>
      <c r="B8" s="38"/>
      <c r="C8" s="38"/>
      <c r="D8" s="38"/>
      <c r="E8" s="38"/>
      <c r="F8" s="46"/>
    </row>
    <row r="9" spans="1:6">
      <c r="A9" s="38" t="str">
        <f>TY</f>
        <v>FOR THE TWELVE MONTHS ENDED DECEMBER 31, 2008</v>
      </c>
      <c r="B9" s="38"/>
      <c r="C9" s="38"/>
      <c r="D9" s="38"/>
      <c r="E9" s="38"/>
      <c r="F9" s="38"/>
    </row>
    <row r="10" spans="1:6">
      <c r="A10" s="46" t="s">
        <v>205</v>
      </c>
      <c r="B10" s="38"/>
      <c r="C10" s="38"/>
      <c r="D10" s="38"/>
      <c r="E10" s="38"/>
      <c r="F10" s="46"/>
    </row>
    <row r="11" spans="1:6">
      <c r="A11" s="49"/>
      <c r="B11" s="49"/>
      <c r="C11" s="49"/>
      <c r="D11" s="49"/>
      <c r="E11" s="49"/>
      <c r="F11" s="49"/>
    </row>
    <row r="12" spans="1:6">
      <c r="A12" s="51" t="s">
        <v>208</v>
      </c>
      <c r="B12" s="49"/>
      <c r="C12" s="49"/>
      <c r="D12" s="49"/>
      <c r="E12" s="49"/>
      <c r="F12" s="108"/>
    </row>
    <row r="13" spans="1:6">
      <c r="A13" s="53" t="s">
        <v>215</v>
      </c>
      <c r="B13" s="101" t="s">
        <v>216</v>
      </c>
      <c r="C13" s="52"/>
      <c r="D13" s="52"/>
      <c r="E13" s="53" t="s">
        <v>227</v>
      </c>
      <c r="F13" s="108"/>
    </row>
    <row r="14" spans="1:6">
      <c r="A14" s="58"/>
      <c r="B14" s="58"/>
      <c r="C14" s="58"/>
      <c r="D14" s="58"/>
      <c r="E14" s="57"/>
      <c r="F14" s="109"/>
    </row>
    <row r="15" spans="1:6">
      <c r="A15" s="57">
        <v>1</v>
      </c>
      <c r="B15" s="76" t="s">
        <v>202</v>
      </c>
      <c r="C15" s="58"/>
      <c r="D15" s="58"/>
      <c r="E15" s="102">
        <f>+'Adj 10.13 P2.20'!G20</f>
        <v>3.6219999999999998E-3</v>
      </c>
      <c r="F15" s="54"/>
    </row>
    <row r="16" spans="1:6">
      <c r="A16" s="57">
        <v>2</v>
      </c>
      <c r="B16" s="76" t="s">
        <v>237</v>
      </c>
      <c r="C16" s="58"/>
      <c r="D16" s="58"/>
      <c r="E16" s="102">
        <v>2E-3</v>
      </c>
      <c r="F16" s="54"/>
    </row>
    <row r="17" spans="1:6">
      <c r="A17" s="57">
        <v>3</v>
      </c>
      <c r="B17" s="76" t="str">
        <f>"STATE UTILITY TAX ( "&amp;D17*100&amp;"% - ( LINE 1 * "&amp;D17*100&amp;"% )  )"</f>
        <v>STATE UTILITY TAX ( 3.873% - ( LINE 1 * 3.873% )  )</v>
      </c>
      <c r="C17" s="58"/>
      <c r="D17" s="103">
        <v>3.8730000000000001E-2</v>
      </c>
      <c r="E17" s="104">
        <f>ROUND(D17-(D17*E15),6)</f>
        <v>3.8589999999999999E-2</v>
      </c>
      <c r="F17" s="59"/>
    </row>
    <row r="18" spans="1:6">
      <c r="A18" s="57">
        <v>4</v>
      </c>
      <c r="B18" s="76"/>
      <c r="C18" s="58"/>
      <c r="D18" s="58"/>
      <c r="E18" s="105"/>
      <c r="F18" s="59"/>
    </row>
    <row r="19" spans="1:6">
      <c r="A19" s="57">
        <v>5</v>
      </c>
      <c r="B19" s="76" t="s">
        <v>251</v>
      </c>
      <c r="C19" s="58"/>
      <c r="D19" s="58"/>
      <c r="E19" s="102">
        <f>ROUND(SUM(E15:E17),6)</f>
        <v>4.4212000000000001E-2</v>
      </c>
      <c r="F19" s="59"/>
    </row>
    <row r="20" spans="1:6">
      <c r="A20" s="57">
        <v>6</v>
      </c>
      <c r="B20" s="58"/>
      <c r="C20" s="58"/>
      <c r="D20" s="58"/>
      <c r="E20" s="102"/>
      <c r="F20" s="59"/>
    </row>
    <row r="21" spans="1:6">
      <c r="A21" s="57">
        <v>7</v>
      </c>
      <c r="B21" s="58" t="str">
        <f>"CONVERSION FACTOR EXCLUDING FEDERAL INCOME TAX ( 1 - LINE "&amp;$GE$17&amp;" )"</f>
        <v>CONVERSION FACTOR EXCLUDING FEDERAL INCOME TAX ( 1 - LINE  )</v>
      </c>
      <c r="C21" s="58"/>
      <c r="D21" s="58"/>
      <c r="E21" s="102">
        <f>ROUND(1-E19,6)</f>
        <v>0.95578799999999997</v>
      </c>
      <c r="F21" s="59"/>
    </row>
    <row r="22" spans="1:6">
      <c r="A22" s="57">
        <v>8</v>
      </c>
      <c r="B22" s="76" t="str">
        <f>"FEDERAL INCOME TAX ( LINE "&amp;A21&amp;"  * "&amp;FIT*100&amp;"% )"</f>
        <v>FEDERAL INCOME TAX ( LINE 7  * 35% )</v>
      </c>
      <c r="C22" s="58"/>
      <c r="D22" s="106">
        <v>0.35</v>
      </c>
      <c r="E22" s="102">
        <f>ROUND((E21)*FIT,6)</f>
        <v>0.33452599999999999</v>
      </c>
      <c r="F22" s="59"/>
    </row>
    <row r="23" spans="1:6">
      <c r="A23" s="57">
        <v>9</v>
      </c>
      <c r="B23" s="76" t="str">
        <f>"CONVERSION FACTOR INCL FEDERAL INCOME TAX ( LINE "&amp;A21&amp;" - LINE "&amp;A22&amp;" ) "</f>
        <v xml:space="preserve">CONVERSION FACTOR INCL FEDERAL INCOME TAX ( LINE 7 - LINE 8 ) </v>
      </c>
      <c r="C23" s="58"/>
      <c r="D23" s="58"/>
      <c r="E23" s="107">
        <f>E21-E22</f>
        <v>0.62126199999999998</v>
      </c>
      <c r="F23" s="59"/>
    </row>
  </sheetData>
  <pageMargins left="0.7" right="0.7" top="0.75" bottom="0.75" header="0.75" footer="0.3"/>
  <pageSetup scale="70" orientation="portrait" r:id="rId1"/>
  <headerFooter>
    <oddHeader>&amp;R&amp;"Times New Roman,Regular"&amp;12Exhibit KHB-2
Page 2.48</oddHeader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topLeftCell="A2" zoomScale="110" zoomScaleNormal="110" workbookViewId="0">
      <pane xSplit="3" ySplit="9" topLeftCell="F38" activePane="bottomRight" state="frozen"/>
      <selection activeCell="B46" sqref="B46"/>
      <selection pane="topRight" activeCell="B46" sqref="B46"/>
      <selection pane="bottomLeft" activeCell="B46" sqref="B46"/>
      <selection pane="bottomRight" activeCell="G51" sqref="G51"/>
    </sheetView>
  </sheetViews>
  <sheetFormatPr defaultColWidth="9.140625" defaultRowHeight="15.75"/>
  <cols>
    <col min="1" max="1" width="4.42578125" style="2" customWidth="1"/>
    <col min="2" max="2" width="9.140625" style="2"/>
    <col min="3" max="3" width="37.28515625" style="2" customWidth="1"/>
    <col min="4" max="4" width="16.42578125" style="2" customWidth="1"/>
    <col min="5" max="5" width="17.42578125" style="2" customWidth="1"/>
    <col min="6" max="6" width="16.42578125" style="2" customWidth="1"/>
    <col min="7" max="7" width="17" style="2" customWidth="1"/>
    <col min="8" max="8" width="19.85546875" style="2" customWidth="1"/>
    <col min="9" max="9" width="16.28515625" style="2" customWidth="1"/>
    <col min="10" max="10" width="17.5703125" style="2" customWidth="1"/>
    <col min="11" max="11" width="16.42578125" style="2" customWidth="1"/>
    <col min="12" max="12" width="17" style="2" customWidth="1"/>
    <col min="13" max="13" width="15.140625" style="2" bestFit="1" customWidth="1"/>
    <col min="14" max="16384" width="9.140625" style="2"/>
  </cols>
  <sheetData>
    <row r="1" spans="1:12">
      <c r="A1" s="2" t="s">
        <v>336</v>
      </c>
    </row>
    <row r="2" spans="1:12">
      <c r="A2" s="2" t="s">
        <v>722</v>
      </c>
      <c r="I2" s="598"/>
    </row>
    <row r="3" spans="1:12">
      <c r="A3" s="2" t="s">
        <v>724</v>
      </c>
      <c r="I3" s="598"/>
    </row>
    <row r="4" spans="1:12">
      <c r="A4" s="2" t="s">
        <v>782</v>
      </c>
    </row>
    <row r="5" spans="1:12">
      <c r="A5" s="2" t="s">
        <v>726</v>
      </c>
    </row>
    <row r="7" spans="1:12">
      <c r="B7" s="11"/>
      <c r="C7" s="11"/>
      <c r="D7" s="781" t="s">
        <v>400</v>
      </c>
      <c r="E7" s="784"/>
      <c r="F7" s="785"/>
      <c r="G7" s="781" t="s">
        <v>401</v>
      </c>
      <c r="H7" s="782"/>
      <c r="I7" s="783"/>
      <c r="J7" s="781" t="s">
        <v>735</v>
      </c>
      <c r="K7" s="786"/>
      <c r="L7" s="787"/>
    </row>
    <row r="8" spans="1:12">
      <c r="B8" s="12" t="s">
        <v>730</v>
      </c>
      <c r="C8" s="12" t="s">
        <v>39</v>
      </c>
      <c r="D8" s="12" t="s">
        <v>783</v>
      </c>
      <c r="E8" s="12" t="s">
        <v>732</v>
      </c>
      <c r="F8" s="36" t="s">
        <v>728</v>
      </c>
      <c r="G8" s="12" t="s">
        <v>783</v>
      </c>
      <c r="H8" s="12" t="s">
        <v>732</v>
      </c>
      <c r="I8" s="36" t="s">
        <v>728</v>
      </c>
      <c r="J8" s="12" t="s">
        <v>783</v>
      </c>
      <c r="K8" s="12" t="s">
        <v>732</v>
      </c>
      <c r="L8" s="11" t="s">
        <v>728</v>
      </c>
    </row>
    <row r="9" spans="1:12">
      <c r="B9" s="17" t="s">
        <v>736</v>
      </c>
      <c r="C9" s="17" t="s">
        <v>737</v>
      </c>
      <c r="D9" s="17" t="s">
        <v>81</v>
      </c>
      <c r="E9" s="17" t="s">
        <v>52</v>
      </c>
      <c r="F9" s="17" t="s">
        <v>784</v>
      </c>
      <c r="G9" s="17" t="s">
        <v>738</v>
      </c>
      <c r="H9" s="17" t="s">
        <v>739</v>
      </c>
      <c r="I9" s="629" t="s">
        <v>57</v>
      </c>
      <c r="J9" s="17" t="s">
        <v>785</v>
      </c>
      <c r="K9" s="17" t="s">
        <v>84</v>
      </c>
      <c r="L9" s="17" t="s">
        <v>786</v>
      </c>
    </row>
    <row r="11" spans="1:12">
      <c r="C11" s="630" t="s">
        <v>740</v>
      </c>
      <c r="D11" s="631">
        <f>+'Staff Electric'!D11</f>
        <v>225331768.25528693</v>
      </c>
      <c r="E11" s="631">
        <f>+'Staff Electric'!E11</f>
        <v>3459308673.2818484</v>
      </c>
      <c r="F11" s="631">
        <f>+'Staff Electric'!G11</f>
        <v>76630610.060000002</v>
      </c>
      <c r="G11" s="631">
        <f>+'Company Electric'!D11</f>
        <v>225331768</v>
      </c>
      <c r="H11" s="631">
        <f>+'Company Electric'!E11</f>
        <v>3462284719</v>
      </c>
      <c r="I11" s="631">
        <f>+'Company Electric'!F11</f>
        <v>111003784.42</v>
      </c>
      <c r="J11" s="632">
        <f t="shared" ref="J11:J49" si="0">+D11-G11</f>
        <v>0.25528693199157715</v>
      </c>
      <c r="K11" s="632">
        <f t="shared" ref="K11:K49" si="1">+E11-H11</f>
        <v>-2976045.7181515694</v>
      </c>
      <c r="L11" s="632">
        <f t="shared" ref="L11:L49" si="2">+F11-I11</f>
        <v>-34373174.359999999</v>
      </c>
    </row>
    <row r="12" spans="1:12">
      <c r="B12" s="633">
        <v>10.01</v>
      </c>
      <c r="C12" s="2" t="s">
        <v>741</v>
      </c>
      <c r="D12" s="23">
        <f>+'Staff Electric'!D12</f>
        <v>-12235767</v>
      </c>
      <c r="E12" s="23">
        <f>+'Staff Electric'!E12</f>
        <v>0</v>
      </c>
      <c r="F12" s="23">
        <f>+'Staff Electric'!G12</f>
        <v>19695019.170000002</v>
      </c>
      <c r="G12" s="16">
        <f>+'Company Electric'!D12</f>
        <v>-12235767</v>
      </c>
      <c r="H12" s="16">
        <f>+'Company Electric'!E12</f>
        <v>0</v>
      </c>
      <c r="I12" s="16">
        <f>+'Company Electric'!F12</f>
        <v>19695019.170000002</v>
      </c>
      <c r="J12" s="16">
        <f t="shared" si="0"/>
        <v>0</v>
      </c>
      <c r="K12" s="16">
        <f t="shared" si="1"/>
        <v>0</v>
      </c>
      <c r="L12" s="16">
        <f t="shared" si="2"/>
        <v>0</v>
      </c>
    </row>
    <row r="13" spans="1:12">
      <c r="B13" s="633">
        <v>10.02</v>
      </c>
      <c r="C13" s="2" t="s">
        <v>742</v>
      </c>
      <c r="D13" s="23">
        <f>+'Staff Electric'!D13</f>
        <v>86639195.322986126</v>
      </c>
      <c r="E13" s="23">
        <f>+'Staff Electric'!E13</f>
        <v>0</v>
      </c>
      <c r="F13" s="23">
        <f>+'Staff Electric'!G13</f>
        <v>-139456775.59999999</v>
      </c>
      <c r="G13" s="16">
        <f>+'Company Electric'!D13</f>
        <v>80396404</v>
      </c>
      <c r="H13" s="16">
        <f>+'Company Electric'!E13</f>
        <v>0</v>
      </c>
      <c r="I13" s="16">
        <f>+'Company Electric'!F13</f>
        <v>-129408211.03</v>
      </c>
      <c r="J13" s="16">
        <f t="shared" si="0"/>
        <v>6242791.3229861259</v>
      </c>
      <c r="K13" s="16">
        <f t="shared" si="1"/>
        <v>0</v>
      </c>
      <c r="L13" s="16">
        <f t="shared" si="2"/>
        <v>-10048564.569999993</v>
      </c>
    </row>
    <row r="14" spans="1:12">
      <c r="B14" s="633">
        <v>10.029999999999999</v>
      </c>
      <c r="C14" s="2" t="s">
        <v>743</v>
      </c>
      <c r="D14" s="23">
        <f>+'Staff Electric'!D14</f>
        <v>72539567.754538745</v>
      </c>
      <c r="E14" s="23">
        <f>+'Staff Electric'!E14</f>
        <v>0</v>
      </c>
      <c r="F14" s="23">
        <f>+'Staff Electric'!G14</f>
        <v>-116761636.40000001</v>
      </c>
      <c r="G14" s="16">
        <f>+'Company Electric'!D14</f>
        <v>43026979</v>
      </c>
      <c r="H14" s="16">
        <f>+'Company Electric'!E14</f>
        <v>0</v>
      </c>
      <c r="I14" s="16">
        <f>+'Company Electric'!F14</f>
        <v>-69257380.939999998</v>
      </c>
      <c r="J14" s="16">
        <f t="shared" si="0"/>
        <v>29512588.754538745</v>
      </c>
      <c r="K14" s="16">
        <f t="shared" si="1"/>
        <v>0</v>
      </c>
      <c r="L14" s="16">
        <f t="shared" si="2"/>
        <v>-47504255.460000008</v>
      </c>
    </row>
    <row r="15" spans="1:12">
      <c r="B15" s="633">
        <v>10.039999999999999</v>
      </c>
      <c r="C15" s="2" t="s">
        <v>638</v>
      </c>
      <c r="D15" s="23">
        <f>+'Staff Electric'!D15</f>
        <v>-20234047.869399998</v>
      </c>
      <c r="E15" s="23">
        <f>+'Staff Electric'!E15</f>
        <v>0</v>
      </c>
      <c r="F15" s="23">
        <f>+'Staff Electric'!G15</f>
        <v>32569266.859999999</v>
      </c>
      <c r="G15" s="16">
        <f>+'Company Electric'!D15</f>
        <v>-20234048</v>
      </c>
      <c r="H15" s="16">
        <f>+'Company Electric'!E15</f>
        <v>0</v>
      </c>
      <c r="I15" s="16">
        <f>+'Company Electric'!F15</f>
        <v>32569267.07</v>
      </c>
      <c r="J15" s="16">
        <f t="shared" si="0"/>
        <v>0.13060000166296959</v>
      </c>
      <c r="K15" s="16">
        <f t="shared" si="1"/>
        <v>0</v>
      </c>
      <c r="L15" s="16">
        <f t="shared" si="2"/>
        <v>-0.21000000089406967</v>
      </c>
    </row>
    <row r="16" spans="1:12">
      <c r="B16" s="633">
        <v>10.050000000000001</v>
      </c>
      <c r="C16" s="2" t="s">
        <v>744</v>
      </c>
      <c r="D16" s="23">
        <f>+'Staff Electric'!D16</f>
        <v>-858285.63475342758</v>
      </c>
      <c r="E16" s="23">
        <f>+'Staff Electric'!E16</f>
        <v>0</v>
      </c>
      <c r="F16" s="23">
        <f>+'Staff Electric'!G16</f>
        <v>1381519.61</v>
      </c>
      <c r="G16" s="16">
        <f>+'Company Electric'!D16</f>
        <v>-878117</v>
      </c>
      <c r="H16" s="16">
        <f>+'Company Electric'!E16</f>
        <v>0</v>
      </c>
      <c r="I16" s="16">
        <f>+'Company Electric'!F16</f>
        <v>1413440.71</v>
      </c>
      <c r="J16" s="16">
        <f t="shared" si="0"/>
        <v>19831.365246572415</v>
      </c>
      <c r="K16" s="16">
        <f t="shared" si="1"/>
        <v>0</v>
      </c>
      <c r="L16" s="16">
        <f t="shared" si="2"/>
        <v>-31921.09999999986</v>
      </c>
    </row>
    <row r="17" spans="2:13">
      <c r="B17" s="633">
        <v>10.06</v>
      </c>
      <c r="C17" s="2" t="s">
        <v>745</v>
      </c>
      <c r="D17" s="23">
        <f>+'Staff Electric'!D17</f>
        <v>-204970.03908726672</v>
      </c>
      <c r="E17" s="23">
        <f>+'Staff Electric'!E17</f>
        <v>4075268.3383333338</v>
      </c>
      <c r="F17" s="23">
        <f>+'Staff Electric'!G17</f>
        <v>847482.56</v>
      </c>
      <c r="G17" s="16">
        <f>+'Company Electric'!D17</f>
        <v>-214972</v>
      </c>
      <c r="H17" s="16">
        <f>+'Company Electric'!E17</f>
        <v>4704806</v>
      </c>
      <c r="I17" s="16">
        <f>+'Company Electric'!F17</f>
        <v>989728.18</v>
      </c>
      <c r="J17" s="16">
        <f t="shared" si="0"/>
        <v>10001.960912733281</v>
      </c>
      <c r="K17" s="16">
        <f t="shared" si="1"/>
        <v>-629537.66166666616</v>
      </c>
      <c r="L17" s="16">
        <f t="shared" si="2"/>
        <v>-142245.62</v>
      </c>
    </row>
    <row r="18" spans="2:13">
      <c r="B18" s="633">
        <v>10.07</v>
      </c>
      <c r="C18" s="2" t="s">
        <v>746</v>
      </c>
      <c r="D18" s="23">
        <f>+'Staff Electric'!D18</f>
        <v>-3289703.025835814</v>
      </c>
      <c r="E18" s="23">
        <f>+'Staff Electric'!E18</f>
        <v>63260836</v>
      </c>
      <c r="F18" s="23">
        <f>+'Staff Electric'!G18</f>
        <v>13329292.609999999</v>
      </c>
      <c r="G18" s="16">
        <f>+'Company Electric'!D18</f>
        <v>-4434431</v>
      </c>
      <c r="H18" s="16">
        <f>+'Company Electric'!E18</f>
        <v>75427036</v>
      </c>
      <c r="I18" s="16">
        <f>+'Company Electric'!F18</f>
        <v>17457576.77</v>
      </c>
      <c r="J18" s="16">
        <f t="shared" si="0"/>
        <v>1144727.974164186</v>
      </c>
      <c r="K18" s="16">
        <f t="shared" si="1"/>
        <v>-12166200</v>
      </c>
      <c r="L18" s="16">
        <f t="shared" si="2"/>
        <v>-4128284.16</v>
      </c>
    </row>
    <row r="19" spans="2:13">
      <c r="B19" s="633">
        <v>10.08</v>
      </c>
      <c r="C19" s="2" t="s">
        <v>183</v>
      </c>
      <c r="D19" s="23">
        <f>+'Staff Electric'!D19</f>
        <v>-46387880.538685605</v>
      </c>
      <c r="E19" s="23">
        <f>+'Staff Electric'!E19</f>
        <v>217569920.69013947</v>
      </c>
      <c r="F19" s="23">
        <f>+'Staff Electric'!G19</f>
        <v>102298462.29000001</v>
      </c>
      <c r="G19" s="16">
        <f>+'Company Electric'!D19</f>
        <v>-56574839</v>
      </c>
      <c r="H19" s="16">
        <f>+'Company Electric'!E19</f>
        <v>223509079</v>
      </c>
      <c r="I19" s="16">
        <f>+'Company Electric'!F19</f>
        <v>121644508.62</v>
      </c>
      <c r="J19" s="16">
        <f t="shared" si="0"/>
        <v>10186958.461314395</v>
      </c>
      <c r="K19" s="16">
        <f t="shared" si="1"/>
        <v>-5939158.3098605275</v>
      </c>
      <c r="L19" s="16">
        <f t="shared" si="2"/>
        <v>-19346046.329999998</v>
      </c>
    </row>
    <row r="20" spans="2:13">
      <c r="B20" s="633">
        <v>10.09</v>
      </c>
      <c r="C20" s="2" t="s">
        <v>95</v>
      </c>
      <c r="D20" s="23">
        <f>+'Staff Electric'!D20</f>
        <v>-593802.33333333337</v>
      </c>
      <c r="E20" s="23">
        <f>+'Staff Electric'!E20</f>
        <v>7583823</v>
      </c>
      <c r="F20" s="23">
        <f>+'Staff Electric'!G20</f>
        <v>1918942.36</v>
      </c>
      <c r="G20" s="16">
        <f>+'Company Electric'!D20</f>
        <v>-738416</v>
      </c>
      <c r="H20" s="16">
        <f>+'Company Electric'!E20</f>
        <v>7282195</v>
      </c>
      <c r="I20" s="16">
        <f>+'Company Electric'!F20</f>
        <v>2184911.64</v>
      </c>
      <c r="J20" s="16">
        <f t="shared" si="0"/>
        <v>144613.66666666663</v>
      </c>
      <c r="K20" s="16">
        <f t="shared" si="1"/>
        <v>301628</v>
      </c>
      <c r="L20" s="16">
        <f t="shared" si="2"/>
        <v>-265969.28000000003</v>
      </c>
    </row>
    <row r="21" spans="2:13">
      <c r="B21" s="633">
        <v>10.1</v>
      </c>
      <c r="C21" s="2" t="s">
        <v>98</v>
      </c>
      <c r="D21" s="23">
        <f>+'Staff Electric'!D21</f>
        <v>-2025047.0737074832</v>
      </c>
      <c r="E21" s="23">
        <f>+'Staff Electric'!E21</f>
        <v>16776280.173544908</v>
      </c>
      <c r="F21" s="23">
        <f>+'Staff Electric'!G21</f>
        <v>5390150.3399999999</v>
      </c>
      <c r="G21" s="16">
        <f>+'Company Electric'!D21</f>
        <v>-2015304</v>
      </c>
      <c r="H21" s="16">
        <f>+'Company Electric'!E21</f>
        <v>18323366</v>
      </c>
      <c r="I21" s="16">
        <f>+'Company Electric'!F21</f>
        <v>5750858.9100000001</v>
      </c>
      <c r="J21" s="16">
        <f t="shared" si="0"/>
        <v>-9743.0737074832432</v>
      </c>
      <c r="K21" s="16">
        <f t="shared" si="1"/>
        <v>-1547085.8264550921</v>
      </c>
      <c r="L21" s="16">
        <f t="shared" si="2"/>
        <v>-360708.5700000003</v>
      </c>
    </row>
    <row r="22" spans="2:13">
      <c r="B22" s="633">
        <v>10.11</v>
      </c>
      <c r="C22" s="2" t="s">
        <v>747</v>
      </c>
      <c r="D22" s="23">
        <f>+'Staff Electric'!D22</f>
        <v>-855481.43128692708</v>
      </c>
      <c r="E22" s="23">
        <f>+'Staff Electric'!E22</f>
        <v>33112869.728777334</v>
      </c>
      <c r="F22" s="23">
        <f>+'Staff Electric'!G22</f>
        <v>5582325.7400000002</v>
      </c>
      <c r="G22" s="16">
        <f>+'Company Electric'!D22</f>
        <v>-1000689</v>
      </c>
      <c r="H22" s="16">
        <f>+'Company Electric'!E22</f>
        <v>32876741</v>
      </c>
      <c r="I22" s="16">
        <f>+'Company Electric'!F22</f>
        <v>6108875.1399999997</v>
      </c>
      <c r="J22" s="16">
        <f t="shared" si="0"/>
        <v>145207.56871307292</v>
      </c>
      <c r="K22" s="16">
        <f t="shared" si="1"/>
        <v>236128.72877733409</v>
      </c>
      <c r="L22" s="16">
        <f t="shared" si="2"/>
        <v>-526549.39999999944</v>
      </c>
      <c r="M22" s="634"/>
    </row>
    <row r="23" spans="2:13">
      <c r="B23" s="633">
        <v>10.119999999999999</v>
      </c>
      <c r="C23" s="2" t="s">
        <v>748</v>
      </c>
      <c r="D23" s="23">
        <f>+'Staff Electric'!D23</f>
        <v>-640212.56394022703</v>
      </c>
      <c r="E23" s="23">
        <f>+'Staff Electric'!E23</f>
        <v>0</v>
      </c>
      <c r="F23" s="23">
        <f>+'Staff Electric'!G23</f>
        <v>1030503.34</v>
      </c>
      <c r="G23" s="16">
        <f>+'Company Electric'!D23</f>
        <v>-640213</v>
      </c>
      <c r="H23" s="16">
        <f>+'Company Electric'!E23</f>
        <v>0</v>
      </c>
      <c r="I23" s="16">
        <f>+'Company Electric'!F23</f>
        <v>1030504.04</v>
      </c>
      <c r="J23" s="16">
        <f t="shared" si="0"/>
        <v>0.43605977296829224</v>
      </c>
      <c r="K23" s="16">
        <f t="shared" si="1"/>
        <v>0</v>
      </c>
      <c r="L23" s="16">
        <f t="shared" si="2"/>
        <v>-0.70000000006984919</v>
      </c>
    </row>
    <row r="24" spans="2:13">
      <c r="B24" s="633">
        <v>10.130000000000001</v>
      </c>
      <c r="C24" s="2" t="s">
        <v>749</v>
      </c>
      <c r="D24" s="23">
        <f>+'Staff Electric'!D24</f>
        <v>1021353</v>
      </c>
      <c r="E24" s="23">
        <f>+'Staff Electric'!E24</f>
        <v>0</v>
      </c>
      <c r="F24" s="23">
        <f>+'Staff Electric'!G24</f>
        <v>-1643997.22</v>
      </c>
      <c r="G24" s="16">
        <f>+'Company Electric'!D24</f>
        <v>1021353</v>
      </c>
      <c r="H24" s="16">
        <f>+'Company Electric'!E24</f>
        <v>0</v>
      </c>
      <c r="I24" s="16">
        <f>+'Company Electric'!F24</f>
        <v>-1643997.22</v>
      </c>
      <c r="J24" s="16">
        <f t="shared" si="0"/>
        <v>0</v>
      </c>
      <c r="K24" s="16">
        <f t="shared" si="1"/>
        <v>0</v>
      </c>
      <c r="L24" s="16">
        <f t="shared" si="2"/>
        <v>0</v>
      </c>
    </row>
    <row r="25" spans="2:13">
      <c r="B25" s="633">
        <v>10.14</v>
      </c>
      <c r="C25" s="2" t="s">
        <v>750</v>
      </c>
      <c r="D25" s="23">
        <f>+'Staff Electric'!D25</f>
        <v>1578526.1880824114</v>
      </c>
      <c r="E25" s="23">
        <f>+'Staff Electric'!E25</f>
        <v>0</v>
      </c>
      <c r="F25" s="23">
        <f>+'Staff Electric'!G25</f>
        <v>-2540838.15</v>
      </c>
      <c r="G25" s="16">
        <f>+'Company Electric'!D25</f>
        <v>994791</v>
      </c>
      <c r="H25" s="16">
        <f>+'Company Electric'!E25</f>
        <v>0</v>
      </c>
      <c r="I25" s="16">
        <f>+'Company Electric'!F25</f>
        <v>-1601242.31</v>
      </c>
      <c r="J25" s="16">
        <f t="shared" si="0"/>
        <v>583735.18808241142</v>
      </c>
      <c r="K25" s="16">
        <f t="shared" si="1"/>
        <v>0</v>
      </c>
      <c r="L25" s="16">
        <f t="shared" si="2"/>
        <v>-939595.83999999985</v>
      </c>
    </row>
    <row r="26" spans="2:13">
      <c r="B26" s="633">
        <v>10.15</v>
      </c>
      <c r="C26" s="2" t="s">
        <v>751</v>
      </c>
      <c r="D26" s="23">
        <f>+'Staff Electric'!D26</f>
        <v>0</v>
      </c>
      <c r="E26" s="23">
        <f>+'Staff Electric'!E26</f>
        <v>0</v>
      </c>
      <c r="F26" s="23">
        <f>+'Staff Electric'!G26</f>
        <v>0</v>
      </c>
      <c r="G26" s="16">
        <f>+'Company Electric'!D26</f>
        <v>-1603694</v>
      </c>
      <c r="H26" s="16">
        <f>+'Company Electric'!E26</f>
        <v>0</v>
      </c>
      <c r="I26" s="16">
        <f>+'Company Electric'!F26</f>
        <v>2581348.9300000002</v>
      </c>
      <c r="J26" s="16">
        <f t="shared" si="0"/>
        <v>1603694</v>
      </c>
      <c r="K26" s="16">
        <f t="shared" si="1"/>
        <v>0</v>
      </c>
      <c r="L26" s="16">
        <f t="shared" si="2"/>
        <v>-2581348.9300000002</v>
      </c>
    </row>
    <row r="27" spans="2:13">
      <c r="B27" s="633">
        <v>10.16</v>
      </c>
      <c r="C27" s="2" t="s">
        <v>752</v>
      </c>
      <c r="D27" s="23">
        <f>+'Staff Electric'!D27</f>
        <v>264095.84487998672</v>
      </c>
      <c r="E27" s="23">
        <f>+'Staff Electric'!E27</f>
        <v>0</v>
      </c>
      <c r="F27" s="23">
        <f>+'Staff Electric'!G27</f>
        <v>-425095.76</v>
      </c>
      <c r="G27" s="16">
        <f>+'Company Electric'!D27</f>
        <v>264096</v>
      </c>
      <c r="H27" s="16">
        <f>+'Company Electric'!E27</f>
        <v>0</v>
      </c>
      <c r="I27" s="16">
        <f>+'Company Electric'!F27</f>
        <v>-425096.01</v>
      </c>
      <c r="J27" s="16">
        <f t="shared" si="0"/>
        <v>-0.155120013281703</v>
      </c>
      <c r="K27" s="16">
        <f t="shared" si="1"/>
        <v>0</v>
      </c>
      <c r="L27" s="16">
        <f t="shared" si="2"/>
        <v>0.25</v>
      </c>
    </row>
    <row r="28" spans="2:13">
      <c r="B28" s="633">
        <v>10.17</v>
      </c>
      <c r="C28" s="2" t="s">
        <v>753</v>
      </c>
      <c r="D28" s="23">
        <f>+'Staff Electric'!D28</f>
        <v>305815.07797123073</v>
      </c>
      <c r="E28" s="23">
        <f>+'Staff Electric'!E28</f>
        <v>0</v>
      </c>
      <c r="F28" s="23">
        <f>+'Staff Electric'!G28</f>
        <v>-492248.16</v>
      </c>
      <c r="G28" s="16">
        <f>+'Company Electric'!D28</f>
        <v>205413</v>
      </c>
      <c r="H28" s="16">
        <f>+'Company Electric'!E28</f>
        <v>0</v>
      </c>
      <c r="I28" s="16">
        <f>+'Company Electric'!F28</f>
        <v>-330638.28000000003</v>
      </c>
      <c r="J28" s="16">
        <f t="shared" si="0"/>
        <v>100402.07797123073</v>
      </c>
      <c r="K28" s="16">
        <f t="shared" si="1"/>
        <v>0</v>
      </c>
      <c r="L28" s="16">
        <f t="shared" si="2"/>
        <v>-161609.87999999995</v>
      </c>
    </row>
    <row r="29" spans="2:13">
      <c r="B29" s="633">
        <v>10.18</v>
      </c>
      <c r="C29" s="2" t="s">
        <v>754</v>
      </c>
      <c r="D29" s="23">
        <f>+'Staff Electric'!D29</f>
        <v>51020.154230500411</v>
      </c>
      <c r="E29" s="23">
        <f>+'Staff Electric'!E29</f>
        <v>0</v>
      </c>
      <c r="F29" s="23">
        <f>+'Staff Electric'!G29</f>
        <v>-82123.41</v>
      </c>
      <c r="G29" s="16">
        <f>+'Company Electric'!D29</f>
        <v>51020</v>
      </c>
      <c r="H29" s="16">
        <f>+'Company Electric'!E29</f>
        <v>0</v>
      </c>
      <c r="I29" s="16">
        <f>+'Company Electric'!F29</f>
        <v>-82123.16</v>
      </c>
      <c r="J29" s="16">
        <f t="shared" si="0"/>
        <v>0.15423050041135866</v>
      </c>
      <c r="K29" s="16">
        <f t="shared" si="1"/>
        <v>0</v>
      </c>
      <c r="L29" s="16">
        <f t="shared" si="2"/>
        <v>-0.25</v>
      </c>
    </row>
    <row r="30" spans="2:13">
      <c r="B30" s="633">
        <v>10.19</v>
      </c>
      <c r="C30" s="2" t="s">
        <v>755</v>
      </c>
      <c r="D30" s="23">
        <f>+'Staff Electric'!D30</f>
        <v>-61479.013170731705</v>
      </c>
      <c r="E30" s="23">
        <f>+'Staff Electric'!E30</f>
        <v>4846474.2075103223</v>
      </c>
      <c r="F30" s="23">
        <f>+'Staff Electric'!G30</f>
        <v>714458.36</v>
      </c>
      <c r="G30" s="16">
        <f>+'Company Electric'!D30</f>
        <v>-61479</v>
      </c>
      <c r="H30" s="16">
        <f>+'Company Electric'!E30</f>
        <v>0</v>
      </c>
      <c r="I30" s="16">
        <f>+'Company Electric'!F30</f>
        <v>98958.25</v>
      </c>
      <c r="J30" s="16">
        <f t="shared" si="0"/>
        <v>-1.3170731705031358E-2</v>
      </c>
      <c r="K30" s="16">
        <f t="shared" si="1"/>
        <v>4846474.2075103223</v>
      </c>
      <c r="L30" s="16">
        <f t="shared" si="2"/>
        <v>615500.11</v>
      </c>
    </row>
    <row r="31" spans="2:13">
      <c r="B31" s="633">
        <v>10.199999999999999</v>
      </c>
      <c r="C31" s="2" t="s">
        <v>133</v>
      </c>
      <c r="D31" s="23">
        <f>+'Staff Electric'!D31</f>
        <v>4899699.3499999996</v>
      </c>
      <c r="E31" s="23">
        <f>+'Staff Electric'!E31</f>
        <v>0</v>
      </c>
      <c r="F31" s="23">
        <f>+'Staff Electric'!G31</f>
        <v>-7886687.6600000001</v>
      </c>
      <c r="G31" s="16">
        <f>+'Company Electric'!D31</f>
        <v>4899699</v>
      </c>
      <c r="H31" s="16">
        <f>+'Company Electric'!E31</f>
        <v>0</v>
      </c>
      <c r="I31" s="16">
        <f>+'Company Electric'!F31</f>
        <v>-7886687.0999999996</v>
      </c>
      <c r="J31" s="16">
        <f t="shared" si="0"/>
        <v>0.34999999962747097</v>
      </c>
      <c r="K31" s="16">
        <f t="shared" si="1"/>
        <v>0</v>
      </c>
      <c r="L31" s="16">
        <f t="shared" si="2"/>
        <v>-0.56000000052154064</v>
      </c>
    </row>
    <row r="32" spans="2:13">
      <c r="B32" s="633">
        <v>10.210000000000001</v>
      </c>
      <c r="C32" s="2" t="s">
        <v>756</v>
      </c>
      <c r="D32" s="23">
        <f>+'Staff Electric'!D32</f>
        <v>380361.15</v>
      </c>
      <c r="E32" s="23">
        <f>+'Staff Electric'!E32</f>
        <v>0</v>
      </c>
      <c r="F32" s="23">
        <f>+'Staff Electric'!G32</f>
        <v>-612239.52</v>
      </c>
      <c r="G32" s="16">
        <f>+'Company Electric'!D32</f>
        <v>380361</v>
      </c>
      <c r="H32" s="16">
        <f>+'Company Electric'!E32</f>
        <v>0</v>
      </c>
      <c r="I32" s="16">
        <f>+'Company Electric'!F32</f>
        <v>-612239.28</v>
      </c>
      <c r="J32" s="16">
        <f t="shared" si="0"/>
        <v>0.15000000002328306</v>
      </c>
      <c r="K32" s="16">
        <f t="shared" si="1"/>
        <v>0</v>
      </c>
      <c r="L32" s="16">
        <f t="shared" si="2"/>
        <v>-0.23999999999068677</v>
      </c>
    </row>
    <row r="33" spans="2:12">
      <c r="B33" s="633">
        <v>10.220000000000001</v>
      </c>
      <c r="C33" s="2" t="s">
        <v>757</v>
      </c>
      <c r="D33" s="23">
        <f>+'Staff Electric'!D33</f>
        <v>-497986</v>
      </c>
      <c r="E33" s="23">
        <f>+'Staff Electric'!E33</f>
        <v>0</v>
      </c>
      <c r="F33" s="23">
        <f>+'Staff Electric'!G33</f>
        <v>801571.64</v>
      </c>
      <c r="G33" s="16">
        <f>+'Company Electric'!D33</f>
        <v>-497986</v>
      </c>
      <c r="H33" s="16">
        <f>+'Company Electric'!E33</f>
        <v>0</v>
      </c>
      <c r="I33" s="16">
        <f>+'Company Electric'!F33</f>
        <v>801571.64</v>
      </c>
      <c r="J33" s="16">
        <f t="shared" si="0"/>
        <v>0</v>
      </c>
      <c r="K33" s="16">
        <f t="shared" si="1"/>
        <v>0</v>
      </c>
      <c r="L33" s="16">
        <f t="shared" si="2"/>
        <v>0</v>
      </c>
    </row>
    <row r="34" spans="2:12">
      <c r="B34" s="633">
        <v>10.23</v>
      </c>
      <c r="C34" s="2" t="s">
        <v>758</v>
      </c>
      <c r="D34" s="23">
        <f>+'Staff Electric'!D34</f>
        <v>-778677.57254386239</v>
      </c>
      <c r="E34" s="23">
        <f>+'Staff Electric'!E34</f>
        <v>0</v>
      </c>
      <c r="F34" s="23">
        <f>+'Staff Electric'!G34</f>
        <v>1253380.33</v>
      </c>
      <c r="G34" s="16">
        <f>+'Company Electric'!D34</f>
        <v>-680687</v>
      </c>
      <c r="H34" s="16">
        <f>+'Company Electric'!E34</f>
        <v>0</v>
      </c>
      <c r="I34" s="16">
        <f>+'Company Electric'!F34</f>
        <v>1095652.08</v>
      </c>
      <c r="J34" s="16">
        <f t="shared" si="0"/>
        <v>-97990.572543862392</v>
      </c>
      <c r="K34" s="16">
        <f t="shared" si="1"/>
        <v>0</v>
      </c>
      <c r="L34" s="16">
        <f t="shared" si="2"/>
        <v>157728.25</v>
      </c>
    </row>
    <row r="35" spans="2:12">
      <c r="B35" s="633">
        <v>10.24</v>
      </c>
      <c r="C35" s="2" t="s">
        <v>759</v>
      </c>
      <c r="D35" s="23">
        <f>+'Staff Electric'!D35</f>
        <v>-2741878.4415292414</v>
      </c>
      <c r="E35" s="23">
        <f>+'Staff Electric'!E35</f>
        <v>0</v>
      </c>
      <c r="F35" s="23">
        <f>+'Staff Electric'!G35</f>
        <v>4413401.18</v>
      </c>
      <c r="G35" s="16">
        <f>+'Company Electric'!D35</f>
        <v>-2741878</v>
      </c>
      <c r="H35" s="16">
        <f>+'Company Electric'!E35</f>
        <v>0</v>
      </c>
      <c r="I35" s="16">
        <f>+'Company Electric'!F35</f>
        <v>4413400.47</v>
      </c>
      <c r="J35" s="16">
        <f t="shared" si="0"/>
        <v>-0.44152924139052629</v>
      </c>
      <c r="K35" s="16">
        <f t="shared" si="1"/>
        <v>0</v>
      </c>
      <c r="L35" s="16">
        <f t="shared" si="2"/>
        <v>0.7099999999627471</v>
      </c>
    </row>
    <row r="36" spans="2:12">
      <c r="B36" s="633">
        <v>10.25</v>
      </c>
      <c r="C36" s="2" t="s">
        <v>760</v>
      </c>
      <c r="D36" s="23">
        <f>+'Staff Electric'!D36</f>
        <v>-1794374.2522639567</v>
      </c>
      <c r="E36" s="23">
        <f>+'Staff Electric'!E36</f>
        <v>0</v>
      </c>
      <c r="F36" s="23">
        <f>+'Staff Electric'!G36</f>
        <v>2888272.99</v>
      </c>
      <c r="G36" s="16">
        <f>+'Company Electric'!D36</f>
        <v>-3511487</v>
      </c>
      <c r="H36" s="16">
        <f>+'Company Electric'!E36</f>
        <v>0</v>
      </c>
      <c r="I36" s="16">
        <f>+'Company Electric'!F36</f>
        <v>5652183.7800000003</v>
      </c>
      <c r="J36" s="16">
        <f t="shared" si="0"/>
        <v>1717112.7477360433</v>
      </c>
      <c r="K36" s="16">
        <f t="shared" si="1"/>
        <v>0</v>
      </c>
      <c r="L36" s="16">
        <f t="shared" si="2"/>
        <v>-2763910.79</v>
      </c>
    </row>
    <row r="37" spans="2:12">
      <c r="B37" s="633">
        <v>10.26</v>
      </c>
      <c r="C37" s="2" t="s">
        <v>761</v>
      </c>
      <c r="D37" s="23">
        <f>+'Staff Electric'!D37</f>
        <v>-89202.772713600192</v>
      </c>
      <c r="E37" s="23">
        <f>+'Staff Electric'!E37</f>
        <v>0</v>
      </c>
      <c r="F37" s="23">
        <f>+'Staff Electric'!G37</f>
        <v>143583.18</v>
      </c>
      <c r="G37" s="16">
        <f>+'Company Electric'!D37</f>
        <v>-163422</v>
      </c>
      <c r="H37" s="16">
        <f>+'Company Electric'!E37</f>
        <v>0</v>
      </c>
      <c r="I37" s="16">
        <f>+'Company Electric'!F37</f>
        <v>263048.44</v>
      </c>
      <c r="J37" s="16">
        <f t="shared" si="0"/>
        <v>74219.227286399808</v>
      </c>
      <c r="K37" s="16">
        <f t="shared" si="1"/>
        <v>0</v>
      </c>
      <c r="L37" s="16">
        <f t="shared" si="2"/>
        <v>-119465.26000000001</v>
      </c>
    </row>
    <row r="38" spans="2:12">
      <c r="B38" s="633">
        <v>10.27</v>
      </c>
      <c r="C38" s="2" t="s">
        <v>762</v>
      </c>
      <c r="D38" s="23">
        <f>+'Staff Electric'!D38</f>
        <v>-774514</v>
      </c>
      <c r="E38" s="23">
        <f>+'Staff Electric'!E38</f>
        <v>0</v>
      </c>
      <c r="F38" s="23">
        <f>+'Staff Electric'!G38</f>
        <v>1246678.53</v>
      </c>
      <c r="G38" s="16">
        <f>+'Company Electric'!D38</f>
        <v>-1007959</v>
      </c>
      <c r="H38" s="16">
        <f>+'Company Electric'!E38</f>
        <v>0</v>
      </c>
      <c r="I38" s="16">
        <f>+'Company Electric'!F38</f>
        <v>1622437.88</v>
      </c>
      <c r="J38" s="16">
        <f t="shared" si="0"/>
        <v>233445</v>
      </c>
      <c r="K38" s="16">
        <f t="shared" si="1"/>
        <v>0</v>
      </c>
      <c r="L38" s="16">
        <f t="shared" si="2"/>
        <v>-375759.34999999986</v>
      </c>
    </row>
    <row r="39" spans="2:12">
      <c r="B39" s="633">
        <v>10.28</v>
      </c>
      <c r="C39" s="2" t="s">
        <v>763</v>
      </c>
      <c r="D39" s="23">
        <f>+'Staff Electric'!D39</f>
        <v>1137979</v>
      </c>
      <c r="E39" s="23">
        <f>+'Staff Electric'!E39</f>
        <v>0</v>
      </c>
      <c r="F39" s="23">
        <f>+'Staff Electric'!G39</f>
        <v>-1831721.56</v>
      </c>
      <c r="G39" s="16">
        <f>+'Company Electric'!D39</f>
        <v>1137979</v>
      </c>
      <c r="H39" s="16">
        <f>+'Company Electric'!E39</f>
        <v>0</v>
      </c>
      <c r="I39" s="16">
        <f>+'Company Electric'!F39</f>
        <v>-1831721.56</v>
      </c>
      <c r="J39" s="16">
        <f t="shared" si="0"/>
        <v>0</v>
      </c>
      <c r="K39" s="16">
        <f t="shared" si="1"/>
        <v>0</v>
      </c>
      <c r="L39" s="16">
        <f t="shared" si="2"/>
        <v>0</v>
      </c>
    </row>
    <row r="40" spans="2:12">
      <c r="B40" s="633">
        <v>10.29</v>
      </c>
      <c r="C40" s="2" t="s">
        <v>764</v>
      </c>
      <c r="D40" s="23">
        <f>+'Staff Electric'!D40</f>
        <v>568233.25</v>
      </c>
      <c r="E40" s="23">
        <f>+'Staff Electric'!E40</f>
        <v>0</v>
      </c>
      <c r="F40" s="23">
        <f>+'Staff Electric'!G40</f>
        <v>-914643.5</v>
      </c>
      <c r="G40" s="16">
        <f>+'Company Electric'!D40</f>
        <v>568233</v>
      </c>
      <c r="H40" s="16">
        <f>+'Company Electric'!E40</f>
        <v>0</v>
      </c>
      <c r="I40" s="16">
        <f>+'Company Electric'!F40</f>
        <v>-914643.1</v>
      </c>
      <c r="J40" s="16">
        <f t="shared" si="0"/>
        <v>0.25</v>
      </c>
      <c r="K40" s="16">
        <f t="shared" si="1"/>
        <v>0</v>
      </c>
      <c r="L40" s="16">
        <f t="shared" si="2"/>
        <v>-0.40000000002328306</v>
      </c>
    </row>
    <row r="41" spans="2:12">
      <c r="B41" s="633">
        <v>10.3</v>
      </c>
      <c r="C41" s="2" t="s">
        <v>765</v>
      </c>
      <c r="D41" s="23">
        <f>+'Staff Electric'!D41</f>
        <v>-6176024.0112095494</v>
      </c>
      <c r="E41" s="23">
        <f>+'Staff Electric'!E41</f>
        <v>0</v>
      </c>
      <c r="F41" s="23">
        <f>+'Staff Electric'!G41</f>
        <v>9941094.1099999994</v>
      </c>
      <c r="G41" s="16">
        <f>+'Company Electric'!D41</f>
        <v>-6176024</v>
      </c>
      <c r="H41" s="16">
        <f>+'Company Electric'!E41</f>
        <v>0</v>
      </c>
      <c r="I41" s="16">
        <f>+'Company Electric'!F41</f>
        <v>9941094.0999999996</v>
      </c>
      <c r="J41" s="16">
        <f t="shared" si="0"/>
        <v>-1.1209549382328987E-2</v>
      </c>
      <c r="K41" s="16">
        <f t="shared" si="1"/>
        <v>0</v>
      </c>
      <c r="L41" s="16">
        <f t="shared" si="2"/>
        <v>9.9999997764825821E-3</v>
      </c>
    </row>
    <row r="42" spans="2:12">
      <c r="B42" s="633">
        <v>10.31</v>
      </c>
      <c r="C42" s="2" t="s">
        <v>803</v>
      </c>
      <c r="D42" s="23">
        <f>+'Staff Electric'!D42</f>
        <v>-4659619.1157307755</v>
      </c>
      <c r="E42" s="23">
        <f>+'Staff Electric'!E42</f>
        <v>-105539454.48800372</v>
      </c>
      <c r="F42" s="23">
        <f>+'Staff Electric'!G42</f>
        <v>-5903216.0999999996</v>
      </c>
      <c r="G42" s="16">
        <f>+'Company Electric'!D42</f>
        <v>-5500394</v>
      </c>
      <c r="H42" s="16">
        <f>+'Company Electric'!E42</f>
        <v>-103466707</v>
      </c>
      <c r="I42" s="16">
        <f>+'Company Electric'!F42</f>
        <v>-5302555.2699999996</v>
      </c>
      <c r="J42" s="16">
        <f t="shared" si="0"/>
        <v>840774.88426922448</v>
      </c>
      <c r="K42" s="16">
        <f t="shared" si="1"/>
        <v>-2072747.4880037159</v>
      </c>
      <c r="L42" s="16">
        <f t="shared" si="2"/>
        <v>-600660.83000000007</v>
      </c>
    </row>
    <row r="43" spans="2:12">
      <c r="B43" s="633">
        <v>10.32</v>
      </c>
      <c r="C43" s="2" t="s">
        <v>766</v>
      </c>
      <c r="D43" s="23">
        <f>+'Staff Electric'!D43</f>
        <v>9109590.6703219898</v>
      </c>
      <c r="E43" s="23">
        <f>+'Staff Electric'!E43</f>
        <v>4554795.3351609949</v>
      </c>
      <c r="F43" s="23">
        <f>+'Staff Electric'!G43</f>
        <v>-14084584.789999999</v>
      </c>
      <c r="G43" s="16">
        <f>+'Company Electric'!D43</f>
        <v>9109591</v>
      </c>
      <c r="H43" s="16">
        <f>+'Company Electric'!E43</f>
        <v>4554795</v>
      </c>
      <c r="I43" s="16">
        <f>+'Company Electric'!F43</f>
        <v>-14039863.09</v>
      </c>
      <c r="J43" s="16">
        <f t="shared" si="0"/>
        <v>-0.3296780101954937</v>
      </c>
      <c r="K43" s="16">
        <f t="shared" si="1"/>
        <v>0.33516099490225315</v>
      </c>
      <c r="L43" s="16">
        <f t="shared" si="2"/>
        <v>-44721.699999999255</v>
      </c>
    </row>
    <row r="44" spans="2:12">
      <c r="B44" s="633">
        <v>10.33</v>
      </c>
      <c r="C44" s="2" t="s">
        <v>767</v>
      </c>
      <c r="D44" s="23">
        <f>+'Staff Electric'!D44</f>
        <v>-3441784</v>
      </c>
      <c r="E44" s="23">
        <f>+'Staff Electric'!E44</f>
        <v>0</v>
      </c>
      <c r="F44" s="23">
        <f>+'Staff Electric'!G44</f>
        <v>5539987.96</v>
      </c>
      <c r="G44" s="16">
        <f>+'Company Electric'!D44</f>
        <v>-1042927</v>
      </c>
      <c r="H44" s="16">
        <f>+'Company Electric'!E44</f>
        <v>41603405</v>
      </c>
      <c r="I44" s="16">
        <f>+'Company Electric'!F44</f>
        <v>7370829.7400000002</v>
      </c>
      <c r="J44" s="16">
        <f t="shared" si="0"/>
        <v>-2398857</v>
      </c>
      <c r="K44" s="16">
        <f t="shared" si="1"/>
        <v>-41603405</v>
      </c>
      <c r="L44" s="16">
        <f t="shared" si="2"/>
        <v>-1830841.7800000003</v>
      </c>
    </row>
    <row r="45" spans="2:12">
      <c r="B45" s="633">
        <v>10.34</v>
      </c>
      <c r="C45" s="2" t="s">
        <v>768</v>
      </c>
      <c r="D45" s="23">
        <f>+'Staff Electric'!D45</f>
        <v>-2962521</v>
      </c>
      <c r="E45" s="23">
        <f>+'Staff Electric'!E45</f>
        <v>35562260</v>
      </c>
      <c r="F45" s="23">
        <f>+'Staff Electric'!G45</f>
        <v>9284944.6999999993</v>
      </c>
      <c r="G45" s="16">
        <f>+'Company Electric'!D45</f>
        <v>-13649989</v>
      </c>
      <c r="H45" s="16">
        <f>+'Company Electric'!E45</f>
        <v>32790782</v>
      </c>
      <c r="I45" s="16">
        <f>+'Company Electric'!F45</f>
        <v>26457767.370000001</v>
      </c>
      <c r="J45" s="16">
        <f t="shared" si="0"/>
        <v>10687468</v>
      </c>
      <c r="K45" s="16">
        <f t="shared" si="1"/>
        <v>2771478</v>
      </c>
      <c r="L45" s="16">
        <f t="shared" si="2"/>
        <v>-17172822.670000002</v>
      </c>
    </row>
    <row r="46" spans="2:12">
      <c r="B46" s="633">
        <v>10.35</v>
      </c>
      <c r="C46" s="2" t="s">
        <v>769</v>
      </c>
      <c r="D46" s="23">
        <f>+'Staff Electric'!D46</f>
        <v>1272207.4486038254</v>
      </c>
      <c r="E46" s="23">
        <f>+'Staff Electric'!E46</f>
        <v>7448028.3603655454</v>
      </c>
      <c r="F46" s="23">
        <f>+'Staff Electric'!G46</f>
        <v>-1101882.96</v>
      </c>
      <c r="G46" s="16">
        <f>+'Company Electric'!D46</f>
        <v>1272207</v>
      </c>
      <c r="H46" s="16">
        <f>+'Company Electric'!E46</f>
        <v>7448028</v>
      </c>
      <c r="I46" s="16">
        <f>+'Company Electric'!F46</f>
        <v>-1028752.15</v>
      </c>
      <c r="J46" s="16">
        <f t="shared" si="0"/>
        <v>0.44860382541082799</v>
      </c>
      <c r="K46" s="16">
        <f t="shared" si="1"/>
        <v>0.36036554537713528</v>
      </c>
      <c r="L46" s="16">
        <f t="shared" si="2"/>
        <v>-73130.809999999939</v>
      </c>
    </row>
    <row r="47" spans="2:12">
      <c r="B47" s="633">
        <v>10.36</v>
      </c>
      <c r="C47" s="2" t="s">
        <v>770</v>
      </c>
      <c r="D47" s="23">
        <f>+'Staff Electric'!D47</f>
        <v>0</v>
      </c>
      <c r="E47" s="23">
        <f>+'Staff Electric'!E47</f>
        <v>-3530927.9583333335</v>
      </c>
      <c r="F47" s="23">
        <f>+'Staff Electric'!G47</f>
        <v>-448426.29</v>
      </c>
      <c r="G47" s="16">
        <f>+'Company Electric'!D47</f>
        <v>-1471578</v>
      </c>
      <c r="H47" s="16">
        <f>+'Company Electric'!E47</f>
        <v>-1323561</v>
      </c>
      <c r="I47" s="16">
        <f>+'Company Electric'!F47</f>
        <v>2187604.13</v>
      </c>
      <c r="J47" s="16">
        <f t="shared" si="0"/>
        <v>1471578</v>
      </c>
      <c r="K47" s="16">
        <f t="shared" si="1"/>
        <v>-2207366.9583333335</v>
      </c>
      <c r="L47" s="16">
        <f t="shared" si="2"/>
        <v>-2636030.42</v>
      </c>
    </row>
    <row r="48" spans="2:12">
      <c r="B48" s="633">
        <v>10.37</v>
      </c>
      <c r="C48" s="2" t="s">
        <v>771</v>
      </c>
      <c r="D48" s="23">
        <f>+'Staff Electric'!D48</f>
        <v>0</v>
      </c>
      <c r="E48" s="23">
        <f>+'Staff Electric'!E48</f>
        <v>0</v>
      </c>
      <c r="F48" s="23">
        <f>+'Staff Electric'!G48</f>
        <v>0</v>
      </c>
      <c r="G48" s="23">
        <f>+'Company Electric'!D48</f>
        <v>-2080041</v>
      </c>
      <c r="H48" s="23">
        <f>+'Company Electric'!E48</f>
        <v>19171835</v>
      </c>
      <c r="I48" s="23">
        <f>+'Company Electric'!F48</f>
        <v>5971147.4000000004</v>
      </c>
      <c r="J48" s="16">
        <f t="shared" si="0"/>
        <v>2080041</v>
      </c>
      <c r="K48" s="16">
        <f t="shared" si="1"/>
        <v>-19171835</v>
      </c>
      <c r="L48" s="16">
        <f t="shared" si="2"/>
        <v>-5971147.4000000004</v>
      </c>
    </row>
    <row r="49" spans="2:12">
      <c r="B49" s="633">
        <v>10.38</v>
      </c>
      <c r="C49" s="2" t="s">
        <v>772</v>
      </c>
      <c r="D49" s="23">
        <f>+'Staff Electric'!D49</f>
        <v>-1895269.6954658537</v>
      </c>
      <c r="E49" s="23">
        <f>+'Staff Electric'!E49</f>
        <v>2842904.5431987802</v>
      </c>
      <c r="F49" s="23">
        <f>+'Staff Electric'!G49</f>
        <v>3411724.62</v>
      </c>
      <c r="G49" s="635">
        <f>+'Company Electric'!D49</f>
        <v>0</v>
      </c>
      <c r="H49" s="635">
        <f>+'Company Electric'!E49</f>
        <v>0</v>
      </c>
      <c r="I49" s="635">
        <f>+'Company Electric'!F49</f>
        <v>0</v>
      </c>
      <c r="J49" s="16">
        <f t="shared" si="0"/>
        <v>-1895269.6954658537</v>
      </c>
      <c r="K49" s="16">
        <f t="shared" si="1"/>
        <v>2842904.5431987802</v>
      </c>
      <c r="L49" s="16">
        <f t="shared" si="2"/>
        <v>3411724.62</v>
      </c>
    </row>
    <row r="50" spans="2:12">
      <c r="B50" s="633"/>
      <c r="C50" s="630" t="s">
        <v>773</v>
      </c>
      <c r="D50" s="631">
        <f t="shared" ref="D50:L50" si="3">SUM(D12:D49)</f>
        <v>66569116.826957174</v>
      </c>
      <c r="E50" s="631">
        <f t="shared" si="3"/>
        <v>288563077.93069357</v>
      </c>
      <c r="F50" s="631">
        <f t="shared" si="3"/>
        <v>-70504054.599999905</v>
      </c>
      <c r="G50" s="631">
        <f>SUM(G12:G49)</f>
        <v>4171785</v>
      </c>
      <c r="H50" s="631">
        <f>SUM(H12:H49)</f>
        <v>362901800</v>
      </c>
      <c r="I50" s="631">
        <f>SUM(I12:I49)</f>
        <v>42936583.960000001</v>
      </c>
      <c r="J50" s="631">
        <f t="shared" si="3"/>
        <v>62397331.826957159</v>
      </c>
      <c r="K50" s="631">
        <f t="shared" si="3"/>
        <v>-74338722.069306359</v>
      </c>
      <c r="L50" s="631">
        <f t="shared" si="3"/>
        <v>-113440638.56000005</v>
      </c>
    </row>
    <row r="51" spans="2:12">
      <c r="B51" s="633"/>
      <c r="C51" s="630" t="s">
        <v>774</v>
      </c>
      <c r="D51" s="631">
        <f>+D50+D11</f>
        <v>291900885.0822441</v>
      </c>
      <c r="E51" s="631">
        <f t="shared" ref="E51:L51" si="4">+E50+E11</f>
        <v>3747871751.2125421</v>
      </c>
      <c r="F51" s="636">
        <f>+'Staff Electric'!G51</f>
        <v>6126556.4400000004</v>
      </c>
      <c r="G51" s="631">
        <f t="shared" ref="G51:I51" si="5">+G50+G11</f>
        <v>229503553</v>
      </c>
      <c r="H51" s="631">
        <f t="shared" si="5"/>
        <v>3825186519</v>
      </c>
      <c r="I51" s="631">
        <f t="shared" si="5"/>
        <v>153940368.38</v>
      </c>
      <c r="J51" s="631">
        <f t="shared" si="4"/>
        <v>62397332.082244091</v>
      </c>
      <c r="K51" s="631">
        <f t="shared" si="4"/>
        <v>-77314767.787457928</v>
      </c>
      <c r="L51" s="631">
        <f t="shared" si="4"/>
        <v>-147813812.92000005</v>
      </c>
    </row>
    <row r="52" spans="2:12">
      <c r="G52" s="16"/>
      <c r="H52" s="16"/>
      <c r="I52" s="16"/>
    </row>
    <row r="53" spans="2:12">
      <c r="G53" s="16"/>
      <c r="H53" s="16"/>
      <c r="I53" s="16"/>
    </row>
    <row r="54" spans="2:12">
      <c r="G54" s="16"/>
      <c r="H54" s="16"/>
      <c r="I54" s="16"/>
    </row>
    <row r="55" spans="2:12">
      <c r="G55" s="16"/>
      <c r="H55" s="16"/>
      <c r="I55" s="16"/>
    </row>
    <row r="56" spans="2:12">
      <c r="G56" s="16"/>
      <c r="H56" s="16"/>
      <c r="I56" s="16"/>
    </row>
  </sheetData>
  <mergeCells count="3">
    <mergeCell ref="G7:I7"/>
    <mergeCell ref="D7:F7"/>
    <mergeCell ref="J7:L7"/>
  </mergeCells>
  <pageMargins left="0.2" right="0.45" top="0.75" bottom="0.5" header="0.55000000000000004" footer="0.3"/>
  <pageSetup scale="64" orientation="landscape" r:id="rId1"/>
  <headerFooter>
    <oddHeader xml:space="preserve">&amp;R&amp;"Times New Roman,Regular"&amp;12EXHIBIT KHB-2
PAGE 2.49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2:I52"/>
  <sheetViews>
    <sheetView topLeftCell="A29" zoomScaleNormal="100" workbookViewId="0">
      <selection activeCell="B52" sqref="B52"/>
    </sheetView>
  </sheetViews>
  <sheetFormatPr defaultColWidth="6" defaultRowHeight="15.75"/>
  <cols>
    <col min="1" max="1" width="6" style="18"/>
    <col min="2" max="2" width="33.7109375" style="18" customWidth="1"/>
    <col min="3" max="9" width="20.7109375" style="18" customWidth="1"/>
    <col min="10" max="16384" width="6" style="18"/>
  </cols>
  <sheetData>
    <row r="2" spans="1:9">
      <c r="A2" s="770" t="s">
        <v>53</v>
      </c>
      <c r="B2" s="770"/>
      <c r="C2" s="770"/>
      <c r="D2" s="770"/>
      <c r="E2" s="770"/>
      <c r="F2" s="770"/>
      <c r="G2" s="770"/>
      <c r="H2" s="771"/>
      <c r="I2" s="771"/>
    </row>
    <row r="3" spans="1:9">
      <c r="A3" s="770" t="s">
        <v>55</v>
      </c>
      <c r="B3" s="770"/>
      <c r="C3" s="770"/>
      <c r="D3" s="770"/>
      <c r="E3" s="770"/>
      <c r="F3" s="770"/>
      <c r="G3" s="770"/>
      <c r="H3" s="771"/>
      <c r="I3" s="771"/>
    </row>
    <row r="4" spans="1:9">
      <c r="A4" s="770" t="s">
        <v>54</v>
      </c>
      <c r="B4" s="770"/>
      <c r="C4" s="770"/>
      <c r="D4" s="770"/>
      <c r="E4" s="770"/>
      <c r="F4" s="770"/>
      <c r="G4" s="770"/>
      <c r="H4" s="771"/>
      <c r="I4" s="771"/>
    </row>
    <row r="5" spans="1:9">
      <c r="A5" s="770" t="s">
        <v>170</v>
      </c>
      <c r="B5" s="770"/>
      <c r="C5" s="770"/>
      <c r="D5" s="770"/>
      <c r="E5" s="770"/>
      <c r="F5" s="770"/>
      <c r="G5" s="770"/>
      <c r="H5" s="771"/>
      <c r="I5" s="771"/>
    </row>
    <row r="6" spans="1:9">
      <c r="A6" s="11"/>
      <c r="B6" s="11"/>
      <c r="C6" s="11" t="s">
        <v>150</v>
      </c>
      <c r="D6" s="11" t="s">
        <v>152</v>
      </c>
      <c r="E6" s="11" t="s">
        <v>154</v>
      </c>
      <c r="F6" s="11" t="s">
        <v>156</v>
      </c>
      <c r="G6" s="11" t="s">
        <v>158</v>
      </c>
      <c r="H6" s="11" t="s">
        <v>160</v>
      </c>
      <c r="I6" s="11" t="s">
        <v>162</v>
      </c>
    </row>
    <row r="7" spans="1:9">
      <c r="A7" s="12" t="s">
        <v>37</v>
      </c>
      <c r="B7" s="12"/>
      <c r="C7" s="12" t="s">
        <v>151</v>
      </c>
      <c r="D7" s="12" t="s">
        <v>153</v>
      </c>
      <c r="E7" s="12" t="s">
        <v>155</v>
      </c>
      <c r="F7" s="12" t="s">
        <v>157</v>
      </c>
      <c r="G7" s="12" t="s">
        <v>159</v>
      </c>
      <c r="H7" s="12" t="s">
        <v>157</v>
      </c>
      <c r="I7" s="12" t="s">
        <v>128</v>
      </c>
    </row>
    <row r="8" spans="1:9">
      <c r="A8" s="13" t="s">
        <v>38</v>
      </c>
      <c r="B8" s="12" t="s">
        <v>39</v>
      </c>
      <c r="C8" s="12" t="s">
        <v>143</v>
      </c>
      <c r="D8" s="12" t="s">
        <v>144</v>
      </c>
      <c r="E8" s="12" t="s">
        <v>145</v>
      </c>
      <c r="F8" s="12" t="s">
        <v>146</v>
      </c>
      <c r="G8" s="12" t="s">
        <v>147</v>
      </c>
      <c r="H8" s="12" t="s">
        <v>148</v>
      </c>
      <c r="I8" s="12" t="s">
        <v>149</v>
      </c>
    </row>
    <row r="9" spans="1:9">
      <c r="A9" s="14"/>
      <c r="B9" s="15"/>
      <c r="C9" s="14" t="s">
        <v>136</v>
      </c>
      <c r="D9" s="14" t="s">
        <v>137</v>
      </c>
      <c r="E9" s="14" t="s">
        <v>138</v>
      </c>
      <c r="F9" s="14" t="s">
        <v>139</v>
      </c>
      <c r="G9" s="14" t="s">
        <v>140</v>
      </c>
      <c r="H9" s="14" t="s">
        <v>141</v>
      </c>
      <c r="I9" s="17" t="s">
        <v>142</v>
      </c>
    </row>
    <row r="10" spans="1:9">
      <c r="A10" s="20">
        <v>1</v>
      </c>
      <c r="B10" s="22" t="s">
        <v>0</v>
      </c>
      <c r="C10" s="23"/>
      <c r="D10" s="23"/>
      <c r="E10" s="23"/>
      <c r="F10" s="23"/>
      <c r="G10" s="23"/>
    </row>
    <row r="11" spans="1:9">
      <c r="A11" s="20">
        <f>1+A10</f>
        <v>2</v>
      </c>
      <c r="B11" s="22" t="s">
        <v>1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  <c r="H11" s="30">
        <v>0</v>
      </c>
      <c r="I11" s="30">
        <v>0</v>
      </c>
    </row>
    <row r="12" spans="1:9">
      <c r="A12" s="20">
        <f t="shared" ref="A12:A51" si="0">1+A11</f>
        <v>3</v>
      </c>
      <c r="B12" s="24" t="s">
        <v>2</v>
      </c>
      <c r="C12" s="23"/>
      <c r="D12" s="23"/>
      <c r="E12" s="23"/>
      <c r="F12" s="23"/>
      <c r="G12" s="23"/>
      <c r="I12" s="23"/>
    </row>
    <row r="13" spans="1:9">
      <c r="A13" s="20">
        <f t="shared" si="0"/>
        <v>4</v>
      </c>
      <c r="B13" s="24" t="s">
        <v>3</v>
      </c>
      <c r="C13" s="23"/>
      <c r="D13" s="23"/>
      <c r="E13" s="23"/>
      <c r="F13" s="23"/>
      <c r="G13" s="23"/>
      <c r="I13" s="23"/>
    </row>
    <row r="14" spans="1:9">
      <c r="A14" s="20">
        <f t="shared" si="0"/>
        <v>5</v>
      </c>
      <c r="B14" s="24" t="s">
        <v>4</v>
      </c>
      <c r="C14" s="23"/>
      <c r="D14" s="23"/>
      <c r="E14" s="23"/>
      <c r="F14" s="23"/>
      <c r="G14" s="23"/>
      <c r="I14" s="23"/>
    </row>
    <row r="15" spans="1:9">
      <c r="A15" s="20">
        <f t="shared" si="0"/>
        <v>6</v>
      </c>
      <c r="B15" s="8" t="s">
        <v>5</v>
      </c>
      <c r="C15" s="32">
        <f>SUM(C11:C14)</f>
        <v>0</v>
      </c>
      <c r="D15" s="32">
        <f>SUM(D11:D14)</f>
        <v>0</v>
      </c>
      <c r="E15" s="32">
        <f>SUM(E11:E14)</f>
        <v>0</v>
      </c>
      <c r="F15" s="32">
        <f>SUM(F11:F14)</f>
        <v>0</v>
      </c>
      <c r="G15" s="32">
        <f t="shared" ref="G15:I15" si="1">SUM(G11:G14)</f>
        <v>0</v>
      </c>
      <c r="H15" s="32">
        <f t="shared" si="1"/>
        <v>0</v>
      </c>
      <c r="I15" s="32">
        <f t="shared" si="1"/>
        <v>0</v>
      </c>
    </row>
    <row r="16" spans="1:9">
      <c r="A16" s="20">
        <f t="shared" si="0"/>
        <v>7</v>
      </c>
      <c r="B16" s="24"/>
      <c r="C16" s="23"/>
      <c r="D16" s="23" t="s">
        <v>60</v>
      </c>
      <c r="E16" s="23" t="s">
        <v>60</v>
      </c>
      <c r="F16" s="23" t="s">
        <v>60</v>
      </c>
      <c r="G16" s="23"/>
      <c r="I16" s="23"/>
    </row>
    <row r="17" spans="1:9">
      <c r="A17" s="20">
        <f t="shared" si="0"/>
        <v>8</v>
      </c>
      <c r="B17" s="22" t="s">
        <v>6</v>
      </c>
      <c r="C17" s="23"/>
      <c r="D17" s="23"/>
      <c r="E17" s="23"/>
      <c r="F17" s="23"/>
      <c r="G17" s="23"/>
      <c r="I17" s="23"/>
    </row>
    <row r="18" spans="1:9">
      <c r="A18" s="20">
        <f t="shared" si="0"/>
        <v>9</v>
      </c>
      <c r="B18" s="24" t="s">
        <v>7</v>
      </c>
      <c r="C18" s="23"/>
      <c r="D18" s="23"/>
      <c r="E18" s="23"/>
      <c r="F18" s="23"/>
      <c r="G18" s="23"/>
      <c r="I18" s="23"/>
    </row>
    <row r="19" spans="1:9">
      <c r="A19" s="20">
        <f t="shared" si="0"/>
        <v>10</v>
      </c>
      <c r="B19" s="24" t="s">
        <v>8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30">
        <v>0</v>
      </c>
      <c r="I19" s="29">
        <v>0</v>
      </c>
    </row>
    <row r="20" spans="1:9">
      <c r="A20" s="20">
        <f t="shared" si="0"/>
        <v>11</v>
      </c>
      <c r="B20" s="24" t="s">
        <v>9</v>
      </c>
      <c r="C20" s="23"/>
      <c r="D20" s="23"/>
      <c r="E20" s="23"/>
      <c r="F20" s="23"/>
      <c r="G20" s="23">
        <f>+'Adj 10.25 P2.32'!G13</f>
        <v>102339</v>
      </c>
      <c r="I20" s="23"/>
    </row>
    <row r="21" spans="1:9">
      <c r="A21" s="20">
        <f t="shared" si="0"/>
        <v>12</v>
      </c>
      <c r="B21" s="25" t="s">
        <v>10</v>
      </c>
      <c r="C21" s="23"/>
      <c r="D21" s="23"/>
      <c r="E21" s="23"/>
      <c r="F21" s="23"/>
      <c r="G21" s="23"/>
      <c r="I21" s="23"/>
    </row>
    <row r="22" spans="1:9">
      <c r="A22" s="20">
        <f t="shared" si="0"/>
        <v>13</v>
      </c>
      <c r="B22" s="25" t="s">
        <v>11</v>
      </c>
      <c r="C22" s="23"/>
      <c r="D22" s="23"/>
      <c r="E22" s="23"/>
      <c r="F22" s="23"/>
      <c r="G22" s="23"/>
      <c r="I22" s="23"/>
    </row>
    <row r="23" spans="1:9">
      <c r="A23" s="20">
        <f t="shared" si="0"/>
        <v>14</v>
      </c>
      <c r="B23" s="26" t="s">
        <v>12</v>
      </c>
      <c r="C23" s="33">
        <f t="shared" ref="C23:I23" si="2">SUM(C19:C22)</f>
        <v>0</v>
      </c>
      <c r="D23" s="33">
        <f t="shared" si="2"/>
        <v>0</v>
      </c>
      <c r="E23" s="33">
        <f t="shared" si="2"/>
        <v>0</v>
      </c>
      <c r="F23" s="33">
        <f t="shared" si="2"/>
        <v>0</v>
      </c>
      <c r="G23" s="33">
        <f t="shared" si="2"/>
        <v>102339</v>
      </c>
      <c r="H23" s="33">
        <f t="shared" si="2"/>
        <v>0</v>
      </c>
      <c r="I23" s="33">
        <f t="shared" si="2"/>
        <v>0</v>
      </c>
    </row>
    <row r="24" spans="1:9">
      <c r="A24" s="20">
        <f t="shared" si="0"/>
        <v>15</v>
      </c>
      <c r="B24" s="25"/>
      <c r="C24" s="23"/>
      <c r="D24" s="23"/>
      <c r="E24" s="23"/>
      <c r="F24" s="23"/>
      <c r="G24" s="23"/>
      <c r="I24" s="23"/>
    </row>
    <row r="25" spans="1:9">
      <c r="A25" s="20">
        <f t="shared" si="0"/>
        <v>16</v>
      </c>
      <c r="B25" s="25" t="s">
        <v>13</v>
      </c>
      <c r="C25" s="29">
        <v>0</v>
      </c>
      <c r="D25" s="29">
        <v>0</v>
      </c>
      <c r="E25" s="29">
        <v>0</v>
      </c>
      <c r="F25" s="29"/>
      <c r="G25" s="29">
        <f>+'Adj 10.25 P2.32'!G14</f>
        <v>511252</v>
      </c>
      <c r="H25" s="30">
        <v>0</v>
      </c>
      <c r="I25" s="29">
        <v>0</v>
      </c>
    </row>
    <row r="26" spans="1:9">
      <c r="A26" s="20">
        <f t="shared" si="0"/>
        <v>17</v>
      </c>
      <c r="B26" s="24" t="s">
        <v>14</v>
      </c>
      <c r="C26" s="23"/>
      <c r="D26" s="23"/>
      <c r="E26" s="23"/>
      <c r="F26" s="23"/>
      <c r="G26" s="179">
        <f>+'Adj 10.25 P2.32'!G15</f>
        <v>441209</v>
      </c>
      <c r="I26" s="23"/>
    </row>
    <row r="27" spans="1:9">
      <c r="A27" s="20">
        <f t="shared" si="0"/>
        <v>18</v>
      </c>
      <c r="B27" s="24" t="s">
        <v>15</v>
      </c>
      <c r="C27" s="23"/>
      <c r="D27" s="23"/>
      <c r="E27" s="23"/>
      <c r="F27" s="23"/>
      <c r="G27" s="179">
        <f>+'Adj 10.25 P2.32'!G16</f>
        <v>455705</v>
      </c>
      <c r="I27" s="23"/>
    </row>
    <row r="28" spans="1:9">
      <c r="A28" s="20">
        <f t="shared" si="0"/>
        <v>19</v>
      </c>
      <c r="B28" s="24" t="s">
        <v>612</v>
      </c>
      <c r="C28" s="23"/>
      <c r="D28" s="23"/>
      <c r="E28" s="23"/>
      <c r="F28" s="23"/>
      <c r="G28" s="179">
        <f>+'Adj 10.25 P2.32'!G17</f>
        <v>398464</v>
      </c>
      <c r="I28" s="23"/>
    </row>
    <row r="29" spans="1:9">
      <c r="A29" s="20">
        <f t="shared" si="0"/>
        <v>20</v>
      </c>
      <c r="B29" s="24" t="s">
        <v>16</v>
      </c>
      <c r="C29" s="23"/>
      <c r="D29" s="23"/>
      <c r="E29" s="23"/>
      <c r="F29" s="23"/>
      <c r="G29" s="179">
        <f>+'Adj 10.25 P2.32'!G18+'Adj 10.25 P2.32'!G19</f>
        <v>55457</v>
      </c>
      <c r="I29" s="23"/>
    </row>
    <row r="30" spans="1:9">
      <c r="A30" s="20">
        <f t="shared" si="0"/>
        <v>21</v>
      </c>
      <c r="B30" s="25" t="s">
        <v>17</v>
      </c>
      <c r="C30" s="23"/>
      <c r="D30" s="23"/>
      <c r="E30" s="23"/>
      <c r="F30" s="23"/>
      <c r="G30" s="23"/>
      <c r="I30" s="23"/>
    </row>
    <row r="31" spans="1:9">
      <c r="A31" s="20">
        <f t="shared" si="0"/>
        <v>22</v>
      </c>
      <c r="B31" s="24" t="s">
        <v>18</v>
      </c>
      <c r="C31" s="23">
        <f>+'Adj 10.21 P2.28'!D27</f>
        <v>-585171</v>
      </c>
      <c r="D31" s="23"/>
      <c r="E31" s="23">
        <f>+'Adj 10.23 P2.30'!E14</f>
        <v>1197965.4962213268</v>
      </c>
      <c r="F31" s="23">
        <f>+'Adj 10.24 P2.31'!E14</f>
        <v>4218274.5254296018</v>
      </c>
      <c r="G31" s="23">
        <f>+'Adj 10.25 P2.32'!G20</f>
        <v>619991</v>
      </c>
      <c r="H31" s="23">
        <f>+'Adj 10.26 P2.33'!E36</f>
        <v>137235.77271360019</v>
      </c>
      <c r="I31" s="23">
        <f>+'Adj 10.27 P2.34'!E20</f>
        <v>1191560</v>
      </c>
    </row>
    <row r="32" spans="1:9">
      <c r="A32" s="20">
        <f t="shared" si="0"/>
        <v>23</v>
      </c>
      <c r="B32" s="24" t="s">
        <v>19</v>
      </c>
      <c r="C32" s="23"/>
      <c r="D32" s="23"/>
      <c r="E32" s="23"/>
      <c r="F32" s="23"/>
      <c r="G32" s="23"/>
      <c r="I32" s="23"/>
    </row>
    <row r="33" spans="1:9">
      <c r="A33" s="20">
        <f t="shared" si="0"/>
        <v>24</v>
      </c>
      <c r="B33" s="24" t="s">
        <v>20</v>
      </c>
      <c r="C33" s="23"/>
      <c r="D33" s="23"/>
      <c r="E33" s="23"/>
      <c r="F33" s="23"/>
      <c r="G33" s="23"/>
      <c r="I33" s="23"/>
    </row>
    <row r="34" spans="1:9">
      <c r="A34" s="20">
        <f t="shared" si="0"/>
        <v>25</v>
      </c>
      <c r="B34" s="22" t="s">
        <v>21</v>
      </c>
      <c r="C34" s="23"/>
      <c r="D34" s="23"/>
      <c r="E34" s="23"/>
      <c r="F34" s="23"/>
      <c r="G34" s="23"/>
      <c r="I34" s="23"/>
    </row>
    <row r="35" spans="1:9">
      <c r="A35" s="20">
        <f t="shared" si="0"/>
        <v>26</v>
      </c>
      <c r="B35" s="25" t="s">
        <v>22</v>
      </c>
      <c r="C35" s="23"/>
      <c r="D35" s="23">
        <v>766132</v>
      </c>
      <c r="E35" s="23"/>
      <c r="F35" s="23"/>
      <c r="G35" s="23"/>
      <c r="I35" s="23"/>
    </row>
    <row r="36" spans="1:9">
      <c r="A36" s="20">
        <f t="shared" si="0"/>
        <v>27</v>
      </c>
      <c r="B36" s="25" t="s">
        <v>23</v>
      </c>
      <c r="C36" s="23"/>
      <c r="D36" s="23"/>
      <c r="E36" s="23"/>
      <c r="F36" s="23"/>
      <c r="G36" s="23"/>
      <c r="I36" s="23"/>
    </row>
    <row r="37" spans="1:9">
      <c r="A37" s="20">
        <f t="shared" si="0"/>
        <v>28</v>
      </c>
      <c r="B37" s="24" t="s">
        <v>24</v>
      </c>
      <c r="C37" s="23"/>
      <c r="D37" s="23"/>
      <c r="E37" s="23"/>
      <c r="F37" s="23"/>
      <c r="G37" s="23">
        <f>+'Adj 10.25 P2.32'!G23</f>
        <v>176158.77271377947</v>
      </c>
      <c r="I37" s="23"/>
    </row>
    <row r="38" spans="1:9">
      <c r="A38" s="20">
        <f t="shared" si="0"/>
        <v>29</v>
      </c>
      <c r="B38" s="24" t="s">
        <v>25</v>
      </c>
      <c r="C38" s="23">
        <f>+'Adj 10.21 P2.28'!D29</f>
        <v>204809.84999999998</v>
      </c>
      <c r="D38" s="23">
        <v>-268146</v>
      </c>
      <c r="E38" s="23">
        <f>+'Adj 10.23 P2.30'!E18</f>
        <v>-419287.92367746437</v>
      </c>
      <c r="F38" s="23">
        <f>+'Adj 10.24 P2.31'!E18</f>
        <v>-1476396.0839003606</v>
      </c>
      <c r="G38" s="27">
        <f>+'Adj 10.25 P2.32'!G27</f>
        <v>-966201.52044982277</v>
      </c>
      <c r="H38" s="31">
        <f>+'Adj 10.26 P2.33'!E38</f>
        <v>-48033</v>
      </c>
      <c r="I38" s="23">
        <f>+'Adj 10.27 P2.34'!E22</f>
        <v>-417046</v>
      </c>
    </row>
    <row r="39" spans="1:9">
      <c r="A39" s="20">
        <f t="shared" si="0"/>
        <v>30</v>
      </c>
      <c r="B39" s="24" t="s">
        <v>26</v>
      </c>
      <c r="C39" s="23"/>
      <c r="D39" s="23"/>
      <c r="E39" s="23"/>
      <c r="G39" s="27"/>
      <c r="I39" s="23"/>
    </row>
    <row r="40" spans="1:9">
      <c r="A40" s="20">
        <f t="shared" si="0"/>
        <v>31</v>
      </c>
      <c r="B40" s="28" t="s">
        <v>27</v>
      </c>
      <c r="C40" s="33">
        <f t="shared" ref="C40:I40" si="3">SUM(C23:C39)</f>
        <v>-380361.15</v>
      </c>
      <c r="D40" s="33">
        <f t="shared" si="3"/>
        <v>497986</v>
      </c>
      <c r="E40" s="33">
        <f t="shared" si="3"/>
        <v>778677.57254386239</v>
      </c>
      <c r="F40" s="33">
        <f t="shared" si="3"/>
        <v>2741878.4415292414</v>
      </c>
      <c r="G40" s="33">
        <f t="shared" si="3"/>
        <v>1794374.2522639567</v>
      </c>
      <c r="H40" s="33">
        <f t="shared" si="3"/>
        <v>89202.772713600192</v>
      </c>
      <c r="I40" s="33">
        <f t="shared" si="3"/>
        <v>774514</v>
      </c>
    </row>
    <row r="41" spans="1:9">
      <c r="A41" s="20">
        <f t="shared" si="0"/>
        <v>32</v>
      </c>
      <c r="B41" s="28"/>
      <c r="C41" s="16"/>
      <c r="D41" s="16"/>
      <c r="E41" s="16"/>
      <c r="F41" s="16"/>
      <c r="G41" s="16"/>
      <c r="H41" s="16"/>
      <c r="I41" s="16"/>
    </row>
    <row r="42" spans="1:9" ht="16.5" thickBot="1">
      <c r="A42" s="20">
        <f t="shared" si="0"/>
        <v>33</v>
      </c>
      <c r="B42" s="8" t="s">
        <v>28</v>
      </c>
      <c r="C42" s="34">
        <f t="shared" ref="C42:I42" si="4">+C15-C40</f>
        <v>380361.15</v>
      </c>
      <c r="D42" s="34">
        <f t="shared" si="4"/>
        <v>-497986</v>
      </c>
      <c r="E42" s="34">
        <f t="shared" si="4"/>
        <v>-778677.57254386239</v>
      </c>
      <c r="F42" s="34">
        <f t="shared" si="4"/>
        <v>-2741878.4415292414</v>
      </c>
      <c r="G42" s="34">
        <f t="shared" si="4"/>
        <v>-1794374.2522639567</v>
      </c>
      <c r="H42" s="34">
        <f t="shared" si="4"/>
        <v>-89202.772713600192</v>
      </c>
      <c r="I42" s="34">
        <f t="shared" si="4"/>
        <v>-774514</v>
      </c>
    </row>
    <row r="43" spans="1:9" ht="16.5" thickTop="1">
      <c r="A43" s="20">
        <f t="shared" si="0"/>
        <v>34</v>
      </c>
      <c r="B43" s="24"/>
      <c r="C43" s="23"/>
      <c r="D43" s="23"/>
      <c r="E43" s="23"/>
      <c r="F43" s="23"/>
      <c r="G43" s="23"/>
      <c r="I43" s="23"/>
    </row>
    <row r="44" spans="1:9">
      <c r="A44" s="20">
        <f t="shared" si="0"/>
        <v>35</v>
      </c>
      <c r="B44" s="8" t="s">
        <v>29</v>
      </c>
      <c r="C44" s="23"/>
      <c r="D44" s="23"/>
      <c r="E44" s="23"/>
      <c r="F44" s="23"/>
      <c r="G44" s="23"/>
      <c r="I44" s="23"/>
    </row>
    <row r="45" spans="1:9">
      <c r="A45" s="20">
        <f t="shared" si="0"/>
        <v>36</v>
      </c>
      <c r="B45" s="24" t="s">
        <v>611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  <c r="H45" s="30">
        <v>0</v>
      </c>
      <c r="I45" s="29">
        <v>0</v>
      </c>
    </row>
    <row r="46" spans="1:9">
      <c r="A46" s="20">
        <f t="shared" si="0"/>
        <v>37</v>
      </c>
      <c r="B46" s="24" t="s">
        <v>30</v>
      </c>
      <c r="C46" s="23"/>
      <c r="D46" s="23"/>
      <c r="E46" s="23"/>
      <c r="F46" s="23"/>
      <c r="G46" s="23"/>
      <c r="I46" s="23"/>
    </row>
    <row r="47" spans="1:9">
      <c r="A47" s="20">
        <f t="shared" si="0"/>
        <v>38</v>
      </c>
      <c r="B47" s="24" t="s">
        <v>31</v>
      </c>
      <c r="C47" s="23"/>
      <c r="D47" s="23"/>
      <c r="E47" s="23"/>
      <c r="F47" s="23"/>
      <c r="G47" s="23"/>
      <c r="I47" s="23"/>
    </row>
    <row r="48" spans="1:9">
      <c r="A48" s="20">
        <f t="shared" si="0"/>
        <v>39</v>
      </c>
      <c r="B48" s="24" t="s">
        <v>32</v>
      </c>
      <c r="C48" s="23"/>
      <c r="D48" s="23"/>
      <c r="E48" s="23"/>
      <c r="F48" s="23"/>
      <c r="G48" s="23"/>
      <c r="I48" s="23"/>
    </row>
    <row r="49" spans="1:9">
      <c r="A49" s="20">
        <f t="shared" si="0"/>
        <v>40</v>
      </c>
      <c r="B49" s="24" t="s">
        <v>33</v>
      </c>
      <c r="C49" s="23"/>
      <c r="D49" s="23"/>
      <c r="E49" s="23"/>
      <c r="F49" s="23"/>
      <c r="G49" s="23"/>
      <c r="I49" s="23"/>
    </row>
    <row r="50" spans="1:9">
      <c r="A50" s="20">
        <f t="shared" si="0"/>
        <v>41</v>
      </c>
      <c r="B50" s="24" t="s">
        <v>34</v>
      </c>
      <c r="C50" s="23"/>
      <c r="D50" s="23"/>
      <c r="E50" s="23"/>
      <c r="F50" s="23"/>
      <c r="G50" s="23"/>
      <c r="I50" s="23"/>
    </row>
    <row r="51" spans="1:9" ht="16.5" thickBot="1">
      <c r="A51" s="20">
        <f t="shared" si="0"/>
        <v>42</v>
      </c>
      <c r="B51" s="24" t="s">
        <v>35</v>
      </c>
      <c r="C51" s="34">
        <f t="shared" ref="C51:I51" si="5">SUM(C45:C50)</f>
        <v>0</v>
      </c>
      <c r="D51" s="34">
        <f t="shared" si="5"/>
        <v>0</v>
      </c>
      <c r="E51" s="34">
        <f t="shared" si="5"/>
        <v>0</v>
      </c>
      <c r="F51" s="34">
        <f t="shared" si="5"/>
        <v>0</v>
      </c>
      <c r="G51" s="34">
        <f t="shared" si="5"/>
        <v>0</v>
      </c>
      <c r="H51" s="34">
        <f t="shared" si="5"/>
        <v>0</v>
      </c>
      <c r="I51" s="34">
        <f t="shared" si="5"/>
        <v>0</v>
      </c>
    </row>
    <row r="52" spans="1:9" ht="16.5" thickTop="1">
      <c r="A52" s="25"/>
      <c r="B52" s="25"/>
    </row>
  </sheetData>
  <mergeCells count="4">
    <mergeCell ref="A2:I2"/>
    <mergeCell ref="A3:I3"/>
    <mergeCell ref="A4:I4"/>
    <mergeCell ref="A5:I5"/>
  </mergeCells>
  <pageMargins left="0.5" right="0.5" top="0.75" bottom="0.3" header="0.3" footer="0.25"/>
  <pageSetup scale="68" orientation="landscape" r:id="rId1"/>
  <headerFooter scaleWithDoc="0">
    <oddHeader>&amp;R&amp;"Times New Roman,Regular"UE-090704/UG-090705
Exhibit No. KHB-2
Page 2.5</oddHeader>
  </headerFooter>
</worksheet>
</file>

<file path=xl/worksheets/sheet5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6"/>
  <sheetViews>
    <sheetView zoomScaleNormal="100" workbookViewId="0">
      <selection activeCell="B46" sqref="B46"/>
    </sheetView>
  </sheetViews>
  <sheetFormatPr defaultColWidth="9.140625" defaultRowHeight="15.75"/>
  <cols>
    <col min="1" max="1" width="4.42578125" style="597" customWidth="1"/>
    <col min="2" max="2" width="9.140625" style="597"/>
    <col min="3" max="3" width="37.28515625" style="597" customWidth="1"/>
    <col min="4" max="4" width="17" style="597" customWidth="1"/>
    <col min="5" max="5" width="19.85546875" style="597" customWidth="1"/>
    <col min="6" max="6" width="16.28515625" style="597" customWidth="1"/>
    <col min="7" max="7" width="16.42578125" style="597" customWidth="1"/>
    <col min="8" max="8" width="15" style="597" customWidth="1"/>
    <col min="9" max="16384" width="9.140625" style="597"/>
  </cols>
  <sheetData>
    <row r="1" spans="1:8">
      <c r="A1" s="597" t="s">
        <v>336</v>
      </c>
    </row>
    <row r="2" spans="1:8">
      <c r="A2" s="597" t="s">
        <v>722</v>
      </c>
      <c r="F2" s="598" t="s">
        <v>723</v>
      </c>
    </row>
    <row r="3" spans="1:8">
      <c r="A3" s="597" t="s">
        <v>724</v>
      </c>
      <c r="F3" s="598"/>
    </row>
    <row r="4" spans="1:8">
      <c r="A4" s="597" t="s">
        <v>725</v>
      </c>
    </row>
    <row r="5" spans="1:8">
      <c r="A5" s="597" t="s">
        <v>726</v>
      </c>
    </row>
    <row r="7" spans="1:8">
      <c r="B7" s="599"/>
      <c r="C7" s="599"/>
      <c r="D7" s="599" t="s">
        <v>727</v>
      </c>
      <c r="E7" s="599"/>
      <c r="F7" s="600" t="s">
        <v>728</v>
      </c>
      <c r="G7" s="599" t="s">
        <v>728</v>
      </c>
      <c r="H7" s="599" t="s">
        <v>729</v>
      </c>
    </row>
    <row r="8" spans="1:8">
      <c r="B8" s="601" t="s">
        <v>730</v>
      </c>
      <c r="C8" s="601" t="s">
        <v>39</v>
      </c>
      <c r="D8" s="601" t="s">
        <v>731</v>
      </c>
      <c r="E8" s="601" t="s">
        <v>732</v>
      </c>
      <c r="F8" s="602" t="s">
        <v>733</v>
      </c>
      <c r="G8" s="603" t="s">
        <v>734</v>
      </c>
      <c r="H8" s="601" t="s">
        <v>735</v>
      </c>
    </row>
    <row r="9" spans="1:8">
      <c r="B9" s="604" t="s">
        <v>736</v>
      </c>
      <c r="C9" s="604" t="s">
        <v>737</v>
      </c>
      <c r="D9" s="604" t="s">
        <v>738</v>
      </c>
      <c r="E9" s="604" t="s">
        <v>739</v>
      </c>
      <c r="F9" s="605" t="s">
        <v>57</v>
      </c>
      <c r="G9" s="604" t="s">
        <v>81</v>
      </c>
      <c r="H9" s="604" t="s">
        <v>52</v>
      </c>
    </row>
    <row r="11" spans="1:8">
      <c r="C11" s="606" t="s">
        <v>740</v>
      </c>
      <c r="D11" s="607">
        <f>+'EXH KBH-2 Summary P2.1'!C43</f>
        <v>225331768.25528693</v>
      </c>
      <c r="E11" s="607">
        <f>+'EXH KBH-2 Summary P2.1'!C52</f>
        <v>3459308673.2818484</v>
      </c>
      <c r="F11" s="608">
        <f>ROUND((-+D11+(E11*Capital!$C$9))/Capital!$C$10,2)</f>
        <v>110596606.54000001</v>
      </c>
      <c r="G11" s="608">
        <f>ROUND((-+D11+(E11*Capital!$D$9))/Capital!$D$10,2)</f>
        <v>76630610.060000002</v>
      </c>
      <c r="H11" s="609">
        <f t="shared" ref="H11:H49" si="0">+G11-F11</f>
        <v>-33965996.480000004</v>
      </c>
    </row>
    <row r="12" spans="1:8">
      <c r="B12" s="610">
        <v>10.01</v>
      </c>
      <c r="C12" s="597" t="s">
        <v>741</v>
      </c>
      <c r="D12" s="611">
        <f>+'EXH KBH-2 P2.2'!$D$42</f>
        <v>-12235767</v>
      </c>
      <c r="E12" s="611">
        <v>0</v>
      </c>
      <c r="F12" s="612">
        <f>ROUND((-+D12+(E12*Capital!$C$9))/Capital!$C$10,2)</f>
        <v>19695019.170000002</v>
      </c>
      <c r="G12" s="612">
        <f>ROUND((-+D12+(E12*Capital!$D$9))/Capital!$D$10,2)</f>
        <v>19695019.170000002</v>
      </c>
      <c r="H12" s="613">
        <f t="shared" si="0"/>
        <v>0</v>
      </c>
    </row>
    <row r="13" spans="1:8">
      <c r="B13" s="610">
        <v>10.02</v>
      </c>
      <c r="C13" s="597" t="s">
        <v>742</v>
      </c>
      <c r="D13" s="611">
        <f>+'EXH KBH-2 P2.2'!$E$42</f>
        <v>86639195.322986126</v>
      </c>
      <c r="E13" s="611">
        <v>0</v>
      </c>
      <c r="F13" s="612">
        <f>ROUND((-+D13+(E13*Capital!$C$9))/Capital!$C$10,2)</f>
        <v>-139456775.59999999</v>
      </c>
      <c r="G13" s="612">
        <f>ROUND((-+D13+(E13*Capital!$D$9))/Capital!$D$10,2)</f>
        <v>-139456775.59999999</v>
      </c>
      <c r="H13" s="613">
        <f t="shared" si="0"/>
        <v>0</v>
      </c>
    </row>
    <row r="14" spans="1:8">
      <c r="B14" s="610">
        <v>10.029999999999999</v>
      </c>
      <c r="C14" s="597" t="s">
        <v>743</v>
      </c>
      <c r="D14" s="611">
        <f>+'EXH KBH-2 P2.2'!$F$42</f>
        <v>72539567.754538745</v>
      </c>
      <c r="E14" s="611">
        <v>0</v>
      </c>
      <c r="F14" s="612">
        <f>ROUND((-+D14+(E14*Capital!$C$9))/Capital!$C$10,2)</f>
        <v>-116761636.40000001</v>
      </c>
      <c r="G14" s="612">
        <f>ROUND((-+D14+(E14*Capital!$D$9))/Capital!$D$10,2)</f>
        <v>-116761636.40000001</v>
      </c>
      <c r="H14" s="613">
        <f t="shared" si="0"/>
        <v>0</v>
      </c>
    </row>
    <row r="15" spans="1:8">
      <c r="B15" s="610">
        <v>10.039999999999999</v>
      </c>
      <c r="C15" s="597" t="s">
        <v>638</v>
      </c>
      <c r="D15" s="611">
        <f>+'EXH KBH-2 P2.2'!$G$42</f>
        <v>-20234047.869399998</v>
      </c>
      <c r="E15" s="611">
        <v>0</v>
      </c>
      <c r="F15" s="612">
        <f>ROUND((-+D15+(E15*Capital!$C$9))/Capital!$C$10,2)</f>
        <v>32569266.859999999</v>
      </c>
      <c r="G15" s="612">
        <f>ROUND((-+D15+(E15*Capital!$D$9))/Capital!$D$10,2)</f>
        <v>32569266.859999999</v>
      </c>
      <c r="H15" s="613">
        <f t="shared" si="0"/>
        <v>0</v>
      </c>
    </row>
    <row r="16" spans="1:8">
      <c r="B16" s="610">
        <v>10.050000000000001</v>
      </c>
      <c r="C16" s="597" t="s">
        <v>744</v>
      </c>
      <c r="D16" s="611">
        <f>+'EXH KBH-2 P2.2'!$H$42</f>
        <v>-858285.63475342758</v>
      </c>
      <c r="E16" s="611">
        <v>0</v>
      </c>
      <c r="F16" s="612">
        <f>ROUND((-+D16+(E16*Capital!$C$9))/Capital!$C$10,2)</f>
        <v>1381519.61</v>
      </c>
      <c r="G16" s="612">
        <f>ROUND((-+D16+(E16*Capital!$D$9))/Capital!$D$10,2)</f>
        <v>1381519.61</v>
      </c>
      <c r="H16" s="613">
        <f t="shared" si="0"/>
        <v>0</v>
      </c>
    </row>
    <row r="17" spans="2:8">
      <c r="B17" s="610">
        <v>10.06</v>
      </c>
      <c r="C17" s="597" t="s">
        <v>745</v>
      </c>
      <c r="D17" s="611">
        <f>+'EXH KBH-2 P2.2'!$I$42</f>
        <v>-204970.03908726672</v>
      </c>
      <c r="E17" s="611">
        <f>+'EXH KBH-2 P2.2'!$I$51</f>
        <v>4075268.3383333338</v>
      </c>
      <c r="F17" s="612">
        <f>ROUND((-+D17+(E17*Capital!$C$9))/Capital!$C$10,2)</f>
        <v>887496.5</v>
      </c>
      <c r="G17" s="612">
        <f>ROUND((-+D17+(E17*Capital!$D$9))/Capital!$D$10,2)</f>
        <v>847482.56</v>
      </c>
      <c r="H17" s="613">
        <f t="shared" si="0"/>
        <v>-40013.939999999944</v>
      </c>
    </row>
    <row r="18" spans="2:8">
      <c r="B18" s="610">
        <v>10.07</v>
      </c>
      <c r="C18" s="597" t="s">
        <v>746</v>
      </c>
      <c r="D18" s="611">
        <f>+'EXH KBH-2 P2.3'!$C$42</f>
        <v>-3289703.025835814</v>
      </c>
      <c r="E18" s="611">
        <f>+'EXH KBH-2 P2.3'!$C$51</f>
        <v>63260836</v>
      </c>
      <c r="F18" s="612">
        <f>ROUND((-+D18+(E18*Capital!$C$9))/Capital!$C$10,2)</f>
        <v>13950433.289999999</v>
      </c>
      <c r="G18" s="612">
        <f>ROUND((-+D18+(E18*Capital!$D$9))/Capital!$D$10,2)</f>
        <v>13329292.609999999</v>
      </c>
      <c r="H18" s="613">
        <f t="shared" si="0"/>
        <v>-621140.6799999997</v>
      </c>
    </row>
    <row r="19" spans="2:8">
      <c r="B19" s="610">
        <v>10.08</v>
      </c>
      <c r="C19" s="597" t="s">
        <v>183</v>
      </c>
      <c r="D19" s="611">
        <f>+'EXH KBH-2 P2.3'!$D$42</f>
        <v>-46387880.538685605</v>
      </c>
      <c r="E19" s="611">
        <f>+'EXH KBH-2 P2.3'!$D$51</f>
        <v>217569920.69013947</v>
      </c>
      <c r="F19" s="612">
        <f>ROUND((-+D19+(E19*Capital!$C$9))/Capital!$C$10,2)</f>
        <v>104434721.26000001</v>
      </c>
      <c r="G19" s="612">
        <f>ROUND((-+D19+(E19*Capital!$D$9))/Capital!$D$10,2)</f>
        <v>102298462.29000001</v>
      </c>
      <c r="H19" s="613">
        <f t="shared" si="0"/>
        <v>-2136258.9699999988</v>
      </c>
    </row>
    <row r="20" spans="2:8">
      <c r="B20" s="610">
        <v>10.09</v>
      </c>
      <c r="C20" s="597" t="s">
        <v>95</v>
      </c>
      <c r="D20" s="611">
        <f>+'EXH KBH-2 P2.3'!$E$42</f>
        <v>-593802.33333333337</v>
      </c>
      <c r="E20" s="611">
        <f>+'EXH KBH-2 P2.3'!$E$51</f>
        <v>7583823</v>
      </c>
      <c r="F20" s="612">
        <f>ROUND((-+D20+(E20*Capital!$C$9))/Capital!$C$10,2)</f>
        <v>1993405.82</v>
      </c>
      <c r="G20" s="612">
        <f>ROUND((-+D20+(E20*Capital!$D$9))/Capital!$D$10,2)</f>
        <v>1918942.36</v>
      </c>
      <c r="H20" s="613">
        <f t="shared" si="0"/>
        <v>-74463.459999999963</v>
      </c>
    </row>
    <row r="21" spans="2:8">
      <c r="B21" s="610">
        <v>10.1</v>
      </c>
      <c r="C21" s="597" t="s">
        <v>98</v>
      </c>
      <c r="D21" s="611">
        <f>+'EXH KBH-2 P2.3'!$F$42</f>
        <v>-2025047.0737074832</v>
      </c>
      <c r="E21" s="611">
        <f>+'EXH KBH-2 P2.3'!$F$51</f>
        <v>16776280.173544908</v>
      </c>
      <c r="F21" s="612">
        <f>ROUND((-+D21+(E21*Capital!$C$9))/Capital!$C$10,2)</f>
        <v>5554872</v>
      </c>
      <c r="G21" s="612">
        <f>ROUND((-+D21+(E21*Capital!$D$9))/Capital!$D$10,2)</f>
        <v>5390150.3399999999</v>
      </c>
      <c r="H21" s="613">
        <f t="shared" si="0"/>
        <v>-164721.66000000015</v>
      </c>
    </row>
    <row r="22" spans="2:8">
      <c r="B22" s="610">
        <v>10.11</v>
      </c>
      <c r="C22" s="597" t="s">
        <v>747</v>
      </c>
      <c r="D22" s="611">
        <f>+'EXH KBH-2 P2.3'!$G$42</f>
        <v>-855481.43128692708</v>
      </c>
      <c r="E22" s="611">
        <f>+'EXH KBH-2 P2.3'!$G$51</f>
        <v>33112869.728777334</v>
      </c>
      <c r="F22" s="612">
        <f>ROUND((-+D22+(E22*Capital!$C$9))/Capital!$C$10,2)</f>
        <v>5907451.8600000003</v>
      </c>
      <c r="G22" s="612">
        <f>ROUND((-+D22+(E22*Capital!$D$9))/Capital!$D$10,2)</f>
        <v>5582325.7400000002</v>
      </c>
      <c r="H22" s="613">
        <f t="shared" si="0"/>
        <v>-325126.12000000011</v>
      </c>
    </row>
    <row r="23" spans="2:8">
      <c r="B23" s="610">
        <v>10.119999999999999</v>
      </c>
      <c r="C23" s="597" t="s">
        <v>748</v>
      </c>
      <c r="D23" s="611">
        <f>+'EXH KBH-2 P2.3'!$H$42</f>
        <v>-640212.56394022703</v>
      </c>
      <c r="E23" s="611">
        <v>0</v>
      </c>
      <c r="F23" s="612">
        <f>ROUND((-+D23+(E23*Capital!$C$9))/Capital!$C$10,2)</f>
        <v>1030503.34</v>
      </c>
      <c r="G23" s="612">
        <f>ROUND((-+D23+(E23*Capital!$D$9))/Capital!$D$10,2)</f>
        <v>1030503.34</v>
      </c>
      <c r="H23" s="613">
        <f t="shared" si="0"/>
        <v>0</v>
      </c>
    </row>
    <row r="24" spans="2:8">
      <c r="B24" s="610">
        <v>10.130000000000001</v>
      </c>
      <c r="C24" s="597" t="s">
        <v>749</v>
      </c>
      <c r="D24" s="611">
        <f>+'EXH KBH-2 P2.3'!$I$42</f>
        <v>1021353</v>
      </c>
      <c r="E24" s="611">
        <v>0</v>
      </c>
      <c r="F24" s="612">
        <f>ROUND((-+D24+(E24*Capital!$C$9))/Capital!$C$10,2)</f>
        <v>-1643997.22</v>
      </c>
      <c r="G24" s="612">
        <f>ROUND((-+D24+(E24*Capital!$D$9))/Capital!$D$10,2)</f>
        <v>-1643997.22</v>
      </c>
      <c r="H24" s="613">
        <f t="shared" si="0"/>
        <v>0</v>
      </c>
    </row>
    <row r="25" spans="2:8">
      <c r="B25" s="610">
        <v>10.14</v>
      </c>
      <c r="C25" s="597" t="s">
        <v>750</v>
      </c>
      <c r="D25" s="611">
        <f>+'EXH KBH-2 P2.4'!$C$42</f>
        <v>1578526.1880824114</v>
      </c>
      <c r="E25" s="611">
        <v>0</v>
      </c>
      <c r="F25" s="612">
        <f>ROUND((-+D25+(E25*Capital!$C$9))/Capital!$C$10,2)</f>
        <v>-2540838.15</v>
      </c>
      <c r="G25" s="612">
        <f>ROUND((-+D25+(E25*Capital!$D$9))/Capital!$D$10,2)</f>
        <v>-2540838.15</v>
      </c>
      <c r="H25" s="613">
        <f t="shared" si="0"/>
        <v>0</v>
      </c>
    </row>
    <row r="26" spans="2:8">
      <c r="B26" s="610">
        <v>10.15</v>
      </c>
      <c r="C26" s="597" t="s">
        <v>751</v>
      </c>
      <c r="D26" s="611">
        <f>+'EXH KBH-2 P2.4'!$D$42</f>
        <v>0</v>
      </c>
      <c r="E26" s="611">
        <v>0</v>
      </c>
      <c r="F26" s="612">
        <f>ROUND((-+D26+(E26*Capital!$C$9))/Capital!$C$10,2)</f>
        <v>0</v>
      </c>
      <c r="G26" s="612">
        <f>ROUND((-+D26+(E26*Capital!$D$9))/Capital!$D$10,2)</f>
        <v>0</v>
      </c>
      <c r="H26" s="613">
        <f t="shared" si="0"/>
        <v>0</v>
      </c>
    </row>
    <row r="27" spans="2:8">
      <c r="B27" s="610">
        <v>10.16</v>
      </c>
      <c r="C27" s="597" t="s">
        <v>752</v>
      </c>
      <c r="D27" s="611">
        <f>+'EXH KBH-2 P2.4'!$E$42</f>
        <v>264095.84487998672</v>
      </c>
      <c r="E27" s="611">
        <v>0</v>
      </c>
      <c r="F27" s="612">
        <f>ROUND((-+D27+(E27*Capital!$C$9))/Capital!$C$10,2)</f>
        <v>-425095.76</v>
      </c>
      <c r="G27" s="612">
        <f>ROUND((-+D27+(E27*Capital!$D$9))/Capital!$D$10,2)</f>
        <v>-425095.76</v>
      </c>
      <c r="H27" s="613">
        <f t="shared" si="0"/>
        <v>0</v>
      </c>
    </row>
    <row r="28" spans="2:8">
      <c r="B28" s="610">
        <v>10.17</v>
      </c>
      <c r="C28" s="597" t="s">
        <v>753</v>
      </c>
      <c r="D28" s="611">
        <f>+'EXH KBH-2 P2.4'!$F$42</f>
        <v>305815.07797123073</v>
      </c>
      <c r="E28" s="611">
        <v>0</v>
      </c>
      <c r="F28" s="612">
        <f>ROUND((-+D28+(E28*Capital!$C$9))/Capital!$C$10,2)</f>
        <v>-492248.16</v>
      </c>
      <c r="G28" s="612">
        <f>ROUND((-+D28+(E28*Capital!$D$9))/Capital!$D$10,2)</f>
        <v>-492248.16</v>
      </c>
      <c r="H28" s="613">
        <f t="shared" si="0"/>
        <v>0</v>
      </c>
    </row>
    <row r="29" spans="2:8">
      <c r="B29" s="610">
        <v>10.18</v>
      </c>
      <c r="C29" s="597" t="s">
        <v>754</v>
      </c>
      <c r="D29" s="611">
        <f>+'EXH KBH-2 P2.4'!$G$42</f>
        <v>51020.154230500411</v>
      </c>
      <c r="E29" s="611">
        <v>0</v>
      </c>
      <c r="F29" s="612">
        <f>ROUND((-+D29+(E29*Capital!$C$9))/Capital!$C$10,2)</f>
        <v>-82123.41</v>
      </c>
      <c r="G29" s="612">
        <f>ROUND((-+D29+(E29*Capital!$D$9))/Capital!$D$10,2)</f>
        <v>-82123.41</v>
      </c>
      <c r="H29" s="613">
        <f t="shared" si="0"/>
        <v>0</v>
      </c>
    </row>
    <row r="30" spans="2:8">
      <c r="B30" s="610">
        <v>10.19</v>
      </c>
      <c r="C30" s="597" t="s">
        <v>755</v>
      </c>
      <c r="D30" s="611">
        <f>+'EXH KBH-2 P2.4'!$H$42</f>
        <v>-61479.013170731705</v>
      </c>
      <c r="E30" s="611">
        <f>+'EXH KBH-2 P2.4'!$H$51</f>
        <v>4846474.2075103223</v>
      </c>
      <c r="F30" s="612">
        <f>ROUND((-+D30+(E30*Capital!$C$9))/Capital!$C$10,2)</f>
        <v>762044.55</v>
      </c>
      <c r="G30" s="612">
        <f>ROUND((-+D30+(E30*Capital!$D$9))/Capital!$D$10,2)</f>
        <v>714458.36</v>
      </c>
      <c r="H30" s="613">
        <f t="shared" si="0"/>
        <v>-47586.190000000061</v>
      </c>
    </row>
    <row r="31" spans="2:8">
      <c r="B31" s="610">
        <v>10.199999999999999</v>
      </c>
      <c r="C31" s="597" t="s">
        <v>133</v>
      </c>
      <c r="D31" s="611">
        <f>+'EXH KBH-2 P2.4'!$I$42</f>
        <v>4899699.3499999996</v>
      </c>
      <c r="E31" s="611">
        <v>0</v>
      </c>
      <c r="F31" s="612">
        <f>ROUND((-+D31+(E31*Capital!$C$9))/Capital!$C$10,2)</f>
        <v>-7886687.6600000001</v>
      </c>
      <c r="G31" s="612">
        <f>ROUND((-+D31+(E31*Capital!$D$9))/Capital!$D$10,2)</f>
        <v>-7886687.6600000001</v>
      </c>
      <c r="H31" s="613">
        <f t="shared" si="0"/>
        <v>0</v>
      </c>
    </row>
    <row r="32" spans="2:8">
      <c r="B32" s="610">
        <v>10.210000000000001</v>
      </c>
      <c r="C32" s="597" t="s">
        <v>756</v>
      </c>
      <c r="D32" s="611">
        <f>+'EXH KBH-2 P2.5'!$C$42</f>
        <v>380361.15</v>
      </c>
      <c r="E32" s="611">
        <v>0</v>
      </c>
      <c r="F32" s="612">
        <f>ROUND((-+D32+(E32*Capital!$C$9))/Capital!$C$10,2)</f>
        <v>-612239.52</v>
      </c>
      <c r="G32" s="612">
        <f>ROUND((-+D32+(E32*Capital!$D$9))/Capital!$D$10,2)</f>
        <v>-612239.52</v>
      </c>
      <c r="H32" s="613">
        <f t="shared" si="0"/>
        <v>0</v>
      </c>
    </row>
    <row r="33" spans="2:8">
      <c r="B33" s="610">
        <v>10.220000000000001</v>
      </c>
      <c r="C33" s="597" t="s">
        <v>757</v>
      </c>
      <c r="D33" s="611">
        <f>+'EXH KBH-2 P2.5'!$D$42</f>
        <v>-497986</v>
      </c>
      <c r="E33" s="611">
        <v>0</v>
      </c>
      <c r="F33" s="612">
        <f>ROUND((-+D33+(E33*Capital!$C$9))/Capital!$C$10,2)</f>
        <v>801571.64</v>
      </c>
      <c r="G33" s="612">
        <f>ROUND((-+D33+(E33*Capital!$D$9))/Capital!$D$10,2)</f>
        <v>801571.64</v>
      </c>
      <c r="H33" s="613">
        <f t="shared" si="0"/>
        <v>0</v>
      </c>
    </row>
    <row r="34" spans="2:8">
      <c r="B34" s="610">
        <v>10.23</v>
      </c>
      <c r="C34" s="597" t="s">
        <v>758</v>
      </c>
      <c r="D34" s="611">
        <f>+'EXH KBH-2 P2.5'!$E$42</f>
        <v>-778677.57254386239</v>
      </c>
      <c r="E34" s="611">
        <v>0</v>
      </c>
      <c r="F34" s="612">
        <f>ROUND((-+D34+(E34*Capital!$C$9))/Capital!$C$10,2)</f>
        <v>1253380.33</v>
      </c>
      <c r="G34" s="612">
        <f>ROUND((-+D34+(E34*Capital!$D$9))/Capital!$D$10,2)</f>
        <v>1253380.33</v>
      </c>
      <c r="H34" s="613">
        <f t="shared" si="0"/>
        <v>0</v>
      </c>
    </row>
    <row r="35" spans="2:8">
      <c r="B35" s="610">
        <v>10.24</v>
      </c>
      <c r="C35" s="597" t="s">
        <v>759</v>
      </c>
      <c r="D35" s="611">
        <f>+'EXH KBH-2 P2.5'!$F$42</f>
        <v>-2741878.4415292414</v>
      </c>
      <c r="E35" s="611">
        <v>0</v>
      </c>
      <c r="F35" s="612">
        <f>ROUND((-+D35+(E35*Capital!$C$9))/Capital!$C$10,2)</f>
        <v>4413401.18</v>
      </c>
      <c r="G35" s="612">
        <f>ROUND((-+D35+(E35*Capital!$D$9))/Capital!$D$10,2)</f>
        <v>4413401.18</v>
      </c>
      <c r="H35" s="613">
        <f t="shared" si="0"/>
        <v>0</v>
      </c>
    </row>
    <row r="36" spans="2:8">
      <c r="B36" s="610">
        <v>10.25</v>
      </c>
      <c r="C36" s="597" t="s">
        <v>760</v>
      </c>
      <c r="D36" s="611">
        <f>+'EXH KBH-2 P2.5'!$G$42</f>
        <v>-1794374.2522639567</v>
      </c>
      <c r="E36" s="611">
        <v>0</v>
      </c>
      <c r="F36" s="612">
        <f>ROUND((-+D36+(E36*Capital!$C$9))/Capital!$C$10,2)</f>
        <v>2888272.99</v>
      </c>
      <c r="G36" s="612">
        <f>ROUND((-+D36+(E36*Capital!$D$9))/Capital!$D$10,2)</f>
        <v>2888272.99</v>
      </c>
      <c r="H36" s="613">
        <f t="shared" si="0"/>
        <v>0</v>
      </c>
    </row>
    <row r="37" spans="2:8">
      <c r="B37" s="610">
        <v>10.26</v>
      </c>
      <c r="C37" s="597" t="s">
        <v>761</v>
      </c>
      <c r="D37" s="611">
        <f>+'EXH KBH-2 P2.5'!$H$42</f>
        <v>-89202.772713600192</v>
      </c>
      <c r="E37" s="611">
        <v>0</v>
      </c>
      <c r="F37" s="612">
        <f>ROUND((-+D37+(E37*Capital!$C$9))/Capital!$C$10,2)</f>
        <v>143583.18</v>
      </c>
      <c r="G37" s="612">
        <f>ROUND((-+D37+(E37*Capital!$D$9))/Capital!$D$10,2)</f>
        <v>143583.18</v>
      </c>
      <c r="H37" s="613">
        <f t="shared" si="0"/>
        <v>0</v>
      </c>
    </row>
    <row r="38" spans="2:8">
      <c r="B38" s="610">
        <v>10.27</v>
      </c>
      <c r="C38" s="597" t="s">
        <v>762</v>
      </c>
      <c r="D38" s="611">
        <f>+'EXH KBH-2 P2.5'!$I$42</f>
        <v>-774514</v>
      </c>
      <c r="E38" s="611">
        <v>0</v>
      </c>
      <c r="F38" s="612">
        <f>ROUND((-+D38+(E38*Capital!$C$9))/Capital!$C$10,2)</f>
        <v>1246678.53</v>
      </c>
      <c r="G38" s="612">
        <f>ROUND((-+D38+(E38*Capital!$D$9))/Capital!$D$10,2)</f>
        <v>1246678.53</v>
      </c>
      <c r="H38" s="613">
        <f t="shared" si="0"/>
        <v>0</v>
      </c>
    </row>
    <row r="39" spans="2:8">
      <c r="B39" s="610">
        <v>10.28</v>
      </c>
      <c r="C39" s="597" t="s">
        <v>763</v>
      </c>
      <c r="D39" s="611">
        <f>+'EXH KBH-2 P2.6'!$C$42</f>
        <v>1137979</v>
      </c>
      <c r="E39" s="611">
        <v>0</v>
      </c>
      <c r="F39" s="612">
        <f>ROUND((-+D39+(E39*Capital!$C$9))/Capital!$C$10,2)</f>
        <v>-1831721.56</v>
      </c>
      <c r="G39" s="612">
        <f>ROUND((-+D39+(E39*Capital!$D$9))/Capital!$D$10,2)</f>
        <v>-1831721.56</v>
      </c>
      <c r="H39" s="613">
        <f t="shared" si="0"/>
        <v>0</v>
      </c>
    </row>
    <row r="40" spans="2:8">
      <c r="B40" s="610">
        <v>10.29</v>
      </c>
      <c r="C40" s="597" t="s">
        <v>764</v>
      </c>
      <c r="D40" s="611">
        <f>+'EXH KBH-2 P2.6'!$D$42</f>
        <v>568233.25</v>
      </c>
      <c r="E40" s="611">
        <v>0</v>
      </c>
      <c r="F40" s="612">
        <f>ROUND((-+D40+(E40*Capital!$C$9))/Capital!$C$10,2)</f>
        <v>-914643.5</v>
      </c>
      <c r="G40" s="612">
        <f>ROUND((-+D40+(E40*Capital!$D$9))/Capital!$D$10,2)</f>
        <v>-914643.5</v>
      </c>
      <c r="H40" s="613">
        <f t="shared" si="0"/>
        <v>0</v>
      </c>
    </row>
    <row r="41" spans="2:8">
      <c r="B41" s="610">
        <v>10.3</v>
      </c>
      <c r="C41" s="597" t="s">
        <v>765</v>
      </c>
      <c r="D41" s="611">
        <f>+'EXH KBH-2 P2.6'!$E$42</f>
        <v>-6176024.0112095494</v>
      </c>
      <c r="E41" s="611">
        <v>0</v>
      </c>
      <c r="F41" s="612">
        <f>ROUND((-+D41+(E41*Capital!$C$9))/Capital!$C$10,2)</f>
        <v>9941094.1099999994</v>
      </c>
      <c r="G41" s="612">
        <f>ROUND((-+D41+(E41*Capital!$D$9))/Capital!$D$10,2)</f>
        <v>9941094.1099999994</v>
      </c>
      <c r="H41" s="613">
        <f t="shared" si="0"/>
        <v>0</v>
      </c>
    </row>
    <row r="42" spans="2:8">
      <c r="B42" s="610">
        <v>10.31</v>
      </c>
      <c r="C42" s="597" t="s">
        <v>803</v>
      </c>
      <c r="D42" s="611">
        <f>+'EXH KBH-2 P2.6'!$F$42</f>
        <v>-4659619.1157307755</v>
      </c>
      <c r="E42" s="611">
        <f>+'EXH KBH-2 P2.6'!$F$51</f>
        <v>-105539454.48800372</v>
      </c>
      <c r="F42" s="612">
        <f>ROUND((-+D42+(E42*Capital!$C$9))/Capital!$C$10,2)</f>
        <v>-6939478.8600000003</v>
      </c>
      <c r="G42" s="612">
        <f>ROUND((-+D42+(E42*Capital!$D$9))/Capital!$D$10,2)</f>
        <v>-5903216.0999999996</v>
      </c>
      <c r="H42" s="613">
        <f t="shared" si="0"/>
        <v>1036262.7600000007</v>
      </c>
    </row>
    <row r="43" spans="2:8">
      <c r="B43" s="610">
        <v>10.32</v>
      </c>
      <c r="C43" s="597" t="s">
        <v>766</v>
      </c>
      <c r="D43" s="611">
        <f>+'EXH KBH-2 P2.6'!$G$42</f>
        <v>9109590.6703219898</v>
      </c>
      <c r="E43" s="611">
        <f>+'EXH KBH-2 P2.6'!$G$51</f>
        <v>4554795.3351609949</v>
      </c>
      <c r="F43" s="612">
        <f>ROUND((-+D43+(E43*Capital!$C$9))/Capital!$C$10,2)</f>
        <v>-14039862.52</v>
      </c>
      <c r="G43" s="612">
        <f>ROUND((-+D43+(E43*Capital!$D$9))/Capital!$D$10,2)</f>
        <v>-14084584.789999999</v>
      </c>
      <c r="H43" s="613">
        <f t="shared" si="0"/>
        <v>-44722.269999999553</v>
      </c>
    </row>
    <row r="44" spans="2:8">
      <c r="B44" s="610">
        <v>10.33</v>
      </c>
      <c r="C44" s="597" t="s">
        <v>767</v>
      </c>
      <c r="D44" s="611">
        <f>+'EXH KBH-2 P2.6'!$H$42</f>
        <v>-3441784</v>
      </c>
      <c r="E44" s="611">
        <f>+'EXH KBH-2 P2.6'!$H$51</f>
        <v>0</v>
      </c>
      <c r="F44" s="612">
        <f>ROUND((-+D44+(E44*Capital!$C$9))/Capital!$C$10,2)</f>
        <v>5539987.96</v>
      </c>
      <c r="G44" s="612">
        <f>ROUND((-+D44+(E44*Capital!$D$9))/Capital!$D$10,2)</f>
        <v>5539987.96</v>
      </c>
      <c r="H44" s="613">
        <f t="shared" si="0"/>
        <v>0</v>
      </c>
    </row>
    <row r="45" spans="2:8">
      <c r="B45" s="610">
        <v>10.34</v>
      </c>
      <c r="C45" s="597" t="s">
        <v>768</v>
      </c>
      <c r="D45" s="611">
        <f>+'EXH KBH-2 P2.6'!$I$42</f>
        <v>-2962521</v>
      </c>
      <c r="E45" s="611">
        <f>+'EXH KBH-2 P2.6'!$I$51</f>
        <v>35562260</v>
      </c>
      <c r="F45" s="612">
        <f>ROUND((-+D45+(E45*Capital!$C$9))/Capital!$C$10,2)</f>
        <v>9634120.7100000009</v>
      </c>
      <c r="G45" s="612">
        <f>ROUND((-+D45+(E45*Capital!$D$9))/Capital!$D$10,2)</f>
        <v>9284944.6999999993</v>
      </c>
      <c r="H45" s="613">
        <f t="shared" si="0"/>
        <v>-349176.01000000164</v>
      </c>
    </row>
    <row r="46" spans="2:8">
      <c r="B46" s="610">
        <v>10.35</v>
      </c>
      <c r="C46" s="597" t="s">
        <v>769</v>
      </c>
      <c r="D46" s="611">
        <f>+'EXH KBH-2 P2.7'!$C$42</f>
        <v>1272207.4486038254</v>
      </c>
      <c r="E46" s="611">
        <f>+'EXH KBH-2 P2.7'!$C$51</f>
        <v>7448028.3603655454</v>
      </c>
      <c r="F46" s="612">
        <f>ROUND((-+D46+(E46*Capital!$C$9))/Capital!$C$10,2)</f>
        <v>-1028752.83</v>
      </c>
      <c r="G46" s="612">
        <f>ROUND((-+D46+(E46*Capital!$D$9))/Capital!$D$10,2)</f>
        <v>-1101882.96</v>
      </c>
      <c r="H46" s="613">
        <f t="shared" si="0"/>
        <v>-73130.13</v>
      </c>
    </row>
    <row r="47" spans="2:8">
      <c r="B47" s="610">
        <v>10.36</v>
      </c>
      <c r="C47" s="597" t="s">
        <v>770</v>
      </c>
      <c r="D47" s="611">
        <f>+'EXH KBH-2 P2.7'!$D$42</f>
        <v>0</v>
      </c>
      <c r="E47" s="611">
        <f>+'EXH KBH-2 P2.7'!$D$51</f>
        <v>-3530927.9583333335</v>
      </c>
      <c r="F47" s="612">
        <f>ROUND((-+D47+(E47*Capital!$C$9))/Capital!$C$10,2)</f>
        <v>-483095.5</v>
      </c>
      <c r="G47" s="612">
        <f>ROUND((-+D47+(E47*Capital!$D$9))/Capital!$D$10,2)</f>
        <v>-448426.29</v>
      </c>
      <c r="H47" s="613">
        <f t="shared" si="0"/>
        <v>34669.210000000021</v>
      </c>
    </row>
    <row r="48" spans="2:8">
      <c r="B48" s="610">
        <v>10.37</v>
      </c>
      <c r="C48" s="597" t="s">
        <v>771</v>
      </c>
      <c r="D48" s="611">
        <f>+'EXH KBH-2 P2.7'!$E$42</f>
        <v>0</v>
      </c>
      <c r="E48" s="611">
        <f>+'EXH KBH-2 P2.7'!$E$51</f>
        <v>0</v>
      </c>
      <c r="F48" s="612">
        <f>ROUND((-+D48+(E48*Capital!$C$9))/Capital!$C$10,2)</f>
        <v>0</v>
      </c>
      <c r="G48" s="612">
        <f>ROUND((-+D48+(E48*Capital!$D$9))/Capital!$D$10,2)</f>
        <v>0</v>
      </c>
      <c r="H48" s="613">
        <f t="shared" si="0"/>
        <v>0</v>
      </c>
    </row>
    <row r="49" spans="2:8">
      <c r="B49" s="610">
        <v>10.38</v>
      </c>
      <c r="C49" s="597" t="s">
        <v>772</v>
      </c>
      <c r="D49" s="611">
        <f>+'EXH KBH-2 P2.7'!$F$42</f>
        <v>-1895269.6954658537</v>
      </c>
      <c r="E49" s="611">
        <f>+'EXH KBH-2 P2.7'!$F$51</f>
        <v>2842904.5431987802</v>
      </c>
      <c r="F49" s="612">
        <f>ROUND((-+D49+(E49*Capital!$C$9))/Capital!$C$10,2)</f>
        <v>3439638.32</v>
      </c>
      <c r="G49" s="612">
        <f>ROUND((-+D49+(E49*Capital!$D$9))/Capital!$D$10,2)</f>
        <v>3411724.62</v>
      </c>
      <c r="H49" s="613">
        <f t="shared" si="0"/>
        <v>-27913.699999999721</v>
      </c>
    </row>
    <row r="50" spans="2:8">
      <c r="B50" s="610"/>
      <c r="C50" s="606" t="s">
        <v>773</v>
      </c>
      <c r="D50" s="607">
        <f>SUM(D12:D49)</f>
        <v>66569116.826957174</v>
      </c>
      <c r="E50" s="607">
        <f t="shared" ref="E50:H50" si="1">SUM(E12:E49)</f>
        <v>288563077.93069357</v>
      </c>
      <c r="F50" s="607">
        <f t="shared" si="1"/>
        <v>-67670733.439999983</v>
      </c>
      <c r="G50" s="607">
        <f t="shared" si="1"/>
        <v>-70504054.599999905</v>
      </c>
      <c r="H50" s="607">
        <f t="shared" si="1"/>
        <v>-2833321.1599999988</v>
      </c>
    </row>
    <row r="51" spans="2:8">
      <c r="B51" s="610"/>
      <c r="C51" s="606" t="s">
        <v>774</v>
      </c>
      <c r="D51" s="607">
        <f>+D50+D11</f>
        <v>291900885.0822441</v>
      </c>
      <c r="E51" s="607">
        <f t="shared" ref="E51:H51" si="2">+E50+E11</f>
        <v>3747871751.2125421</v>
      </c>
      <c r="F51" s="608">
        <f>ROUND((-+D51+(E51*Capital!$C$9))/Capital!$C$10,2)</f>
        <v>42925873.100000001</v>
      </c>
      <c r="G51" s="649">
        <f>ROUND((-+D51+(E51*Capital!$D$9))/Capital!$D$10,2)+1</f>
        <v>6126556.4400000004</v>
      </c>
      <c r="H51" s="607">
        <f t="shared" si="2"/>
        <v>-36799317.640000001</v>
      </c>
    </row>
    <row r="52" spans="2:8">
      <c r="D52" s="611"/>
      <c r="E52" s="611"/>
      <c r="F52" s="611"/>
    </row>
    <row r="53" spans="2:8">
      <c r="D53" s="611"/>
      <c r="E53" s="611"/>
      <c r="F53" s="611"/>
    </row>
    <row r="54" spans="2:8">
      <c r="D54" s="611"/>
      <c r="E54" s="611"/>
      <c r="F54" s="611"/>
    </row>
    <row r="55" spans="2:8">
      <c r="D55" s="611"/>
      <c r="E55" s="611"/>
      <c r="F55" s="611"/>
    </row>
    <row r="56" spans="2:8">
      <c r="D56" s="611"/>
      <c r="E56" s="611"/>
      <c r="F56" s="611"/>
    </row>
  </sheetData>
  <pageMargins left="0.7" right="0.7" top="0.75" bottom="0.75" header="0.3" footer="0.3"/>
  <pageSetup scale="64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6"/>
  <sheetViews>
    <sheetView topLeftCell="A25" zoomScaleNormal="100" workbookViewId="0">
      <selection activeCell="B46" sqref="B46"/>
    </sheetView>
  </sheetViews>
  <sheetFormatPr defaultColWidth="9.140625" defaultRowHeight="15.75"/>
  <cols>
    <col min="1" max="1" width="4.42578125" style="597" customWidth="1"/>
    <col min="2" max="2" width="9.140625" style="597"/>
    <col min="3" max="3" width="37.28515625" style="597" customWidth="1"/>
    <col min="4" max="4" width="17" style="597" customWidth="1"/>
    <col min="5" max="5" width="19.85546875" style="597" customWidth="1"/>
    <col min="6" max="6" width="16.28515625" style="597" customWidth="1"/>
    <col min="7" max="7" width="16.42578125" style="597" customWidth="1"/>
    <col min="8" max="16384" width="9.140625" style="597"/>
  </cols>
  <sheetData>
    <row r="1" spans="1:7">
      <c r="A1" s="597" t="s">
        <v>336</v>
      </c>
    </row>
    <row r="2" spans="1:7">
      <c r="A2" s="597" t="s">
        <v>722</v>
      </c>
      <c r="F2" s="598" t="s">
        <v>723</v>
      </c>
    </row>
    <row r="3" spans="1:7">
      <c r="A3" s="597" t="s">
        <v>724</v>
      </c>
      <c r="F3" s="598"/>
    </row>
    <row r="4" spans="1:7">
      <c r="A4" s="597" t="s">
        <v>775</v>
      </c>
    </row>
    <row r="5" spans="1:7">
      <c r="A5" s="597" t="s">
        <v>726</v>
      </c>
    </row>
    <row r="7" spans="1:7">
      <c r="B7" s="599"/>
      <c r="C7" s="599"/>
      <c r="D7" s="599" t="s">
        <v>727</v>
      </c>
      <c r="E7" s="599"/>
      <c r="F7" s="600" t="s">
        <v>728</v>
      </c>
      <c r="G7" s="599" t="s">
        <v>728</v>
      </c>
    </row>
    <row r="8" spans="1:7">
      <c r="B8" s="601" t="s">
        <v>730</v>
      </c>
      <c r="C8" s="601" t="s">
        <v>39</v>
      </c>
      <c r="D8" s="601" t="s">
        <v>731</v>
      </c>
      <c r="E8" s="601" t="s">
        <v>732</v>
      </c>
      <c r="F8" s="602" t="s">
        <v>776</v>
      </c>
      <c r="G8" s="603" t="s">
        <v>734</v>
      </c>
    </row>
    <row r="9" spans="1:7">
      <c r="B9" s="604" t="s">
        <v>736</v>
      </c>
      <c r="C9" s="604" t="s">
        <v>737</v>
      </c>
      <c r="D9" s="604" t="s">
        <v>738</v>
      </c>
      <c r="E9" s="604" t="s">
        <v>739</v>
      </c>
      <c r="F9" s="605" t="s">
        <v>57</v>
      </c>
      <c r="G9" s="604" t="s">
        <v>81</v>
      </c>
    </row>
    <row r="11" spans="1:7">
      <c r="C11" s="606" t="s">
        <v>740</v>
      </c>
      <c r="D11" s="607">
        <v>225331768</v>
      </c>
      <c r="E11" s="607">
        <v>3462284719</v>
      </c>
      <c r="F11" s="608">
        <f>ROUND((-+D11+(E11*Capital!$C$9))/Capital!$C$10,2)</f>
        <v>111003784.42</v>
      </c>
      <c r="G11" s="608">
        <f>ROUND((-+D11+(E11*Capital!$D$9))/Capital!$D$10,2)</f>
        <v>77008566.959999993</v>
      </c>
    </row>
    <row r="12" spans="1:7">
      <c r="B12" s="610">
        <v>10.01</v>
      </c>
      <c r="C12" s="597" t="s">
        <v>741</v>
      </c>
      <c r="D12" s="611">
        <v>-12235767</v>
      </c>
      <c r="E12" s="611">
        <v>0</v>
      </c>
      <c r="F12" s="612">
        <f>ROUND((-+D12+(E12*Capital!$C$9))/Capital!$C$10,2)</f>
        <v>19695019.170000002</v>
      </c>
      <c r="G12" s="612">
        <f>ROUND((-+D12+(E12*Capital!$D$9))/Capital!$D$10,2)</f>
        <v>19695019.170000002</v>
      </c>
    </row>
    <row r="13" spans="1:7">
      <c r="B13" s="610">
        <v>10.02</v>
      </c>
      <c r="C13" s="597" t="s">
        <v>742</v>
      </c>
      <c r="D13" s="611">
        <v>80396404</v>
      </c>
      <c r="E13" s="611">
        <v>0</v>
      </c>
      <c r="F13" s="612">
        <f>ROUND((-+D13+(E13*Capital!$C$9))/Capital!$C$10,2)</f>
        <v>-129408211.03</v>
      </c>
      <c r="G13" s="612">
        <f>ROUND((-+D13+(E13*Capital!$D$9))/Capital!$D$10,2)</f>
        <v>-129408211.03</v>
      </c>
    </row>
    <row r="14" spans="1:7">
      <c r="B14" s="610">
        <v>10.029999999999999</v>
      </c>
      <c r="C14" s="597" t="s">
        <v>743</v>
      </c>
      <c r="D14" s="611">
        <v>43026979</v>
      </c>
      <c r="E14" s="611">
        <v>0</v>
      </c>
      <c r="F14" s="612">
        <f>ROUND((-+D14+(E14*Capital!$C$9))/Capital!$C$10,2)</f>
        <v>-69257380.939999998</v>
      </c>
      <c r="G14" s="612">
        <f>ROUND((-+D14+(E14*Capital!$D$9))/Capital!$D$10,2)</f>
        <v>-69257380.939999998</v>
      </c>
    </row>
    <row r="15" spans="1:7">
      <c r="B15" s="610">
        <v>10.039999999999999</v>
      </c>
      <c r="C15" s="597" t="s">
        <v>638</v>
      </c>
      <c r="D15" s="611">
        <v>-20234048</v>
      </c>
      <c r="E15" s="611">
        <v>0</v>
      </c>
      <c r="F15" s="612">
        <f>ROUND((-+D15+(E15*Capital!$C$9))/Capital!$C$10,2)</f>
        <v>32569267.07</v>
      </c>
      <c r="G15" s="612">
        <f>ROUND((-+D15+(E15*Capital!$D$9))/Capital!$D$10,2)</f>
        <v>32569267.07</v>
      </c>
    </row>
    <row r="16" spans="1:7">
      <c r="B16" s="610">
        <v>10.050000000000001</v>
      </c>
      <c r="C16" s="597" t="s">
        <v>744</v>
      </c>
      <c r="D16" s="611">
        <v>-878117</v>
      </c>
      <c r="E16" s="611">
        <v>0</v>
      </c>
      <c r="F16" s="612">
        <f>ROUND((-+D16+(E16*Capital!$C$9))/Capital!$C$10,2)</f>
        <v>1413440.71</v>
      </c>
      <c r="G16" s="612">
        <f>ROUND((-+D16+(E16*Capital!$D$9))/Capital!$D$10,2)</f>
        <v>1413440.71</v>
      </c>
    </row>
    <row r="17" spans="2:7">
      <c r="B17" s="610">
        <v>10.06</v>
      </c>
      <c r="C17" s="597" t="s">
        <v>745</v>
      </c>
      <c r="D17" s="611">
        <v>-214972</v>
      </c>
      <c r="E17" s="611">
        <v>4704806</v>
      </c>
      <c r="F17" s="612">
        <f>ROUND((-+D17+(E17*Capital!$C$9))/Capital!$C$10,2)</f>
        <v>989728.18</v>
      </c>
      <c r="G17" s="612">
        <f>ROUND((-+D17+(E17*Capital!$D$9))/Capital!$D$10,2)</f>
        <v>943532.99</v>
      </c>
    </row>
    <row r="18" spans="2:7">
      <c r="B18" s="610">
        <v>10.07</v>
      </c>
      <c r="C18" s="597" t="s">
        <v>746</v>
      </c>
      <c r="D18" s="611">
        <v>-4434431</v>
      </c>
      <c r="E18" s="611">
        <v>75427036</v>
      </c>
      <c r="F18" s="612">
        <f>ROUND((-+D18+(E18*Capital!$C$9))/Capital!$C$10,2)</f>
        <v>17457576.77</v>
      </c>
      <c r="G18" s="612">
        <f>ROUND((-+D18+(E18*Capital!$D$9))/Capital!$D$10,2)</f>
        <v>16716979.539999999</v>
      </c>
    </row>
    <row r="19" spans="2:7">
      <c r="B19" s="610">
        <v>10.08</v>
      </c>
      <c r="C19" s="597" t="s">
        <v>183</v>
      </c>
      <c r="D19" s="611">
        <v>-56574839</v>
      </c>
      <c r="E19" s="611">
        <v>223509079</v>
      </c>
      <c r="F19" s="612">
        <f>ROUND((-+D19+(E19*Capital!$C$9))/Capital!$C$10,2)</f>
        <v>121644508.62</v>
      </c>
      <c r="G19" s="612">
        <f>ROUND((-+D19+(E19*Capital!$D$9))/Capital!$D$10,2)</f>
        <v>119449934.7</v>
      </c>
    </row>
    <row r="20" spans="2:7">
      <c r="B20" s="610">
        <v>10.09</v>
      </c>
      <c r="C20" s="597" t="s">
        <v>95</v>
      </c>
      <c r="D20" s="611">
        <v>-738416</v>
      </c>
      <c r="E20" s="611">
        <v>7282195</v>
      </c>
      <c r="F20" s="612">
        <f>ROUND((-+D20+(E20*Capital!$C$9))/Capital!$C$10,2)</f>
        <v>2184911.64</v>
      </c>
      <c r="G20" s="612">
        <f>ROUND((-+D20+(E20*Capital!$D$9))/Capital!$D$10,2)</f>
        <v>2113409.7799999998</v>
      </c>
    </row>
    <row r="21" spans="2:7">
      <c r="B21" s="610">
        <v>10.1</v>
      </c>
      <c r="C21" s="597" t="s">
        <v>98</v>
      </c>
      <c r="D21" s="611">
        <v>-2015304</v>
      </c>
      <c r="E21" s="611">
        <v>18323366</v>
      </c>
      <c r="F21" s="612">
        <f>ROUND((-+D21+(E21*Capital!$C$9))/Capital!$C$10,2)</f>
        <v>5750858.9100000001</v>
      </c>
      <c r="G21" s="612">
        <f>ROUND((-+D21+(E21*Capital!$D$9))/Capital!$D$10,2)</f>
        <v>5570946.8399999999</v>
      </c>
    </row>
    <row r="22" spans="2:7">
      <c r="B22" s="610">
        <v>10.11</v>
      </c>
      <c r="C22" s="597" t="s">
        <v>747</v>
      </c>
      <c r="D22" s="611">
        <v>-1000689</v>
      </c>
      <c r="E22" s="611">
        <v>32876741</v>
      </c>
      <c r="F22" s="612">
        <f>ROUND((-+D22+(E22*Capital!$C$9))/Capital!$C$10,2)</f>
        <v>6108875.1399999997</v>
      </c>
      <c r="G22" s="612">
        <f>ROUND((-+D22+(E22*Capital!$D$9))/Capital!$D$10,2)</f>
        <v>5786067.5</v>
      </c>
    </row>
    <row r="23" spans="2:7">
      <c r="B23" s="610">
        <v>10.119999999999999</v>
      </c>
      <c r="C23" s="597" t="s">
        <v>748</v>
      </c>
      <c r="D23" s="611">
        <v>-640213</v>
      </c>
      <c r="E23" s="611">
        <v>0</v>
      </c>
      <c r="F23" s="612">
        <f>ROUND((-+D23+(E23*Capital!$C$9))/Capital!$C$10,2)</f>
        <v>1030504.04</v>
      </c>
      <c r="G23" s="612">
        <f>ROUND((-+D23+(E23*Capital!$D$9))/Capital!$D$10,2)</f>
        <v>1030504.04</v>
      </c>
    </row>
    <row r="24" spans="2:7">
      <c r="B24" s="610">
        <v>10.130000000000001</v>
      </c>
      <c r="C24" s="597" t="s">
        <v>749</v>
      </c>
      <c r="D24" s="611">
        <v>1021353</v>
      </c>
      <c r="E24" s="611">
        <v>0</v>
      </c>
      <c r="F24" s="612">
        <f>ROUND((-+D24+(E24*Capital!$C$9))/Capital!$C$10,2)</f>
        <v>-1643997.22</v>
      </c>
      <c r="G24" s="612">
        <f>ROUND((-+D24+(E24*Capital!$D$9))/Capital!$D$10,2)</f>
        <v>-1643997.22</v>
      </c>
    </row>
    <row r="25" spans="2:7">
      <c r="B25" s="610">
        <v>10.14</v>
      </c>
      <c r="C25" s="597" t="s">
        <v>750</v>
      </c>
      <c r="D25" s="611">
        <v>994791</v>
      </c>
      <c r="E25" s="611">
        <v>0</v>
      </c>
      <c r="F25" s="612">
        <f>ROUND((-+D25+(E25*Capital!$C$9))/Capital!$C$10,2)</f>
        <v>-1601242.31</v>
      </c>
      <c r="G25" s="612">
        <f>ROUND((-+D25+(E25*Capital!$D$9))/Capital!$D$10,2)</f>
        <v>-1601242.31</v>
      </c>
    </row>
    <row r="26" spans="2:7">
      <c r="B26" s="610">
        <v>10.15</v>
      </c>
      <c r="C26" s="597" t="s">
        <v>751</v>
      </c>
      <c r="D26" s="611">
        <v>-1603694</v>
      </c>
      <c r="E26" s="611">
        <v>0</v>
      </c>
      <c r="F26" s="612">
        <f>ROUND((-+D26+(E26*Capital!$C$9))/Capital!$C$10,2)</f>
        <v>2581348.9300000002</v>
      </c>
      <c r="G26" s="612">
        <f>ROUND((-+D26+(E26*Capital!$D$9))/Capital!$D$10,2)</f>
        <v>2581348.9300000002</v>
      </c>
    </row>
    <row r="27" spans="2:7">
      <c r="B27" s="610">
        <v>10.16</v>
      </c>
      <c r="C27" s="597" t="s">
        <v>752</v>
      </c>
      <c r="D27" s="611">
        <v>264096</v>
      </c>
      <c r="E27" s="611">
        <v>0</v>
      </c>
      <c r="F27" s="612">
        <f>ROUND((-+D27+(E27*Capital!$C$9))/Capital!$C$10,2)</f>
        <v>-425096.01</v>
      </c>
      <c r="G27" s="612">
        <f>ROUND((-+D27+(E27*Capital!$D$9))/Capital!$D$10,2)</f>
        <v>-425096.01</v>
      </c>
    </row>
    <row r="28" spans="2:7">
      <c r="B28" s="610">
        <v>10.17</v>
      </c>
      <c r="C28" s="597" t="s">
        <v>753</v>
      </c>
      <c r="D28" s="611">
        <v>205413</v>
      </c>
      <c r="E28" s="611">
        <v>0</v>
      </c>
      <c r="F28" s="612">
        <f>ROUND((-+D28+(E28*Capital!$C$9))/Capital!$C$10,2)</f>
        <v>-330638.28000000003</v>
      </c>
      <c r="G28" s="612">
        <f>ROUND((-+D28+(E28*Capital!$D$9))/Capital!$D$10,2)</f>
        <v>-330638.28000000003</v>
      </c>
    </row>
    <row r="29" spans="2:7">
      <c r="B29" s="610">
        <v>10.18</v>
      </c>
      <c r="C29" s="597" t="s">
        <v>754</v>
      </c>
      <c r="D29" s="611">
        <v>51020</v>
      </c>
      <c r="E29" s="611">
        <v>0</v>
      </c>
      <c r="F29" s="612">
        <f>ROUND((-+D29+(E29*Capital!$C$9))/Capital!$C$10,2)</f>
        <v>-82123.16</v>
      </c>
      <c r="G29" s="612">
        <f>ROUND((-+D29+(E29*Capital!$D$9))/Capital!$D$10,2)</f>
        <v>-82123.16</v>
      </c>
    </row>
    <row r="30" spans="2:7">
      <c r="B30" s="610">
        <v>10.19</v>
      </c>
      <c r="C30" s="597" t="s">
        <v>755</v>
      </c>
      <c r="D30" s="611">
        <v>-61479</v>
      </c>
      <c r="E30" s="611">
        <v>0</v>
      </c>
      <c r="F30" s="612">
        <f>ROUND((-+D30+(E30*Capital!$C$9))/Capital!$C$10,2)</f>
        <v>98958.25</v>
      </c>
      <c r="G30" s="612">
        <f>ROUND((-+D30+(E30*Capital!$D$9))/Capital!$D$10,2)</f>
        <v>98958.25</v>
      </c>
    </row>
    <row r="31" spans="2:7">
      <c r="B31" s="610">
        <v>10.199999999999999</v>
      </c>
      <c r="C31" s="597" t="s">
        <v>133</v>
      </c>
      <c r="D31" s="611">
        <v>4899699</v>
      </c>
      <c r="E31" s="611">
        <v>0</v>
      </c>
      <c r="F31" s="612">
        <f>ROUND((-+D31+(E31*Capital!$C$9))/Capital!$C$10,2)</f>
        <v>-7886687.0999999996</v>
      </c>
      <c r="G31" s="612">
        <f>ROUND((-+D31+(E31*Capital!$D$9))/Capital!$D$10,2)</f>
        <v>-7886687.0999999996</v>
      </c>
    </row>
    <row r="32" spans="2:7">
      <c r="B32" s="610">
        <v>10.210000000000001</v>
      </c>
      <c r="C32" s="597" t="s">
        <v>756</v>
      </c>
      <c r="D32" s="611">
        <v>380361</v>
      </c>
      <c r="E32" s="611">
        <v>0</v>
      </c>
      <c r="F32" s="612">
        <f>ROUND((-+D32+(E32*Capital!$C$9))/Capital!$C$10,2)</f>
        <v>-612239.28</v>
      </c>
      <c r="G32" s="612">
        <f>ROUND((-+D32+(E32*Capital!$D$9))/Capital!$D$10,2)</f>
        <v>-612239.28</v>
      </c>
    </row>
    <row r="33" spans="2:7">
      <c r="B33" s="610">
        <v>10.220000000000001</v>
      </c>
      <c r="C33" s="597" t="s">
        <v>757</v>
      </c>
      <c r="D33" s="611">
        <v>-497986</v>
      </c>
      <c r="E33" s="611">
        <v>0</v>
      </c>
      <c r="F33" s="612">
        <f>ROUND((-+D33+(E33*Capital!$C$9))/Capital!$C$10,2)</f>
        <v>801571.64</v>
      </c>
      <c r="G33" s="612">
        <f>ROUND((-+D33+(E33*Capital!$D$9))/Capital!$D$10,2)</f>
        <v>801571.64</v>
      </c>
    </row>
    <row r="34" spans="2:7">
      <c r="B34" s="610">
        <v>10.23</v>
      </c>
      <c r="C34" s="597" t="s">
        <v>758</v>
      </c>
      <c r="D34" s="611">
        <v>-680687</v>
      </c>
      <c r="E34" s="611">
        <v>0</v>
      </c>
      <c r="F34" s="612">
        <f>ROUND((-+D34+(E34*Capital!$C$9))/Capital!$C$10,2)</f>
        <v>1095652.08</v>
      </c>
      <c r="G34" s="612">
        <f>ROUND((-+D34+(E34*Capital!$D$9))/Capital!$D$10,2)</f>
        <v>1095652.08</v>
      </c>
    </row>
    <row r="35" spans="2:7">
      <c r="B35" s="610">
        <v>10.24</v>
      </c>
      <c r="C35" s="597" t="s">
        <v>759</v>
      </c>
      <c r="D35" s="611">
        <v>-2741878</v>
      </c>
      <c r="E35" s="611">
        <v>0</v>
      </c>
      <c r="F35" s="612">
        <f>ROUND((-+D35+(E35*Capital!$C$9))/Capital!$C$10,2)</f>
        <v>4413400.47</v>
      </c>
      <c r="G35" s="612">
        <f>ROUND((-+D35+(E35*Capital!$D$9))/Capital!$D$10,2)</f>
        <v>4413400.47</v>
      </c>
    </row>
    <row r="36" spans="2:7">
      <c r="B36" s="610">
        <v>10.25</v>
      </c>
      <c r="C36" s="597" t="s">
        <v>760</v>
      </c>
      <c r="D36" s="611">
        <v>-3511487</v>
      </c>
      <c r="E36" s="611">
        <v>0</v>
      </c>
      <c r="F36" s="612">
        <f>ROUND((-+D36+(E36*Capital!$C$9))/Capital!$C$10,2)</f>
        <v>5652183.7800000003</v>
      </c>
      <c r="G36" s="612">
        <f>ROUND((-+D36+(E36*Capital!$D$9))/Capital!$D$10,2)</f>
        <v>5652183.7800000003</v>
      </c>
    </row>
    <row r="37" spans="2:7">
      <c r="B37" s="610">
        <v>10.26</v>
      </c>
      <c r="C37" s="597" t="s">
        <v>761</v>
      </c>
      <c r="D37" s="611">
        <v>-163422</v>
      </c>
      <c r="E37" s="611">
        <v>0</v>
      </c>
      <c r="F37" s="612">
        <f>ROUND((-+D37+(E37*Capital!$C$9))/Capital!$C$10,2)</f>
        <v>263048.44</v>
      </c>
      <c r="G37" s="612">
        <f>ROUND((-+D37+(E37*Capital!$D$9))/Capital!$D$10,2)</f>
        <v>263048.44</v>
      </c>
    </row>
    <row r="38" spans="2:7">
      <c r="B38" s="610">
        <v>10.27</v>
      </c>
      <c r="C38" s="597" t="s">
        <v>762</v>
      </c>
      <c r="D38" s="611">
        <v>-1007959</v>
      </c>
      <c r="E38" s="611">
        <v>0</v>
      </c>
      <c r="F38" s="612">
        <f>ROUND((-+D38+(E38*Capital!$C$9))/Capital!$C$10,2)</f>
        <v>1622437.88</v>
      </c>
      <c r="G38" s="612">
        <f>ROUND((-+D38+(E38*Capital!$D$9))/Capital!$D$10,2)</f>
        <v>1622437.88</v>
      </c>
    </row>
    <row r="39" spans="2:7">
      <c r="B39" s="610">
        <v>10.28</v>
      </c>
      <c r="C39" s="597" t="s">
        <v>763</v>
      </c>
      <c r="D39" s="611">
        <v>1137979</v>
      </c>
      <c r="E39" s="611">
        <v>0</v>
      </c>
      <c r="F39" s="612">
        <f>ROUND((-+D39+(E39*Capital!$C$9))/Capital!$C$10,2)</f>
        <v>-1831721.56</v>
      </c>
      <c r="G39" s="612">
        <f>ROUND((-+D39+(E39*Capital!$D$9))/Capital!$D$10,2)</f>
        <v>-1831721.56</v>
      </c>
    </row>
    <row r="40" spans="2:7">
      <c r="B40" s="610">
        <v>10.29</v>
      </c>
      <c r="C40" s="597" t="s">
        <v>764</v>
      </c>
      <c r="D40" s="611">
        <v>568233</v>
      </c>
      <c r="E40" s="611">
        <v>0</v>
      </c>
      <c r="F40" s="612">
        <f>ROUND((-+D40+(E40*Capital!$C$9))/Capital!$C$10,2)</f>
        <v>-914643.1</v>
      </c>
      <c r="G40" s="612">
        <f>ROUND((-+D40+(E40*Capital!$D$9))/Capital!$D$10,2)</f>
        <v>-914643.1</v>
      </c>
    </row>
    <row r="41" spans="2:7">
      <c r="B41" s="610">
        <v>10.3</v>
      </c>
      <c r="C41" s="597" t="s">
        <v>765</v>
      </c>
      <c r="D41" s="611">
        <v>-6176024</v>
      </c>
      <c r="E41" s="611">
        <v>0</v>
      </c>
      <c r="F41" s="612">
        <f>ROUND((-+D41+(E41*Capital!$C$9))/Capital!$C$10,2)</f>
        <v>9941094.0999999996</v>
      </c>
      <c r="G41" s="612">
        <f>ROUND((-+D41+(E41*Capital!$D$9))/Capital!$D$10,2)</f>
        <v>9941094.0999999996</v>
      </c>
    </row>
    <row r="42" spans="2:7">
      <c r="B42" s="610">
        <v>10.31</v>
      </c>
      <c r="C42" s="597" t="s">
        <v>803</v>
      </c>
      <c r="D42" s="611">
        <v>-5500394</v>
      </c>
      <c r="E42" s="611">
        <v>-103466707</v>
      </c>
      <c r="F42" s="612">
        <f>ROUND((-+D42+(E42*Capital!$C$9))/Capital!$C$10,2)</f>
        <v>-5302555.2699999996</v>
      </c>
      <c r="G42" s="612">
        <f>ROUND((-+D42+(E42*Capital!$D$9))/Capital!$D$10,2)</f>
        <v>-4286644.25</v>
      </c>
    </row>
    <row r="43" spans="2:7">
      <c r="B43" s="610">
        <v>10.32</v>
      </c>
      <c r="C43" s="597" t="s">
        <v>766</v>
      </c>
      <c r="D43" s="611">
        <v>9109591</v>
      </c>
      <c r="E43" s="611">
        <v>4554795</v>
      </c>
      <c r="F43" s="612">
        <f>ROUND((-+D43+(E43*Capital!$C$9))/Capital!$C$10,2)</f>
        <v>-14039863.09</v>
      </c>
      <c r="G43" s="612">
        <f>ROUND((-+D43+(E43*Capital!$D$9))/Capital!$D$10,2)</f>
        <v>-14084585.369999999</v>
      </c>
    </row>
    <row r="44" spans="2:7">
      <c r="B44" s="610">
        <v>10.33</v>
      </c>
      <c r="C44" s="597" t="s">
        <v>767</v>
      </c>
      <c r="D44" s="611">
        <v>-1042927</v>
      </c>
      <c r="E44" s="611">
        <v>41603405</v>
      </c>
      <c r="F44" s="612">
        <f>ROUND((-+D44+(E44*Capital!$C$9))/Capital!$C$10,2)</f>
        <v>7370829.7400000002</v>
      </c>
      <c r="G44" s="612">
        <f>ROUND((-+D44+(E44*Capital!$D$9))/Capital!$D$10,2)</f>
        <v>6962337.3899999997</v>
      </c>
    </row>
    <row r="45" spans="2:7">
      <c r="B45" s="610">
        <v>10.34</v>
      </c>
      <c r="C45" s="597" t="s">
        <v>768</v>
      </c>
      <c r="D45" s="611">
        <v>-13649989</v>
      </c>
      <c r="E45" s="611">
        <v>32790782</v>
      </c>
      <c r="F45" s="612">
        <f>ROUND((-+D45+(E45*Capital!$C$9))/Capital!$C$10,2)</f>
        <v>26457767.370000001</v>
      </c>
      <c r="G45" s="612">
        <f>ROUND((-+D45+(E45*Capital!$D$9))/Capital!$D$10,2)</f>
        <v>26135803.73</v>
      </c>
    </row>
    <row r="46" spans="2:7">
      <c r="B46" s="610">
        <v>10.35</v>
      </c>
      <c r="C46" s="597" t="s">
        <v>769</v>
      </c>
      <c r="D46" s="611">
        <v>1272207</v>
      </c>
      <c r="E46" s="611">
        <v>7448028</v>
      </c>
      <c r="F46" s="612">
        <f>ROUND((-+D46+(E46*Capital!$C$9))/Capital!$C$10,2)</f>
        <v>-1028752.15</v>
      </c>
      <c r="G46" s="612">
        <f>ROUND((-+D46+(E46*Capital!$D$9))/Capital!$D$10,2)</f>
        <v>-1101882.28</v>
      </c>
    </row>
    <row r="47" spans="2:7">
      <c r="B47" s="610">
        <v>10.36</v>
      </c>
      <c r="C47" s="597" t="s">
        <v>770</v>
      </c>
      <c r="D47" s="611">
        <v>-1471578</v>
      </c>
      <c r="E47" s="611">
        <v>-1323561</v>
      </c>
      <c r="F47" s="612">
        <f>ROUND((-+D47+(E47*Capital!$C$9))/Capital!$C$10,2)</f>
        <v>2187604.13</v>
      </c>
      <c r="G47" s="612">
        <f>ROUND((-+D47+(E47*Capital!$D$9))/Capital!$D$10,2)</f>
        <v>2200599.81</v>
      </c>
    </row>
    <row r="48" spans="2:7">
      <c r="B48" s="610">
        <v>10.37</v>
      </c>
      <c r="C48" s="597" t="s">
        <v>771</v>
      </c>
      <c r="D48" s="611">
        <v>-2080041</v>
      </c>
      <c r="E48" s="611">
        <v>19171835</v>
      </c>
      <c r="F48" s="612">
        <f>ROUND((-+D48+(E48*Capital!$C$9))/Capital!$C$10,2)</f>
        <v>5971147.4000000004</v>
      </c>
      <c r="G48" s="612">
        <f>ROUND((-+D48+(E48*Capital!$D$9))/Capital!$D$10,2)</f>
        <v>5782904.4500000002</v>
      </c>
    </row>
    <row r="49" spans="2:7">
      <c r="B49" s="610">
        <v>10.38</v>
      </c>
      <c r="C49" s="597" t="s">
        <v>772</v>
      </c>
      <c r="D49" s="611"/>
      <c r="E49" s="611"/>
      <c r="F49" s="612"/>
      <c r="G49" s="612"/>
    </row>
    <row r="50" spans="2:7">
      <c r="B50" s="610"/>
      <c r="C50" s="606" t="s">
        <v>773</v>
      </c>
      <c r="D50" s="607">
        <f>SUM(D12:D49)</f>
        <v>4171785</v>
      </c>
      <c r="E50" s="607">
        <f t="shared" ref="E50:G50" si="0">SUM(E12:E49)</f>
        <v>362901800</v>
      </c>
      <c r="F50" s="607">
        <f t="shared" si="0"/>
        <v>42936583.960000001</v>
      </c>
      <c r="G50" s="607">
        <f t="shared" si="0"/>
        <v>39373351.399999999</v>
      </c>
    </row>
    <row r="51" spans="2:7">
      <c r="B51" s="610"/>
      <c r="C51" s="606" t="s">
        <v>774</v>
      </c>
      <c r="D51" s="607">
        <f>+D50+D11</f>
        <v>229503553</v>
      </c>
      <c r="E51" s="607">
        <f t="shared" ref="E51:G51" si="1">+E50+E11</f>
        <v>3825186519</v>
      </c>
      <c r="F51" s="607">
        <f t="shared" si="1"/>
        <v>153940368.38</v>
      </c>
      <c r="G51" s="607">
        <f t="shared" si="1"/>
        <v>116381918.35999998</v>
      </c>
    </row>
    <row r="52" spans="2:7">
      <c r="D52" s="611"/>
      <c r="E52" s="611"/>
      <c r="F52" s="611"/>
    </row>
    <row r="53" spans="2:7">
      <c r="D53" s="611"/>
      <c r="E53" s="611"/>
      <c r="F53" s="611"/>
    </row>
    <row r="54" spans="2:7">
      <c r="D54" s="611"/>
      <c r="E54" s="611"/>
      <c r="F54" s="611"/>
    </row>
    <row r="55" spans="2:7">
      <c r="D55" s="611"/>
      <c r="E55" s="611"/>
      <c r="F55" s="611"/>
    </row>
    <row r="56" spans="2:7">
      <c r="D56" s="611"/>
      <c r="E56" s="611"/>
      <c r="F56" s="611"/>
    </row>
  </sheetData>
  <pageMargins left="0.2" right="0.2" top="0.75" bottom="0.5" header="0.3" footer="0.3"/>
  <pageSetup scale="67" orientation="landscape" r:id="rId1"/>
  <headerFooter>
    <oddFooter>&amp;L&amp;F &amp;A &amp;D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>
  <dimension ref="B4:D12"/>
  <sheetViews>
    <sheetView zoomScaleNormal="100" workbookViewId="0">
      <selection activeCell="B46" sqref="B46"/>
    </sheetView>
  </sheetViews>
  <sheetFormatPr defaultRowHeight="15"/>
  <cols>
    <col min="2" max="2" width="30.42578125" customWidth="1"/>
    <col min="3" max="3" width="15.5703125" customWidth="1"/>
    <col min="4" max="4" width="19.85546875" customWidth="1"/>
  </cols>
  <sheetData>
    <row r="4" spans="2:4" ht="15.75">
      <c r="B4" s="617"/>
      <c r="C4" s="180" t="s">
        <v>662</v>
      </c>
      <c r="D4" s="618" t="s">
        <v>777</v>
      </c>
    </row>
    <row r="5" spans="2:4" ht="15.75">
      <c r="B5" s="619" t="s">
        <v>778</v>
      </c>
      <c r="C5" s="614">
        <v>3.2199999999999999E-2</v>
      </c>
      <c r="D5" s="620">
        <v>1E-3</v>
      </c>
    </row>
    <row r="6" spans="2:4" ht="15.75">
      <c r="B6" s="621" t="s">
        <v>779</v>
      </c>
      <c r="C6" s="614">
        <v>1E-3</v>
      </c>
      <c r="D6" s="620">
        <v>3.2899999999999999E-2</v>
      </c>
    </row>
    <row r="7" spans="2:4" ht="15.75">
      <c r="B7" s="619" t="s">
        <v>780</v>
      </c>
      <c r="C7" s="614">
        <v>0</v>
      </c>
      <c r="D7" s="620">
        <v>0</v>
      </c>
    </row>
    <row r="8" spans="2:4" ht="15.75">
      <c r="B8" s="622" t="s">
        <v>781</v>
      </c>
      <c r="C8" s="614">
        <v>5.1799999999999999E-2</v>
      </c>
      <c r="D8" s="620">
        <v>4.4999999999999998E-2</v>
      </c>
    </row>
    <row r="9" spans="2:4" ht="15.75">
      <c r="B9" s="623" t="s">
        <v>729</v>
      </c>
      <c r="C9" s="615">
        <f>SUM(C5:C8)</f>
        <v>8.4999999999999992E-2</v>
      </c>
      <c r="D9" s="624">
        <f>SUM(D5:D8)</f>
        <v>7.8899999999999998E-2</v>
      </c>
    </row>
    <row r="10" spans="2:4" ht="15.75">
      <c r="B10" s="623" t="s">
        <v>802</v>
      </c>
      <c r="C10" s="616">
        <v>0.62126199999999998</v>
      </c>
      <c r="D10" s="625">
        <v>0.62126199999999998</v>
      </c>
    </row>
    <row r="11" spans="2:4" ht="15.75">
      <c r="B11" s="623" t="s">
        <v>802</v>
      </c>
      <c r="C11" s="616">
        <v>0.62189099999999997</v>
      </c>
      <c r="D11" s="625">
        <v>0.62189099999999997</v>
      </c>
    </row>
    <row r="12" spans="2:4" ht="15.75">
      <c r="B12" s="626" t="s">
        <v>639</v>
      </c>
      <c r="C12" s="627">
        <v>0.35</v>
      </c>
      <c r="D12" s="628">
        <v>0.35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2:I52"/>
  <sheetViews>
    <sheetView zoomScaleNormal="100" workbookViewId="0">
      <selection activeCell="B52" sqref="B52"/>
    </sheetView>
  </sheetViews>
  <sheetFormatPr defaultColWidth="6" defaultRowHeight="15.75"/>
  <cols>
    <col min="1" max="1" width="6" style="18"/>
    <col min="2" max="2" width="33.7109375" style="18" customWidth="1"/>
    <col min="3" max="9" width="20.7109375" style="18" customWidth="1"/>
    <col min="10" max="16384" width="6" style="18"/>
  </cols>
  <sheetData>
    <row r="2" spans="1:9">
      <c r="A2" s="770" t="s">
        <v>53</v>
      </c>
      <c r="B2" s="770"/>
      <c r="C2" s="770"/>
      <c r="D2" s="770"/>
      <c r="E2" s="770"/>
      <c r="F2" s="770"/>
      <c r="G2" s="770"/>
      <c r="H2" s="771"/>
      <c r="I2" s="771"/>
    </row>
    <row r="3" spans="1:9">
      <c r="A3" s="770" t="s">
        <v>55</v>
      </c>
      <c r="B3" s="770"/>
      <c r="C3" s="770"/>
      <c r="D3" s="770"/>
      <c r="E3" s="770"/>
      <c r="F3" s="770"/>
      <c r="G3" s="770"/>
      <c r="H3" s="771"/>
      <c r="I3" s="771"/>
    </row>
    <row r="4" spans="1:9">
      <c r="A4" s="770" t="s">
        <v>54</v>
      </c>
      <c r="B4" s="770"/>
      <c r="C4" s="770"/>
      <c r="D4" s="770"/>
      <c r="E4" s="770"/>
      <c r="F4" s="770"/>
      <c r="G4" s="770"/>
      <c r="H4" s="771"/>
      <c r="I4" s="771"/>
    </row>
    <row r="5" spans="1:9">
      <c r="A5" s="770" t="s">
        <v>171</v>
      </c>
      <c r="B5" s="770"/>
      <c r="C5" s="770"/>
      <c r="D5" s="770"/>
      <c r="E5" s="770"/>
      <c r="F5" s="770"/>
      <c r="G5" s="770"/>
      <c r="H5" s="771"/>
      <c r="I5" s="771"/>
    </row>
    <row r="6" spans="1:9">
      <c r="A6" s="11"/>
      <c r="B6" s="11"/>
      <c r="C6" s="11" t="s">
        <v>173</v>
      </c>
      <c r="D6" s="11" t="s">
        <v>161</v>
      </c>
      <c r="E6" s="11" t="s">
        <v>176</v>
      </c>
      <c r="F6" s="11" t="s">
        <v>178</v>
      </c>
      <c r="G6" s="11" t="s">
        <v>19</v>
      </c>
      <c r="H6" s="11" t="s">
        <v>181</v>
      </c>
      <c r="I6" s="11" t="s">
        <v>183</v>
      </c>
    </row>
    <row r="7" spans="1:9">
      <c r="A7" s="12" t="s">
        <v>37</v>
      </c>
      <c r="B7" s="12"/>
      <c r="C7" s="12" t="s">
        <v>174</v>
      </c>
      <c r="D7" s="12" t="s">
        <v>175</v>
      </c>
      <c r="E7" s="12" t="s">
        <v>177</v>
      </c>
      <c r="F7" s="12" t="s">
        <v>179</v>
      </c>
      <c r="G7" s="12" t="s">
        <v>180</v>
      </c>
      <c r="H7" s="12" t="s">
        <v>182</v>
      </c>
      <c r="I7" s="12" t="s">
        <v>184</v>
      </c>
    </row>
    <row r="8" spans="1:9">
      <c r="A8" s="13" t="s">
        <v>38</v>
      </c>
      <c r="B8" s="12" t="s">
        <v>39</v>
      </c>
      <c r="C8" s="12" t="s">
        <v>163</v>
      </c>
      <c r="D8" s="12" t="s">
        <v>164</v>
      </c>
      <c r="E8" s="12" t="s">
        <v>165</v>
      </c>
      <c r="F8" s="12" t="s">
        <v>166</v>
      </c>
      <c r="G8" s="12" t="s">
        <v>167</v>
      </c>
      <c r="H8" s="12" t="s">
        <v>168</v>
      </c>
      <c r="I8" s="12" t="s">
        <v>169</v>
      </c>
    </row>
    <row r="9" spans="1:9">
      <c r="A9" s="14"/>
      <c r="B9" s="15"/>
      <c r="C9" s="14" t="s">
        <v>191</v>
      </c>
      <c r="D9" s="14" t="s">
        <v>192</v>
      </c>
      <c r="E9" s="14" t="s">
        <v>193</v>
      </c>
      <c r="F9" s="14" t="s">
        <v>194</v>
      </c>
      <c r="G9" s="14" t="s">
        <v>195</v>
      </c>
      <c r="H9" s="14" t="s">
        <v>196</v>
      </c>
      <c r="I9" s="17" t="s">
        <v>197</v>
      </c>
    </row>
    <row r="10" spans="1:9">
      <c r="A10" s="20">
        <v>1</v>
      </c>
      <c r="B10" s="22" t="s">
        <v>0</v>
      </c>
      <c r="C10" s="23"/>
      <c r="D10" s="23"/>
      <c r="E10" s="23"/>
      <c r="F10" s="23"/>
      <c r="G10" s="23"/>
    </row>
    <row r="11" spans="1:9">
      <c r="A11" s="20">
        <f>1+A10</f>
        <v>2</v>
      </c>
      <c r="B11" s="22" t="s">
        <v>1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  <c r="H11" s="30">
        <v>0</v>
      </c>
      <c r="I11" s="30">
        <v>0</v>
      </c>
    </row>
    <row r="12" spans="1:9">
      <c r="A12" s="20">
        <f t="shared" ref="A12:A51" si="0">1+A11</f>
        <v>3</v>
      </c>
      <c r="B12" s="24" t="s">
        <v>2</v>
      </c>
      <c r="C12" s="23"/>
      <c r="D12" s="23"/>
      <c r="E12" s="23"/>
      <c r="F12" s="23"/>
      <c r="G12" s="23"/>
      <c r="I12" s="23"/>
    </row>
    <row r="13" spans="1:9">
      <c r="A13" s="20">
        <f t="shared" si="0"/>
        <v>4</v>
      </c>
      <c r="B13" s="24" t="s">
        <v>3</v>
      </c>
      <c r="C13" s="23"/>
      <c r="D13" s="23"/>
      <c r="E13" s="23"/>
      <c r="F13" s="23"/>
      <c r="G13" s="23"/>
      <c r="I13" s="23"/>
    </row>
    <row r="14" spans="1:9">
      <c r="A14" s="20">
        <f t="shared" si="0"/>
        <v>5</v>
      </c>
      <c r="B14" s="24" t="s">
        <v>4</v>
      </c>
      <c r="C14" s="23"/>
      <c r="D14" s="23"/>
      <c r="E14" s="23"/>
      <c r="F14" s="23"/>
      <c r="G14" s="23"/>
      <c r="I14" s="23"/>
    </row>
    <row r="15" spans="1:9">
      <c r="A15" s="20">
        <f t="shared" si="0"/>
        <v>6</v>
      </c>
      <c r="B15" s="8" t="s">
        <v>5</v>
      </c>
      <c r="C15" s="32">
        <f>SUM(C11:C14)</f>
        <v>0</v>
      </c>
      <c r="D15" s="32">
        <f>SUM(D11:D14)</f>
        <v>0</v>
      </c>
      <c r="E15" s="32">
        <f>SUM(E11:E14)</f>
        <v>0</v>
      </c>
      <c r="F15" s="32">
        <f>SUM(F11:F14)</f>
        <v>0</v>
      </c>
      <c r="G15" s="32">
        <f t="shared" ref="G15:I15" si="1">SUM(G11:G14)</f>
        <v>0</v>
      </c>
      <c r="H15" s="32">
        <f t="shared" si="1"/>
        <v>0</v>
      </c>
      <c r="I15" s="32">
        <f t="shared" si="1"/>
        <v>0</v>
      </c>
    </row>
    <row r="16" spans="1:9">
      <c r="A16" s="20">
        <f t="shared" si="0"/>
        <v>7</v>
      </c>
      <c r="B16" s="24"/>
      <c r="C16" s="23"/>
      <c r="D16" s="23" t="s">
        <v>60</v>
      </c>
      <c r="E16" s="23" t="s">
        <v>60</v>
      </c>
      <c r="F16" s="23" t="s">
        <v>60</v>
      </c>
      <c r="G16" s="23"/>
      <c r="I16" s="23"/>
    </row>
    <row r="17" spans="1:9">
      <c r="A17" s="20">
        <f t="shared" si="0"/>
        <v>8</v>
      </c>
      <c r="B17" s="22" t="s">
        <v>6</v>
      </c>
      <c r="C17" s="23"/>
      <c r="D17" s="23"/>
      <c r="E17" s="23"/>
      <c r="F17" s="23"/>
      <c r="G17" s="23"/>
      <c r="I17" s="23"/>
    </row>
    <row r="18" spans="1:9">
      <c r="A18" s="20">
        <f t="shared" si="0"/>
        <v>9</v>
      </c>
      <c r="B18" s="24" t="s">
        <v>7</v>
      </c>
      <c r="C18" s="23"/>
      <c r="D18" s="23"/>
      <c r="E18" s="23"/>
      <c r="F18" s="23"/>
      <c r="G18" s="23"/>
      <c r="I18" s="23"/>
    </row>
    <row r="19" spans="1:9">
      <c r="A19" s="20">
        <f t="shared" si="0"/>
        <v>10</v>
      </c>
      <c r="B19" s="24" t="s">
        <v>8</v>
      </c>
      <c r="C19" s="29">
        <v>0</v>
      </c>
      <c r="D19" s="29">
        <v>0</v>
      </c>
      <c r="E19" s="29">
        <v>0</v>
      </c>
      <c r="F19" s="29">
        <f>+'Adj 10.31 P2.38'!E30+'Adj 10.31 P2.38'!E35+'Adj 10.31 P2.38'!E40</f>
        <v>96557.51999999996</v>
      </c>
      <c r="G19" s="29">
        <v>0</v>
      </c>
      <c r="H19" s="30">
        <v>0</v>
      </c>
      <c r="I19" s="29">
        <v>0</v>
      </c>
    </row>
    <row r="20" spans="1:9">
      <c r="A20" s="20">
        <f t="shared" si="0"/>
        <v>11</v>
      </c>
      <c r="B20" s="24" t="s">
        <v>9</v>
      </c>
      <c r="C20" s="23">
        <f>+'Adj 10.28 P2.35'!E13</f>
        <v>-70727</v>
      </c>
      <c r="D20" s="23"/>
      <c r="E20" s="23"/>
      <c r="F20" s="23">
        <f>+'Adj 10.31 P2.38'!E31+'Adj 10.31 P2.38'!E44</f>
        <v>10033392.857142858</v>
      </c>
      <c r="G20" s="23"/>
      <c r="I20" s="23"/>
    </row>
    <row r="21" spans="1:9">
      <c r="A21" s="20">
        <f t="shared" si="0"/>
        <v>12</v>
      </c>
      <c r="B21" s="25" t="s">
        <v>10</v>
      </c>
      <c r="C21" s="23"/>
      <c r="D21" s="23"/>
      <c r="E21" s="23"/>
      <c r="F21" s="23">
        <f>+'Adj 10.31 P2.38'!E36+'Adj 10.31 P2.38'!E38</f>
        <v>-672588.17666666326</v>
      </c>
      <c r="G21" s="23"/>
      <c r="I21" s="23"/>
    </row>
    <row r="22" spans="1:9">
      <c r="A22" s="20">
        <f t="shared" si="0"/>
        <v>13</v>
      </c>
      <c r="B22" s="25" t="s">
        <v>11</v>
      </c>
      <c r="C22" s="23"/>
      <c r="D22" s="23"/>
      <c r="E22" s="23"/>
      <c r="F22" s="23"/>
      <c r="G22" s="23"/>
      <c r="I22" s="23"/>
    </row>
    <row r="23" spans="1:9">
      <c r="A23" s="20">
        <f t="shared" si="0"/>
        <v>14</v>
      </c>
      <c r="B23" s="26" t="s">
        <v>12</v>
      </c>
      <c r="C23" s="33">
        <f t="shared" ref="C23:I23" si="2">SUM(C19:C22)</f>
        <v>-70727</v>
      </c>
      <c r="D23" s="33">
        <f t="shared" si="2"/>
        <v>0</v>
      </c>
      <c r="E23" s="33">
        <f t="shared" si="2"/>
        <v>0</v>
      </c>
      <c r="F23" s="33">
        <f t="shared" si="2"/>
        <v>9457362.2004761938</v>
      </c>
      <c r="G23" s="33">
        <f t="shared" si="2"/>
        <v>0</v>
      </c>
      <c r="H23" s="33">
        <f t="shared" si="2"/>
        <v>0</v>
      </c>
      <c r="I23" s="33">
        <f t="shared" si="2"/>
        <v>0</v>
      </c>
    </row>
    <row r="24" spans="1:9">
      <c r="A24" s="20">
        <f t="shared" si="0"/>
        <v>15</v>
      </c>
      <c r="B24" s="25"/>
      <c r="C24" s="23"/>
      <c r="D24" s="23"/>
      <c r="E24" s="23"/>
      <c r="F24" s="23"/>
      <c r="G24" s="23"/>
      <c r="I24" s="23"/>
    </row>
    <row r="25" spans="1:9">
      <c r="A25" s="20">
        <f t="shared" si="0"/>
        <v>16</v>
      </c>
      <c r="B25" s="25" t="s">
        <v>13</v>
      </c>
      <c r="C25" s="29">
        <f>+'Adj 10.28 P2.35'!E14</f>
        <v>-298670</v>
      </c>
      <c r="D25" s="29">
        <v>0</v>
      </c>
      <c r="E25" s="29">
        <v>0</v>
      </c>
      <c r="F25" s="29">
        <f>+'Adj 10.31 P2.38'!E39</f>
        <v>-10487160</v>
      </c>
      <c r="G25" s="29">
        <v>0</v>
      </c>
      <c r="H25" s="30">
        <f>+'Adj 10.33 P2.40'!F21</f>
        <v>5295052</v>
      </c>
      <c r="I25" s="29">
        <v>0</v>
      </c>
    </row>
    <row r="26" spans="1:9">
      <c r="A26" s="20">
        <f t="shared" si="0"/>
        <v>17</v>
      </c>
      <c r="B26" s="24" t="s">
        <v>14</v>
      </c>
      <c r="C26" s="179">
        <f>+'Adj 10.28 P2.35'!E15</f>
        <v>-247924</v>
      </c>
      <c r="D26" s="23"/>
      <c r="E26" s="23">
        <f>+'Adj 10.30 P2.37'!D27</f>
        <v>133118.99499999965</v>
      </c>
      <c r="F26" s="23"/>
      <c r="G26" s="23"/>
      <c r="I26" s="23"/>
    </row>
    <row r="27" spans="1:9">
      <c r="A27" s="20">
        <f t="shared" si="0"/>
        <v>18</v>
      </c>
      <c r="B27" s="24" t="s">
        <v>15</v>
      </c>
      <c r="C27" s="179">
        <f>+'Adj 10.28 P2.35'!E16</f>
        <v>-264098</v>
      </c>
      <c r="D27" s="23"/>
      <c r="E27" s="23">
        <f>+'Adj 10.30 P2.37'!E27</f>
        <v>-2009683.6866666647</v>
      </c>
      <c r="F27" s="23"/>
      <c r="G27" s="23"/>
      <c r="I27" s="23"/>
    </row>
    <row r="28" spans="1:9">
      <c r="A28" s="20">
        <f t="shared" si="0"/>
        <v>19</v>
      </c>
      <c r="B28" s="24" t="s">
        <v>612</v>
      </c>
      <c r="C28" s="179">
        <f>+'Adj 10.28 P2.35'!E17</f>
        <v>-222450</v>
      </c>
      <c r="D28" s="23"/>
      <c r="E28" s="23"/>
      <c r="F28" s="23"/>
      <c r="G28" s="23"/>
      <c r="I28" s="23"/>
    </row>
    <row r="29" spans="1:9">
      <c r="A29" s="20">
        <f t="shared" si="0"/>
        <v>20</v>
      </c>
      <c r="B29" s="24" t="s">
        <v>16</v>
      </c>
      <c r="C29" s="179">
        <f>+'Adj 10.28 P2.35'!E18+'Adj 10.28 P2.35'!E19</f>
        <v>-35902</v>
      </c>
      <c r="D29" s="23"/>
      <c r="E29" s="23"/>
      <c r="F29" s="23"/>
      <c r="G29" s="23"/>
      <c r="I29" s="23"/>
    </row>
    <row r="30" spans="1:9">
      <c r="A30" s="20">
        <f t="shared" si="0"/>
        <v>21</v>
      </c>
      <c r="B30" s="25" t="s">
        <v>17</v>
      </c>
      <c r="C30" s="23"/>
      <c r="D30" s="23"/>
      <c r="E30" s="23"/>
      <c r="F30" s="23"/>
      <c r="G30" s="23"/>
      <c r="I30" s="23"/>
    </row>
    <row r="31" spans="1:9">
      <c r="A31" s="20">
        <f t="shared" si="0"/>
        <v>22</v>
      </c>
      <c r="B31" s="24" t="s">
        <v>18</v>
      </c>
      <c r="C31" s="23">
        <f>+'Adj 10.28 P2.35'!E20</f>
        <v>-484751</v>
      </c>
      <c r="D31" s="23">
        <f>+'Adj 10.29 P2.36'!E16</f>
        <v>-874205</v>
      </c>
      <c r="E31" s="23"/>
      <c r="F31" s="23"/>
      <c r="G31" s="23"/>
      <c r="I31" s="23"/>
    </row>
    <row r="32" spans="1:9">
      <c r="A32" s="20">
        <f t="shared" si="0"/>
        <v>23</v>
      </c>
      <c r="B32" s="24" t="s">
        <v>19</v>
      </c>
      <c r="C32" s="23"/>
      <c r="D32" s="23"/>
      <c r="E32" s="23"/>
      <c r="F32" s="23"/>
      <c r="G32" s="23">
        <f>+'Adj 10.32 P2.39'!E32</f>
        <v>-9109590.6703219898</v>
      </c>
      <c r="I32" s="23"/>
    </row>
    <row r="33" spans="1:9">
      <c r="A33" s="20">
        <f t="shared" si="0"/>
        <v>24</v>
      </c>
      <c r="B33" s="24" t="s">
        <v>20</v>
      </c>
      <c r="C33" s="23"/>
      <c r="D33" s="23"/>
      <c r="E33" s="23"/>
      <c r="F33" s="23">
        <f>+'Adj 10.31 P2.38'!E37</f>
        <v>3468461.8237249996</v>
      </c>
      <c r="G33" s="23"/>
      <c r="I33" s="23"/>
    </row>
    <row r="34" spans="1:9">
      <c r="A34" s="20">
        <f t="shared" si="0"/>
        <v>25</v>
      </c>
      <c r="B34" s="22" t="s">
        <v>21</v>
      </c>
      <c r="C34" s="23"/>
      <c r="D34" s="23"/>
      <c r="E34" s="23">
        <f>+'Adj 10.30 P2.37'!F47</f>
        <v>11378140.093527509</v>
      </c>
      <c r="F34" s="23"/>
      <c r="G34" s="23"/>
      <c r="I34" s="23"/>
    </row>
    <row r="35" spans="1:9">
      <c r="A35" s="20">
        <f t="shared" si="0"/>
        <v>26</v>
      </c>
      <c r="B35" s="25" t="s">
        <v>22</v>
      </c>
      <c r="C35" s="23"/>
      <c r="D35" s="23"/>
      <c r="E35" s="23"/>
      <c r="F35" s="23"/>
      <c r="G35" s="23"/>
      <c r="I35" s="23">
        <f>+'Adj 10.34 P2.41'!E16</f>
        <v>4557725</v>
      </c>
    </row>
    <row r="36" spans="1:9">
      <c r="A36" s="20">
        <f t="shared" si="0"/>
        <v>27</v>
      </c>
      <c r="B36" s="25" t="s">
        <v>23</v>
      </c>
      <c r="C36" s="23"/>
      <c r="D36" s="23"/>
      <c r="E36" s="23"/>
      <c r="F36" s="23"/>
      <c r="G36" s="23"/>
      <c r="I36" s="23"/>
    </row>
    <row r="37" spans="1:9">
      <c r="A37" s="20">
        <f t="shared" si="0"/>
        <v>28</v>
      </c>
      <c r="B37" s="24" t="s">
        <v>24</v>
      </c>
      <c r="C37" s="23">
        <f>+'Adj 10.28 P2.35'!E23</f>
        <v>-126215</v>
      </c>
      <c r="D37" s="23"/>
      <c r="E37" s="23"/>
      <c r="F37" s="23"/>
      <c r="G37" s="23"/>
      <c r="I37" s="23"/>
    </row>
    <row r="38" spans="1:9">
      <c r="A38" s="20">
        <f t="shared" si="0"/>
        <v>29</v>
      </c>
      <c r="B38" s="24" t="s">
        <v>25</v>
      </c>
      <c r="C38" s="23">
        <f>+'Adj 10.28 P2.35'!E28</f>
        <v>612758</v>
      </c>
      <c r="D38" s="23">
        <f>+'Adj 10.29 P2.36'!E18</f>
        <v>305971.75</v>
      </c>
      <c r="E38" s="23">
        <f>+'Adj 10.30 P2.37'!F51</f>
        <v>-3325551.3906512954</v>
      </c>
      <c r="F38" s="23">
        <f>+'Adj 10.31 P2.38'!E48</f>
        <v>2220955.0915295822</v>
      </c>
      <c r="G38" s="27"/>
      <c r="H38" s="31">
        <f>+'Adj 10.33 P2.40'!F29</f>
        <v>-1853268</v>
      </c>
      <c r="I38" s="23">
        <f>+'Adj 10.34 P2.41'!E18</f>
        <v>-1595204</v>
      </c>
    </row>
    <row r="39" spans="1:9">
      <c r="A39" s="20">
        <f t="shared" si="0"/>
        <v>30</v>
      </c>
      <c r="B39" s="24" t="s">
        <v>26</v>
      </c>
      <c r="C39" s="23"/>
      <c r="D39" s="23"/>
      <c r="E39" s="23"/>
      <c r="G39" s="27"/>
      <c r="I39" s="23"/>
    </row>
    <row r="40" spans="1:9">
      <c r="A40" s="20">
        <f t="shared" si="0"/>
        <v>31</v>
      </c>
      <c r="B40" s="28" t="s">
        <v>27</v>
      </c>
      <c r="C40" s="33">
        <f t="shared" ref="C40:I40" si="3">SUM(C23:C39)</f>
        <v>-1137979</v>
      </c>
      <c r="D40" s="33">
        <f t="shared" si="3"/>
        <v>-568233.25</v>
      </c>
      <c r="E40" s="33">
        <f t="shared" si="3"/>
        <v>6176024.0112095494</v>
      </c>
      <c r="F40" s="33">
        <f t="shared" si="3"/>
        <v>4659619.1157307755</v>
      </c>
      <c r="G40" s="33">
        <f t="shared" si="3"/>
        <v>-9109590.6703219898</v>
      </c>
      <c r="H40" s="33">
        <f t="shared" si="3"/>
        <v>3441784</v>
      </c>
      <c r="I40" s="33">
        <f t="shared" si="3"/>
        <v>2962521</v>
      </c>
    </row>
    <row r="41" spans="1:9">
      <c r="A41" s="20">
        <f t="shared" si="0"/>
        <v>32</v>
      </c>
      <c r="B41" s="28"/>
      <c r="C41" s="16"/>
      <c r="D41" s="16"/>
      <c r="E41" s="16"/>
      <c r="F41" s="16"/>
      <c r="G41" s="16"/>
      <c r="H41" s="16"/>
      <c r="I41" s="16"/>
    </row>
    <row r="42" spans="1:9" ht="16.5" thickBot="1">
      <c r="A42" s="20">
        <f t="shared" si="0"/>
        <v>33</v>
      </c>
      <c r="B42" s="8" t="s">
        <v>28</v>
      </c>
      <c r="C42" s="34">
        <f t="shared" ref="C42:I42" si="4">+C15-C40</f>
        <v>1137979</v>
      </c>
      <c r="D42" s="34">
        <f t="shared" si="4"/>
        <v>568233.25</v>
      </c>
      <c r="E42" s="34">
        <f t="shared" si="4"/>
        <v>-6176024.0112095494</v>
      </c>
      <c r="F42" s="34">
        <f t="shared" si="4"/>
        <v>-4659619.1157307755</v>
      </c>
      <c r="G42" s="34">
        <f t="shared" si="4"/>
        <v>9109590.6703219898</v>
      </c>
      <c r="H42" s="34">
        <f t="shared" si="4"/>
        <v>-3441784</v>
      </c>
      <c r="I42" s="34">
        <f t="shared" si="4"/>
        <v>-2962521</v>
      </c>
    </row>
    <row r="43" spans="1:9" ht="16.5" thickTop="1">
      <c r="A43" s="20">
        <f t="shared" si="0"/>
        <v>34</v>
      </c>
      <c r="B43" s="24"/>
      <c r="C43" s="23"/>
      <c r="D43" s="23"/>
      <c r="E43" s="23"/>
      <c r="F43" s="23"/>
      <c r="G43" s="23"/>
      <c r="I43" s="23"/>
    </row>
    <row r="44" spans="1:9">
      <c r="A44" s="20">
        <f t="shared" si="0"/>
        <v>35</v>
      </c>
      <c r="B44" s="8" t="s">
        <v>29</v>
      </c>
      <c r="C44" s="23"/>
      <c r="D44" s="23"/>
      <c r="E44" s="23"/>
      <c r="F44" s="23"/>
      <c r="G44" s="23"/>
      <c r="I44" s="23"/>
    </row>
    <row r="45" spans="1:9">
      <c r="A45" s="20">
        <f t="shared" si="0"/>
        <v>36</v>
      </c>
      <c r="B45" s="24" t="s">
        <v>611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  <c r="H45" s="30">
        <v>0</v>
      </c>
      <c r="I45" s="29"/>
    </row>
    <row r="46" spans="1:9">
      <c r="A46" s="20">
        <f t="shared" si="0"/>
        <v>37</v>
      </c>
      <c r="B46" s="24" t="s">
        <v>30</v>
      </c>
      <c r="C46" s="23"/>
      <c r="D46" s="23"/>
      <c r="E46" s="23"/>
      <c r="F46" s="23">
        <f>+'Adj 10.31 P2.38'!E26</f>
        <v>-105539454.48800372</v>
      </c>
      <c r="G46" s="23">
        <f>+'Adj 10.32 P2.39'!E39</f>
        <v>4554795.3351609949</v>
      </c>
      <c r="I46" s="29"/>
    </row>
    <row r="47" spans="1:9">
      <c r="A47" s="20">
        <f t="shared" si="0"/>
        <v>38</v>
      </c>
      <c r="B47" s="24" t="s">
        <v>31</v>
      </c>
      <c r="C47" s="23"/>
      <c r="D47" s="23"/>
      <c r="E47" s="23"/>
      <c r="F47" s="23"/>
      <c r="G47" s="23"/>
      <c r="I47" s="23">
        <f>+'Adj 10.34 P2.41'!E23+'Adj 10.34 P2.41'!E24</f>
        <v>54711178</v>
      </c>
    </row>
    <row r="48" spans="1:9">
      <c r="A48" s="20">
        <f t="shared" si="0"/>
        <v>39</v>
      </c>
      <c r="B48" s="24" t="s">
        <v>32</v>
      </c>
      <c r="C48" s="23"/>
      <c r="D48" s="23"/>
      <c r="E48" s="23"/>
      <c r="F48" s="23"/>
      <c r="G48" s="23"/>
      <c r="I48" s="23">
        <f>+'Adj 10.34 P2.41'!E25</f>
        <v>-19148918</v>
      </c>
    </row>
    <row r="49" spans="1:9">
      <c r="A49" s="20">
        <f t="shared" si="0"/>
        <v>40</v>
      </c>
      <c r="B49" s="24" t="s">
        <v>33</v>
      </c>
      <c r="C49" s="23"/>
      <c r="D49" s="23"/>
      <c r="E49" s="23"/>
      <c r="F49" s="23"/>
      <c r="G49" s="23"/>
      <c r="I49" s="23"/>
    </row>
    <row r="50" spans="1:9">
      <c r="A50" s="20">
        <f t="shared" si="0"/>
        <v>41</v>
      </c>
      <c r="B50" s="24" t="s">
        <v>34</v>
      </c>
      <c r="C50" s="23"/>
      <c r="D50" s="23"/>
      <c r="E50" s="23"/>
      <c r="F50" s="23"/>
      <c r="G50" s="23"/>
      <c r="I50" s="23"/>
    </row>
    <row r="51" spans="1:9" ht="16.5" thickBot="1">
      <c r="A51" s="20">
        <f t="shared" si="0"/>
        <v>42</v>
      </c>
      <c r="B51" s="24" t="s">
        <v>35</v>
      </c>
      <c r="C51" s="34">
        <f t="shared" ref="C51:I51" si="5">SUM(C45:C50)</f>
        <v>0</v>
      </c>
      <c r="D51" s="34">
        <f t="shared" si="5"/>
        <v>0</v>
      </c>
      <c r="E51" s="34">
        <f t="shared" si="5"/>
        <v>0</v>
      </c>
      <c r="F51" s="34">
        <f t="shared" si="5"/>
        <v>-105539454.48800372</v>
      </c>
      <c r="G51" s="34">
        <f t="shared" si="5"/>
        <v>4554795.3351609949</v>
      </c>
      <c r="H51" s="34">
        <f t="shared" si="5"/>
        <v>0</v>
      </c>
      <c r="I51" s="34">
        <f t="shared" si="5"/>
        <v>35562260</v>
      </c>
    </row>
    <row r="52" spans="1:9" ht="16.5" thickTop="1">
      <c r="A52" s="25"/>
      <c r="B52" s="25"/>
    </row>
  </sheetData>
  <mergeCells count="4">
    <mergeCell ref="A2:I2"/>
    <mergeCell ref="A3:I3"/>
    <mergeCell ref="A4:I4"/>
    <mergeCell ref="A5:I5"/>
  </mergeCells>
  <printOptions horizontalCentered="1"/>
  <pageMargins left="0.5" right="0.5" top="0.75" bottom="0.3" header="0.3" footer="0.3"/>
  <pageSetup scale="68" orientation="landscape" r:id="rId1"/>
  <headerFooter scaleWithDoc="0">
    <oddHeader>&amp;R&amp;"Times New Roman,Regular"&amp;12UE-090704/UG-090705
Exhibit No. KHB-2
Page 2.6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2:K52"/>
  <sheetViews>
    <sheetView topLeftCell="A25" zoomScaleNormal="100" workbookViewId="0">
      <selection activeCell="B52" sqref="B52"/>
    </sheetView>
  </sheetViews>
  <sheetFormatPr defaultColWidth="6" defaultRowHeight="15.75"/>
  <cols>
    <col min="1" max="1" width="6" style="18"/>
    <col min="2" max="2" width="33.7109375" style="18" customWidth="1"/>
    <col min="3" max="11" width="20.7109375" style="18" customWidth="1"/>
    <col min="12" max="16384" width="6" style="18"/>
  </cols>
  <sheetData>
    <row r="2" spans="1:11">
      <c r="A2" s="770" t="s">
        <v>53</v>
      </c>
      <c r="B2" s="772"/>
      <c r="C2" s="772"/>
      <c r="D2" s="772"/>
      <c r="E2" s="772"/>
      <c r="F2" s="772"/>
      <c r="G2" s="772"/>
      <c r="H2" s="772"/>
      <c r="I2" s="195"/>
      <c r="J2" s="195"/>
      <c r="K2" s="195"/>
    </row>
    <row r="3" spans="1:11">
      <c r="A3" s="770" t="s">
        <v>55</v>
      </c>
      <c r="B3" s="772"/>
      <c r="C3" s="772"/>
      <c r="D3" s="772"/>
      <c r="E3" s="772"/>
      <c r="F3" s="772"/>
      <c r="G3" s="772"/>
      <c r="H3" s="772"/>
      <c r="I3" s="195"/>
      <c r="J3" s="195"/>
      <c r="K3" s="195"/>
    </row>
    <row r="4" spans="1:11">
      <c r="A4" s="770" t="s">
        <v>54</v>
      </c>
      <c r="B4" s="772"/>
      <c r="C4" s="772"/>
      <c r="D4" s="772"/>
      <c r="E4" s="772"/>
      <c r="F4" s="772"/>
      <c r="G4" s="772"/>
      <c r="H4" s="772"/>
      <c r="I4" s="195"/>
      <c r="J4" s="195"/>
      <c r="K4" s="195"/>
    </row>
    <row r="5" spans="1:11">
      <c r="A5" s="773" t="s">
        <v>172</v>
      </c>
      <c r="B5" s="774"/>
      <c r="C5" s="774"/>
      <c r="D5" s="774"/>
      <c r="E5" s="774"/>
      <c r="F5" s="774"/>
      <c r="G5" s="774"/>
      <c r="H5" s="774"/>
      <c r="I5" s="195"/>
      <c r="J5" s="195"/>
      <c r="K5" s="195"/>
    </row>
    <row r="6" spans="1:11">
      <c r="A6" s="11"/>
      <c r="B6" s="11"/>
      <c r="C6" s="11" t="s">
        <v>342</v>
      </c>
      <c r="D6" s="11" t="s">
        <v>344</v>
      </c>
      <c r="E6" s="35" t="s">
        <v>334</v>
      </c>
      <c r="F6" s="35" t="s">
        <v>89</v>
      </c>
      <c r="G6" s="182"/>
      <c r="H6" s="180" t="s">
        <v>188</v>
      </c>
      <c r="I6" s="19"/>
      <c r="J6" s="19"/>
      <c r="K6" s="19"/>
    </row>
    <row r="7" spans="1:11">
      <c r="A7" s="12" t="s">
        <v>37</v>
      </c>
      <c r="B7" s="12"/>
      <c r="C7" s="12" t="s">
        <v>343</v>
      </c>
      <c r="D7" s="12" t="s">
        <v>345</v>
      </c>
      <c r="E7" s="36" t="s">
        <v>340</v>
      </c>
      <c r="F7" s="36" t="s">
        <v>347</v>
      </c>
      <c r="G7" s="12" t="s">
        <v>41</v>
      </c>
      <c r="H7" s="19" t="s">
        <v>189</v>
      </c>
      <c r="I7" s="19"/>
      <c r="J7" s="19"/>
      <c r="K7" s="19"/>
    </row>
    <row r="8" spans="1:11">
      <c r="A8" s="13" t="s">
        <v>38</v>
      </c>
      <c r="B8" s="12" t="s">
        <v>39</v>
      </c>
      <c r="C8" s="12" t="s">
        <v>185</v>
      </c>
      <c r="D8" s="12" t="s">
        <v>186</v>
      </c>
      <c r="E8" s="36" t="s">
        <v>187</v>
      </c>
      <c r="F8" s="36" t="s">
        <v>348</v>
      </c>
      <c r="G8" s="12" t="s">
        <v>46</v>
      </c>
      <c r="H8" s="19" t="s">
        <v>190</v>
      </c>
      <c r="I8" s="19"/>
      <c r="J8" s="19"/>
      <c r="K8" s="19"/>
    </row>
    <row r="9" spans="1:11">
      <c r="A9" s="14"/>
      <c r="B9" s="15"/>
      <c r="C9" s="14" t="s">
        <v>198</v>
      </c>
      <c r="D9" s="14" t="s">
        <v>199</v>
      </c>
      <c r="E9" s="37" t="s">
        <v>200</v>
      </c>
      <c r="F9" s="37" t="s">
        <v>349</v>
      </c>
      <c r="G9" s="17" t="s">
        <v>350</v>
      </c>
      <c r="H9" s="181" t="s">
        <v>351</v>
      </c>
      <c r="I9" s="21"/>
      <c r="J9" s="21"/>
      <c r="K9" s="19"/>
    </row>
    <row r="10" spans="1:11">
      <c r="A10" s="20">
        <v>1</v>
      </c>
      <c r="B10" s="22" t="s">
        <v>0</v>
      </c>
      <c r="C10" s="23"/>
      <c r="D10" s="23"/>
      <c r="E10" s="23"/>
      <c r="F10" s="23"/>
      <c r="G10" s="23"/>
      <c r="H10" s="23"/>
      <c r="I10" s="23"/>
    </row>
    <row r="11" spans="1:11">
      <c r="A11" s="20">
        <f>1+A10</f>
        <v>2</v>
      </c>
      <c r="B11" s="22" t="s">
        <v>1</v>
      </c>
      <c r="C11" s="29">
        <v>0</v>
      </c>
      <c r="D11" s="29">
        <v>0</v>
      </c>
      <c r="E11" s="29">
        <v>0</v>
      </c>
      <c r="F11" s="29">
        <v>0</v>
      </c>
      <c r="G11" s="29">
        <f>+E11+D11+C11+'EXH KBH-2 P2.6'!I11+'EXH KBH-2 P2.6'!H11+'EXH KBH-2 P2.6'!G11+'EXH KBH-2 P2.6'!F11+'EXH KBH-2 P2.6'!E11+'EXH KBH-2 P2.6'!D11+'EXH KBH-2 P2.6'!C11+'EXH KBH-2 P2.5'!C11+'EXH KBH-2 P2.5'!D11+'EXH KBH-2 P2.5'!E11+'EXH KBH-2 P2.5'!F11+'EXH KBH-2 P2.5'!G11+'EXH KBH-2 P2.5'!H11+'EXH KBH-2 P2.5'!I11+'EXH KBH-2 P2.4'!C11+'EXH KBH-2 P2.4'!D11+'EXH KBH-2 P2.4'!E11+'EXH KBH-2 P2.4'!F11+'EXH KBH-2 P2.4'!G11+'EXH KBH-2 P2.4'!H11+'EXH KBH-2 P2.4'!I11+'EXH KBH-2 P2.3'!C11+'EXH KBH-2 P2.3'!D11+'EXH KBH-2 P2.3'!E11+'EXH KBH-2 P2.3'!F11+'EXH KBH-2 P2.3'!G11+'EXH KBH-2 P2.3'!H11+'EXH KBH-2 P2.3'!I11+'EXH KBH-2 P2.2'!D11+'EXH KBH-2 P2.2'!E11+'EXH KBH-2 P2.2'!F11+'EXH KBH-2 P2.2'!G11+'EXH KBH-2 P2.2'!H11+'EXH KBH-2 P2.2'!I11+F11</f>
        <v>23523321.158480898</v>
      </c>
      <c r="H11" s="29">
        <f>+G11+'EXH KBH-2 P2.2'!C11</f>
        <v>2012468965.1484807</v>
      </c>
      <c r="I11" s="29"/>
      <c r="J11" s="30"/>
      <c r="K11" s="30"/>
    </row>
    <row r="12" spans="1:11">
      <c r="A12" s="20">
        <f t="shared" ref="A12:A51" si="0">1+A11</f>
        <v>3</v>
      </c>
      <c r="B12" s="24" t="s">
        <v>2</v>
      </c>
      <c r="C12" s="23"/>
      <c r="D12" s="23"/>
      <c r="E12" s="23"/>
      <c r="F12" s="23"/>
      <c r="G12" s="179">
        <f>+E12+D12+C12+'EXH KBH-2 P2.6'!I12+'EXH KBH-2 P2.6'!H12+'EXH KBH-2 P2.6'!G12+'EXH KBH-2 P2.6'!F12+'EXH KBH-2 P2.6'!E12+'EXH KBH-2 P2.6'!D12+'EXH KBH-2 P2.6'!C12+'EXH KBH-2 P2.5'!C12+'EXH KBH-2 P2.5'!D12+'EXH KBH-2 P2.5'!E12+'EXH KBH-2 P2.5'!F12+'EXH KBH-2 P2.5'!G12+'EXH KBH-2 P2.5'!H12+'EXH KBH-2 P2.5'!I12+'EXH KBH-2 P2.4'!C12+'EXH KBH-2 P2.4'!D12+'EXH KBH-2 P2.4'!E12+'EXH KBH-2 P2.4'!F12+'EXH KBH-2 P2.4'!G12+'EXH KBH-2 P2.4'!H12+'EXH KBH-2 P2.4'!I12+'EXH KBH-2 P2.3'!C12+'EXH KBH-2 P2.3'!D12+'EXH KBH-2 P2.3'!E12+'EXH KBH-2 P2.3'!F12+'EXH KBH-2 P2.3'!G12+'EXH KBH-2 P2.3'!H12+'EXH KBH-2 P2.3'!I12+'EXH KBH-2 P2.2'!D12+'EXH KBH-2 P2.2'!E12+'EXH KBH-2 P2.2'!F12+'EXH KBH-2 P2.2'!G12+'EXH KBH-2 P2.2'!H12+'EXH KBH-2 P2.2'!I12+F12</f>
        <v>-20041</v>
      </c>
      <c r="H12" s="179">
        <f>+G12+'EXH KBH-2 P2.2'!C12</f>
        <v>349278.57</v>
      </c>
      <c r="I12" s="23"/>
      <c r="K12" s="23"/>
    </row>
    <row r="13" spans="1:11">
      <c r="A13" s="20">
        <f t="shared" si="0"/>
        <v>4</v>
      </c>
      <c r="B13" s="24" t="s">
        <v>3</v>
      </c>
      <c r="C13" s="23"/>
      <c r="D13" s="23"/>
      <c r="E13" s="23"/>
      <c r="F13" s="23"/>
      <c r="G13" s="179">
        <f>+E13+D13+C13+'EXH KBH-2 P2.6'!I13+'EXH KBH-2 P2.6'!H13+'EXH KBH-2 P2.6'!G13+'EXH KBH-2 P2.6'!F13+'EXH KBH-2 P2.6'!E13+'EXH KBH-2 P2.6'!D13+'EXH KBH-2 P2.6'!C13+'EXH KBH-2 P2.5'!C13+'EXH KBH-2 P2.5'!D13+'EXH KBH-2 P2.5'!E13+'EXH KBH-2 P2.5'!F13+'EXH KBH-2 P2.5'!G13+'EXH KBH-2 P2.5'!H13+'EXH KBH-2 P2.5'!I13+'EXH KBH-2 P2.4'!C13+'EXH KBH-2 P2.4'!D13+'EXH KBH-2 P2.4'!E13+'EXH KBH-2 P2.4'!F13+'EXH KBH-2 P2.4'!G13+'EXH KBH-2 P2.4'!H13+'EXH KBH-2 P2.4'!I13+'EXH KBH-2 P2.3'!C13+'EXH KBH-2 P2.3'!D13+'EXH KBH-2 P2.3'!E13+'EXH KBH-2 P2.3'!F13+'EXH KBH-2 P2.3'!G13+'EXH KBH-2 P2.3'!H13+'EXH KBH-2 P2.3'!I13+'EXH KBH-2 P2.2'!D13+'EXH KBH-2 P2.2'!E13+'EXH KBH-2 P2.2'!F13+'EXH KBH-2 P2.2'!G13+'EXH KBH-2 P2.2'!H13+'EXH KBH-2 P2.2'!I13+F13</f>
        <v>-152409715.24756333</v>
      </c>
      <c r="H13" s="179">
        <f>+G13+'EXH KBH-2 P2.2'!C13</f>
        <v>20933255.572436661</v>
      </c>
      <c r="I13" s="23"/>
      <c r="K13" s="23"/>
    </row>
    <row r="14" spans="1:11">
      <c r="A14" s="20">
        <f t="shared" si="0"/>
        <v>5</v>
      </c>
      <c r="B14" s="24" t="s">
        <v>4</v>
      </c>
      <c r="C14" s="23"/>
      <c r="D14" s="23"/>
      <c r="E14" s="23"/>
      <c r="F14" s="23"/>
      <c r="G14" s="179">
        <f>+E14+D14+C14+'EXH KBH-2 P2.6'!I14+'EXH KBH-2 P2.6'!H14+'EXH KBH-2 P2.6'!G14+'EXH KBH-2 P2.6'!F14+'EXH KBH-2 P2.6'!E14+'EXH KBH-2 P2.6'!D14+'EXH KBH-2 P2.6'!C14+'EXH KBH-2 P2.5'!C14+'EXH KBH-2 P2.5'!D14+'EXH KBH-2 P2.5'!E14+'EXH KBH-2 P2.5'!F14+'EXH KBH-2 P2.5'!G14+'EXH KBH-2 P2.5'!H14+'EXH KBH-2 P2.5'!I14+'EXH KBH-2 P2.4'!C14+'EXH KBH-2 P2.4'!D14+'EXH KBH-2 P2.4'!E14+'EXH KBH-2 P2.4'!F14+'EXH KBH-2 P2.4'!G14+'EXH KBH-2 P2.4'!H14+'EXH KBH-2 P2.4'!I14+'EXH KBH-2 P2.3'!C14+'EXH KBH-2 P2.3'!D14+'EXH KBH-2 P2.3'!E14+'EXH KBH-2 P2.3'!F14+'EXH KBH-2 P2.3'!G14+'EXH KBH-2 P2.3'!H14+'EXH KBH-2 P2.3'!I14+'EXH KBH-2 P2.2'!D14+'EXH KBH-2 P2.2'!E14+'EXH KBH-2 P2.2'!F14+'EXH KBH-2 P2.2'!G14+'EXH KBH-2 P2.2'!H14+'EXH KBH-2 P2.2'!I14+F14</f>
        <v>-15220980.619999999</v>
      </c>
      <c r="H14" s="179">
        <f>+G14+'EXH KBH-2 P2.2'!C14</f>
        <v>40211505.000000007</v>
      </c>
      <c r="I14" s="23"/>
      <c r="K14" s="23"/>
    </row>
    <row r="15" spans="1:11">
      <c r="A15" s="20">
        <f t="shared" si="0"/>
        <v>6</v>
      </c>
      <c r="B15" s="8" t="s">
        <v>5</v>
      </c>
      <c r="C15" s="32">
        <f t="shared" ref="C15:H15" si="1">SUM(C11:C14)</f>
        <v>0</v>
      </c>
      <c r="D15" s="32">
        <f t="shared" si="1"/>
        <v>0</v>
      </c>
      <c r="E15" s="32">
        <f t="shared" si="1"/>
        <v>0</v>
      </c>
      <c r="F15" s="32">
        <f t="shared" si="1"/>
        <v>0</v>
      </c>
      <c r="G15" s="32">
        <f t="shared" si="1"/>
        <v>-144127415.70908242</v>
      </c>
      <c r="H15" s="32">
        <f t="shared" si="1"/>
        <v>2073963004.2909172</v>
      </c>
      <c r="I15" s="29"/>
      <c r="J15" s="29"/>
      <c r="K15" s="29"/>
    </row>
    <row r="16" spans="1:11">
      <c r="A16" s="20">
        <f t="shared" si="0"/>
        <v>7</v>
      </c>
      <c r="B16" s="24"/>
      <c r="C16" s="23"/>
      <c r="D16" s="23" t="s">
        <v>60</v>
      </c>
      <c r="E16" s="23" t="s">
        <v>60</v>
      </c>
      <c r="F16" s="23"/>
      <c r="G16" s="23" t="s">
        <v>60</v>
      </c>
      <c r="H16" s="23" t="s">
        <v>60</v>
      </c>
      <c r="I16" s="23"/>
      <c r="K16" s="23"/>
    </row>
    <row r="17" spans="1:11">
      <c r="A17" s="20">
        <f t="shared" si="0"/>
        <v>8</v>
      </c>
      <c r="B17" s="22" t="s">
        <v>6</v>
      </c>
      <c r="C17" s="23"/>
      <c r="D17" s="23"/>
      <c r="E17" s="23"/>
      <c r="F17" s="23"/>
      <c r="G17" s="23"/>
      <c r="H17" s="23"/>
      <c r="I17" s="23"/>
      <c r="K17" s="23"/>
    </row>
    <row r="18" spans="1:11">
      <c r="A18" s="20">
        <f t="shared" si="0"/>
        <v>9</v>
      </c>
      <c r="B18" s="24" t="s">
        <v>7</v>
      </c>
      <c r="C18" s="23"/>
      <c r="D18" s="23"/>
      <c r="E18" s="23"/>
      <c r="F18" s="23"/>
      <c r="G18" s="23"/>
      <c r="H18" s="23"/>
      <c r="I18" s="23"/>
      <c r="K18" s="23"/>
    </row>
    <row r="19" spans="1:11">
      <c r="A19" s="20">
        <f t="shared" si="0"/>
        <v>10</v>
      </c>
      <c r="B19" s="24" t="s">
        <v>8</v>
      </c>
      <c r="C19" s="29">
        <v>0</v>
      </c>
      <c r="D19" s="29">
        <v>0</v>
      </c>
      <c r="E19" s="29">
        <v>0</v>
      </c>
      <c r="F19" s="29">
        <v>0</v>
      </c>
      <c r="G19" s="29">
        <f>+E19+D19+C19+'EXH KBH-2 P2.6'!I19+'EXH KBH-2 P2.6'!H19+'EXH KBH-2 P2.6'!G19+'EXH KBH-2 P2.6'!F19+'EXH KBH-2 P2.6'!E19+'EXH KBH-2 P2.6'!D19+'EXH KBH-2 P2.6'!C19+'EXH KBH-2 P2.5'!C19+'EXH KBH-2 P2.5'!D19+'EXH KBH-2 P2.5'!E19+'EXH KBH-2 P2.5'!F19+'EXH KBH-2 P2.5'!G19+'EXH KBH-2 P2.5'!H19+'EXH KBH-2 P2.5'!I19+'EXH KBH-2 P2.4'!C19+'EXH KBH-2 P2.4'!D19+'EXH KBH-2 P2.4'!E19+'EXH KBH-2 P2.4'!F19+'EXH KBH-2 P2.4'!G19+'EXH KBH-2 P2.4'!H19+'EXH KBH-2 P2.4'!I19+'EXH KBH-2 P2.3'!C19+'EXH KBH-2 P2.3'!D19+'EXH KBH-2 P2.3'!E19+'EXH KBH-2 P2.3'!F19+'EXH KBH-2 P2.3'!G19+'EXH KBH-2 P2.3'!H19+'EXH KBH-2 P2.3'!I19+'EXH KBH-2 P2.2'!D19+'EXH KBH-2 P2.2'!E19+'EXH KBH-2 P2.2'!F19+'EXH KBH-2 P2.2'!G19+'EXH KBH-2 P2.2'!H19+'EXH KBH-2 P2.2'!I19+F19</f>
        <v>43308620.666759208</v>
      </c>
      <c r="H19" s="29">
        <f>+G19+'EXH KBH-2 P2.2'!C19</f>
        <v>255641296.5367592</v>
      </c>
      <c r="I19" s="29"/>
      <c r="J19" s="30"/>
      <c r="K19" s="29"/>
    </row>
    <row r="20" spans="1:11">
      <c r="A20" s="20">
        <f t="shared" si="0"/>
        <v>11</v>
      </c>
      <c r="B20" s="24" t="s">
        <v>9</v>
      </c>
      <c r="C20" s="23"/>
      <c r="D20" s="23"/>
      <c r="E20" s="23"/>
      <c r="F20" s="23"/>
      <c r="G20" s="179">
        <f>+E20+D20+C20+'EXH KBH-2 P2.6'!I20+'EXH KBH-2 P2.6'!H20+'EXH KBH-2 P2.6'!G20+'EXH KBH-2 P2.6'!F20+'EXH KBH-2 P2.6'!E20+'EXH KBH-2 P2.6'!D20+'EXH KBH-2 P2.6'!C20+'EXH KBH-2 P2.5'!C20+'EXH KBH-2 P2.5'!D20+'EXH KBH-2 P2.5'!E20+'EXH KBH-2 P2.5'!F20+'EXH KBH-2 P2.5'!G20+'EXH KBH-2 P2.5'!H20+'EXH KBH-2 P2.5'!I20+'EXH KBH-2 P2.4'!C20+'EXH KBH-2 P2.4'!D20+'EXH KBH-2 P2.4'!E20+'EXH KBH-2 P2.4'!F20+'EXH KBH-2 P2.4'!G20+'EXH KBH-2 P2.4'!H20+'EXH KBH-2 P2.4'!I20+'EXH KBH-2 P2.3'!C20+'EXH KBH-2 P2.3'!D20+'EXH KBH-2 P2.3'!E20+'EXH KBH-2 P2.3'!F20+'EXH KBH-2 P2.3'!G20+'EXH KBH-2 P2.3'!H20+'EXH KBH-2 P2.3'!I20+'EXH KBH-2 P2.2'!D20+'EXH KBH-2 P2.2'!E20+'EXH KBH-2 P2.2'!F20+'EXH KBH-2 P2.2'!G20+'EXH KBH-2 P2.2'!H20+'EXH KBH-2 P2.2'!I20+F20</f>
        <v>-262344509.7362898</v>
      </c>
      <c r="H20" s="179">
        <f>+G20+'EXH KBH-2 P2.2'!C20</f>
        <v>658002041.05371022</v>
      </c>
      <c r="I20" s="23"/>
      <c r="K20" s="23"/>
    </row>
    <row r="21" spans="1:11">
      <c r="A21" s="20">
        <f t="shared" si="0"/>
        <v>12</v>
      </c>
      <c r="B21" s="25" t="s">
        <v>10</v>
      </c>
      <c r="C21" s="23"/>
      <c r="D21" s="23"/>
      <c r="E21" s="23"/>
      <c r="F21" s="23"/>
      <c r="G21" s="179">
        <f>+E21+D21+C21+'EXH KBH-2 P2.6'!I21+'EXH KBH-2 P2.6'!H21+'EXH KBH-2 P2.6'!G21+'EXH KBH-2 P2.6'!F21+'EXH KBH-2 P2.6'!E21+'EXH KBH-2 P2.6'!D21+'EXH KBH-2 P2.6'!C21+'EXH KBH-2 P2.5'!C21+'EXH KBH-2 P2.5'!D21+'EXH KBH-2 P2.5'!E21+'EXH KBH-2 P2.5'!F21+'EXH KBH-2 P2.5'!G21+'EXH KBH-2 P2.5'!H21+'EXH KBH-2 P2.5'!I21+'EXH KBH-2 P2.4'!C21+'EXH KBH-2 P2.4'!D21+'EXH KBH-2 P2.4'!E21+'EXH KBH-2 P2.4'!F21+'EXH KBH-2 P2.4'!G21+'EXH KBH-2 P2.4'!H21+'EXH KBH-2 P2.4'!I21+'EXH KBH-2 P2.3'!C21+'EXH KBH-2 P2.3'!D21+'EXH KBH-2 P2.3'!E21+'EXH KBH-2 P2.3'!F21+'EXH KBH-2 P2.3'!G21+'EXH KBH-2 P2.3'!H21+'EXH KBH-2 P2.3'!I21+'EXH KBH-2 P2.2'!D21+'EXH KBH-2 P2.2'!E21+'EXH KBH-2 P2.2'!F21+'EXH KBH-2 P2.2'!G21+'EXH KBH-2 P2.2'!H21+'EXH KBH-2 P2.2'!I21+F21</f>
        <v>10068232.159804093</v>
      </c>
      <c r="H21" s="179">
        <f>+G21+'EXH KBH-2 P2.2'!C21</f>
        <v>80781577.989804089</v>
      </c>
      <c r="I21" s="23"/>
      <c r="K21" s="23"/>
    </row>
    <row r="22" spans="1:11">
      <c r="A22" s="20">
        <f t="shared" si="0"/>
        <v>13</v>
      </c>
      <c r="B22" s="25" t="s">
        <v>11</v>
      </c>
      <c r="C22" s="23"/>
      <c r="D22" s="23"/>
      <c r="E22" s="23"/>
      <c r="F22" s="23"/>
      <c r="G22" s="179">
        <f>+E22+D22+C22+'EXH KBH-2 P2.6'!I22+'EXH KBH-2 P2.6'!H22+'EXH KBH-2 P2.6'!G22+'EXH KBH-2 P2.6'!F22+'EXH KBH-2 P2.6'!E22+'EXH KBH-2 P2.6'!D22+'EXH KBH-2 P2.6'!C22+'EXH KBH-2 P2.5'!C22+'EXH KBH-2 P2.5'!D22+'EXH KBH-2 P2.5'!E22+'EXH KBH-2 P2.5'!F22+'EXH KBH-2 P2.5'!G22+'EXH KBH-2 P2.5'!H22+'EXH KBH-2 P2.5'!I22+'EXH KBH-2 P2.4'!C22+'EXH KBH-2 P2.4'!D22+'EXH KBH-2 P2.4'!E22+'EXH KBH-2 P2.4'!F22+'EXH KBH-2 P2.4'!G22+'EXH KBH-2 P2.4'!H22+'EXH KBH-2 P2.4'!I22+'EXH KBH-2 P2.3'!C22+'EXH KBH-2 P2.3'!D22+'EXH KBH-2 P2.3'!E22+'EXH KBH-2 P2.3'!F22+'EXH KBH-2 P2.3'!G22+'EXH KBH-2 P2.3'!H22+'EXH KBH-2 P2.3'!I22+'EXH KBH-2 P2.2'!D22+'EXH KBH-2 P2.2'!E22+'EXH KBH-2 P2.2'!F22+'EXH KBH-2 P2.2'!G22+'EXH KBH-2 P2.2'!H22+'EXH KBH-2 P2.2'!I22+F22</f>
        <v>40663860.560000002</v>
      </c>
      <c r="H22" s="179">
        <f>+G22+'EXH KBH-2 P2.2'!C22</f>
        <v>0</v>
      </c>
      <c r="I22" s="23"/>
      <c r="K22" s="23"/>
    </row>
    <row r="23" spans="1:11">
      <c r="A23" s="20">
        <f t="shared" si="0"/>
        <v>14</v>
      </c>
      <c r="B23" s="26" t="s">
        <v>12</v>
      </c>
      <c r="C23" s="33">
        <f t="shared" ref="C23:H23" si="2">SUM(C19:C22)</f>
        <v>0</v>
      </c>
      <c r="D23" s="33">
        <f t="shared" si="2"/>
        <v>0</v>
      </c>
      <c r="E23" s="33">
        <f t="shared" si="2"/>
        <v>0</v>
      </c>
      <c r="F23" s="33">
        <f t="shared" si="2"/>
        <v>0</v>
      </c>
      <c r="G23" s="33">
        <f t="shared" ref="G23" si="3">SUM(G19:G22)</f>
        <v>-168303796.3497265</v>
      </c>
      <c r="H23" s="33">
        <f t="shared" si="2"/>
        <v>994424915.58027339</v>
      </c>
      <c r="I23" s="30"/>
      <c r="J23" s="30"/>
      <c r="K23" s="30"/>
    </row>
    <row r="24" spans="1:11">
      <c r="A24" s="20">
        <f t="shared" si="0"/>
        <v>15</v>
      </c>
      <c r="B24" s="25"/>
      <c r="C24" s="23"/>
      <c r="D24" s="23"/>
      <c r="E24" s="23"/>
      <c r="F24" s="23"/>
      <c r="G24" s="23"/>
      <c r="H24" s="23"/>
      <c r="I24" s="23"/>
      <c r="K24" s="23"/>
    </row>
    <row r="25" spans="1:11">
      <c r="A25" s="20">
        <f t="shared" si="0"/>
        <v>16</v>
      </c>
      <c r="B25" s="25" t="s">
        <v>13</v>
      </c>
      <c r="C25" s="29">
        <v>0</v>
      </c>
      <c r="D25" s="29">
        <v>0</v>
      </c>
      <c r="E25" s="29">
        <v>0</v>
      </c>
      <c r="F25" s="29">
        <v>0</v>
      </c>
      <c r="G25" s="29">
        <f>+E25+D25+C25+'EXH KBH-2 P2.6'!I25+'EXH KBH-2 P2.6'!H25+'EXH KBH-2 P2.6'!G25+'EXH KBH-2 P2.6'!F25+'EXH KBH-2 P2.6'!E25+'EXH KBH-2 P2.6'!D25+'EXH KBH-2 P2.6'!C25+'EXH KBH-2 P2.5'!C25+'EXH KBH-2 P2.5'!D25+'EXH KBH-2 P2.5'!E25+'EXH KBH-2 P2.5'!F25+'EXH KBH-2 P2.5'!G25+'EXH KBH-2 P2.5'!H25+'EXH KBH-2 P2.5'!I25+'EXH KBH-2 P2.4'!C25+'EXH KBH-2 P2.4'!D25+'EXH KBH-2 P2.4'!E25+'EXH KBH-2 P2.4'!F25+'EXH KBH-2 P2.4'!G25+'EXH KBH-2 P2.4'!H25+'EXH KBH-2 P2.4'!I25+'EXH KBH-2 P2.3'!C25+'EXH KBH-2 P2.3'!D25+'EXH KBH-2 P2.3'!E25+'EXH KBH-2 P2.3'!F25+'EXH KBH-2 P2.3'!G25+'EXH KBH-2 P2.3'!H25+'EXH KBH-2 P2.3'!I25+'EXH KBH-2 P2.2'!D25+'EXH KBH-2 P2.2'!E25+'EXH KBH-2 P2.2'!F25+'EXH KBH-2 P2.2'!G25+'EXH KBH-2 P2.2'!H25+'EXH KBH-2 P2.2'!I25+F25</f>
        <v>-2158673.3253816217</v>
      </c>
      <c r="H25" s="179">
        <f>+G25+'EXH KBH-2 P2.2'!C25</f>
        <v>100661125.10461839</v>
      </c>
      <c r="I25" s="29"/>
      <c r="J25" s="30"/>
      <c r="K25" s="29"/>
    </row>
    <row r="26" spans="1:11">
      <c r="A26" s="20">
        <f t="shared" si="0"/>
        <v>17</v>
      </c>
      <c r="B26" s="24" t="s">
        <v>14</v>
      </c>
      <c r="C26" s="23"/>
      <c r="D26" s="23"/>
      <c r="E26" s="23"/>
      <c r="F26" s="23"/>
      <c r="G26" s="179">
        <f>+E26+D26+C26+'EXH KBH-2 P2.6'!I26+'EXH KBH-2 P2.6'!H26+'EXH KBH-2 P2.6'!G26+'EXH KBH-2 P2.6'!F26+'EXH KBH-2 P2.6'!E26+'EXH KBH-2 P2.6'!D26+'EXH KBH-2 P2.6'!C26+'EXH KBH-2 P2.5'!C26+'EXH KBH-2 P2.5'!D26+'EXH KBH-2 P2.5'!E26+'EXH KBH-2 P2.5'!F26+'EXH KBH-2 P2.5'!G26+'EXH KBH-2 P2.5'!H26+'EXH KBH-2 P2.5'!I26+'EXH KBH-2 P2.4'!C26+'EXH KBH-2 P2.4'!D26+'EXH KBH-2 P2.4'!E26+'EXH KBH-2 P2.4'!F26+'EXH KBH-2 P2.4'!G26+'EXH KBH-2 P2.4'!H26+'EXH KBH-2 P2.4'!I26+'EXH KBH-2 P2.3'!C26+'EXH KBH-2 P2.3'!D26+'EXH KBH-2 P2.3'!E26+'EXH KBH-2 P2.3'!F26+'EXH KBH-2 P2.3'!G26+'EXH KBH-2 P2.3'!H26+'EXH KBH-2 P2.3'!I26+'EXH KBH-2 P2.2'!D26+'EXH KBH-2 P2.2'!E26+'EXH KBH-2 P2.2'!F26+'EXH KBH-2 P2.2'!G26+'EXH KBH-2 P2.2'!H26+'EXH KBH-2 P2.2'!I26+F26</f>
        <v>-360595.75500000035</v>
      </c>
      <c r="H26" s="179">
        <f>+G26+'EXH KBH-2 P2.2'!C26</f>
        <v>8873528.3650000002</v>
      </c>
      <c r="I26" s="23"/>
      <c r="K26" s="23"/>
    </row>
    <row r="27" spans="1:11">
      <c r="A27" s="20">
        <f t="shared" si="0"/>
        <v>18</v>
      </c>
      <c r="B27" s="24" t="s">
        <v>15</v>
      </c>
      <c r="C27" s="23"/>
      <c r="D27" s="23"/>
      <c r="E27" s="23"/>
      <c r="F27" s="23"/>
      <c r="G27" s="179">
        <f>+E27+D27+C27+'EXH KBH-2 P2.6'!I27+'EXH KBH-2 P2.6'!H27+'EXH KBH-2 P2.6'!G27+'EXH KBH-2 P2.6'!F27+'EXH KBH-2 P2.6'!E27+'EXH KBH-2 P2.6'!D27+'EXH KBH-2 P2.6'!C27+'EXH KBH-2 P2.5'!C27+'EXH KBH-2 P2.5'!D27+'EXH KBH-2 P2.5'!E27+'EXH KBH-2 P2.5'!F27+'EXH KBH-2 P2.5'!G27+'EXH KBH-2 P2.5'!H27+'EXH KBH-2 P2.5'!I27+'EXH KBH-2 P2.4'!C27+'EXH KBH-2 P2.4'!D27+'EXH KBH-2 P2.4'!E27+'EXH KBH-2 P2.4'!F27+'EXH KBH-2 P2.4'!G27+'EXH KBH-2 P2.4'!H27+'EXH KBH-2 P2.4'!I27+'EXH KBH-2 P2.3'!C27+'EXH KBH-2 P2.3'!D27+'EXH KBH-2 P2.3'!E27+'EXH KBH-2 P2.3'!F27+'EXH KBH-2 P2.3'!G27+'EXH KBH-2 P2.3'!H27+'EXH KBH-2 P2.3'!I27+'EXH KBH-2 P2.2'!D27+'EXH KBH-2 P2.2'!E27+'EXH KBH-2 P2.2'!F27+'EXH KBH-2 P2.2'!G27+'EXH KBH-2 P2.2'!H27+'EXH KBH-2 P2.2'!I27+F27</f>
        <v>-1818076.6866666647</v>
      </c>
      <c r="H27" s="179">
        <f>+G27+'EXH KBH-2 P2.2'!C27</f>
        <v>74958254.083333328</v>
      </c>
      <c r="I27" s="23"/>
      <c r="K27" s="23"/>
    </row>
    <row r="28" spans="1:11">
      <c r="A28" s="20">
        <f t="shared" si="0"/>
        <v>19</v>
      </c>
      <c r="B28" s="24" t="s">
        <v>612</v>
      </c>
      <c r="C28" s="23"/>
      <c r="D28" s="23"/>
      <c r="E28" s="23"/>
      <c r="F28" s="23"/>
      <c r="G28" s="179">
        <f>+E28+D28+C28+'EXH KBH-2 P2.6'!I28+'EXH KBH-2 P2.6'!H28+'EXH KBH-2 P2.6'!G28+'EXH KBH-2 P2.6'!F28+'EXH KBH-2 P2.6'!E28+'EXH KBH-2 P2.6'!D28+'EXH KBH-2 P2.6'!C28+'EXH KBH-2 P2.5'!C28+'EXH KBH-2 P2.5'!D28+'EXH KBH-2 P2.5'!E28+'EXH KBH-2 P2.5'!F28+'EXH KBH-2 P2.5'!G28+'EXH KBH-2 P2.5'!H28+'EXH KBH-2 P2.5'!I28+'EXH KBH-2 P2.4'!C28+'EXH KBH-2 P2.4'!D28+'EXH KBH-2 P2.4'!E28+'EXH KBH-2 P2.4'!F28+'EXH KBH-2 P2.4'!G28+'EXH KBH-2 P2.4'!H28+'EXH KBH-2 P2.4'!I28+'EXH KBH-2 P2.3'!C28+'EXH KBH-2 P2.3'!D28+'EXH KBH-2 P2.3'!E28+'EXH KBH-2 P2.3'!F28+'EXH KBH-2 P2.3'!G28+'EXH KBH-2 P2.3'!H28+'EXH KBH-2 P2.3'!I28+'EXH KBH-2 P2.2'!D28+'EXH KBH-2 P2.2'!E28+'EXH KBH-2 P2.2'!F28+'EXH KBH-2 P2.2'!G28+'EXH KBH-2 P2.2'!H28+'EXH KBH-2 P2.2'!I28+F28</f>
        <v>-1246421.5027394705</v>
      </c>
      <c r="H28" s="179">
        <f>+G28+'EXH KBH-2 P2.2'!C28</f>
        <v>41898902.877872527</v>
      </c>
      <c r="I28" s="23"/>
      <c r="K28" s="23"/>
    </row>
    <row r="29" spans="1:11">
      <c r="A29" s="20">
        <f t="shared" si="0"/>
        <v>20</v>
      </c>
      <c r="B29" s="24" t="s">
        <v>16</v>
      </c>
      <c r="C29" s="23"/>
      <c r="D29" s="23"/>
      <c r="E29" s="23"/>
      <c r="F29" s="23"/>
      <c r="G29" s="179">
        <f>+E29+D29+C29+'EXH KBH-2 P2.6'!I29+'EXH KBH-2 P2.6'!H29+'EXH KBH-2 P2.6'!G29+'EXH KBH-2 P2.6'!F29+'EXH KBH-2 P2.6'!E29+'EXH KBH-2 P2.6'!D29+'EXH KBH-2 P2.6'!C29+'EXH KBH-2 P2.5'!C29+'EXH KBH-2 P2.5'!D29+'EXH KBH-2 P2.5'!E29+'EXH KBH-2 P2.5'!F29+'EXH KBH-2 P2.5'!G29+'EXH KBH-2 P2.5'!H29+'EXH KBH-2 P2.5'!I29+'EXH KBH-2 P2.4'!C29+'EXH KBH-2 P2.4'!D29+'EXH KBH-2 P2.4'!E29+'EXH KBH-2 P2.4'!F29+'EXH KBH-2 P2.4'!G29+'EXH KBH-2 P2.4'!H29+'EXH KBH-2 P2.4'!I29+'EXH KBH-2 P2.3'!C29+'EXH KBH-2 P2.3'!D29+'EXH KBH-2 P2.3'!E29+'EXH KBH-2 P2.3'!F29+'EXH KBH-2 P2.3'!G29+'EXH KBH-2 P2.3'!H29+'EXH KBH-2 P2.3'!I29+'EXH KBH-2 P2.2'!D29+'EXH KBH-2 P2.2'!E29+'EXH KBH-2 P2.2'!F29+'EXH KBH-2 P2.2'!G29+'EXH KBH-2 P2.2'!H29+'EXH KBH-2 P2.2'!I29+F29</f>
        <v>-7817891.6500000004</v>
      </c>
      <c r="H29" s="179">
        <f>+G29+'EXH KBH-2 P2.2'!C29</f>
        <v>2201600.9716699999</v>
      </c>
      <c r="I29" s="23"/>
      <c r="K29" s="23"/>
    </row>
    <row r="30" spans="1:11">
      <c r="A30" s="20">
        <f t="shared" si="0"/>
        <v>21</v>
      </c>
      <c r="B30" s="25" t="s">
        <v>17</v>
      </c>
      <c r="C30" s="23"/>
      <c r="D30" s="23"/>
      <c r="E30" s="23"/>
      <c r="F30" s="23"/>
      <c r="G30" s="179">
        <f>+E30+D30+C30+'EXH KBH-2 P2.6'!I30+'EXH KBH-2 P2.6'!H30+'EXH KBH-2 P2.6'!G30+'EXH KBH-2 P2.6'!F30+'EXH KBH-2 P2.6'!E30+'EXH KBH-2 P2.6'!D30+'EXH KBH-2 P2.6'!C30+'EXH KBH-2 P2.5'!C30+'EXH KBH-2 P2.5'!D30+'EXH KBH-2 P2.5'!E30+'EXH KBH-2 P2.5'!F30+'EXH KBH-2 P2.5'!G30+'EXH KBH-2 P2.5'!H30+'EXH KBH-2 P2.5'!I30+'EXH KBH-2 P2.4'!C30+'EXH KBH-2 P2.4'!D30+'EXH KBH-2 P2.4'!E30+'EXH KBH-2 P2.4'!F30+'EXH KBH-2 P2.4'!G30+'EXH KBH-2 P2.4'!H30+'EXH KBH-2 P2.4'!I30+'EXH KBH-2 P2.3'!C30+'EXH KBH-2 P2.3'!D30+'EXH KBH-2 P2.3'!E30+'EXH KBH-2 P2.3'!F30+'EXH KBH-2 P2.3'!G30+'EXH KBH-2 P2.3'!H30+'EXH KBH-2 P2.3'!I30+'EXH KBH-2 P2.2'!D30+'EXH KBH-2 P2.2'!E30+'EXH KBH-2 P2.2'!F30+'EXH KBH-2 P2.2'!G30+'EXH KBH-2 P2.2'!H30+'EXH KBH-2 P2.2'!I30+F30</f>
        <v>-53979048</v>
      </c>
      <c r="H30" s="179">
        <f>+G30+'EXH KBH-2 P2.2'!C30</f>
        <v>1062.359999999404</v>
      </c>
      <c r="I30" s="23"/>
      <c r="K30" s="23"/>
    </row>
    <row r="31" spans="1:11">
      <c r="A31" s="20">
        <f t="shared" si="0"/>
        <v>22</v>
      </c>
      <c r="B31" s="24" t="s">
        <v>18</v>
      </c>
      <c r="C31" s="23">
        <f>+'Adj 10.35 P2.42'!E13</f>
        <v>-2761858.7483040001</v>
      </c>
      <c r="D31" s="23"/>
      <c r="E31" s="23"/>
      <c r="F31" s="23"/>
      <c r="G31" s="179">
        <f>+E31+D31+C31+'EXH KBH-2 P2.6'!I31+'EXH KBH-2 P2.6'!H31+'EXH KBH-2 P2.6'!G31+'EXH KBH-2 P2.6'!F31+'EXH KBH-2 P2.6'!E31+'EXH KBH-2 P2.6'!D31+'EXH KBH-2 P2.6'!C31+'EXH KBH-2 P2.5'!C31+'EXH KBH-2 P2.5'!D31+'EXH KBH-2 P2.5'!E31+'EXH KBH-2 P2.5'!F31+'EXH KBH-2 P2.5'!G31+'EXH KBH-2 P2.5'!H31+'EXH KBH-2 P2.5'!I31+'EXH KBH-2 P2.4'!C31+'EXH KBH-2 P2.4'!D31+'EXH KBH-2 P2.4'!E31+'EXH KBH-2 P2.4'!F31+'EXH KBH-2 P2.4'!G31+'EXH KBH-2 P2.4'!H31+'EXH KBH-2 P2.4'!I31+'EXH KBH-2 P2.3'!C31+'EXH KBH-2 P2.3'!D31+'EXH KBH-2 P2.3'!E31+'EXH KBH-2 P2.3'!F31+'EXH KBH-2 P2.3'!G31+'EXH KBH-2 P2.3'!H31+'EXH KBH-2 P2.3'!I31+'EXH KBH-2 P2.2'!D31+'EXH KBH-2 P2.2'!E31+'EXH KBH-2 P2.2'!F31+'EXH KBH-2 P2.2'!G31+'EXH KBH-2 P2.2'!H31+'EXH KBH-2 P2.2'!I31+F31</f>
        <v>4272250.1595057342</v>
      </c>
      <c r="H31" s="179">
        <f>+G31+'EXH KBH-2 P2.2'!C31</f>
        <v>93690945.913994744</v>
      </c>
      <c r="I31" s="23"/>
      <c r="K31" s="23"/>
    </row>
    <row r="32" spans="1:11">
      <c r="A32" s="20">
        <f t="shared" si="0"/>
        <v>23</v>
      </c>
      <c r="B32" s="24" t="s">
        <v>19</v>
      </c>
      <c r="C32" s="23">
        <f>+'Adj 10.35 P2.42'!E14</f>
        <v>804616.29970017471</v>
      </c>
      <c r="D32" s="23"/>
      <c r="E32" s="23"/>
      <c r="F32" s="23"/>
      <c r="G32" s="179">
        <f>+E32+D32+C32+'EXH KBH-2 P2.6'!I32+'EXH KBH-2 P2.6'!H32+'EXH KBH-2 P2.6'!G32+'EXH KBH-2 P2.6'!F32+'EXH KBH-2 P2.6'!E32+'EXH KBH-2 P2.6'!D32+'EXH KBH-2 P2.6'!C32+'EXH KBH-2 P2.5'!C32+'EXH KBH-2 P2.5'!D32+'EXH KBH-2 P2.5'!E32+'EXH KBH-2 P2.5'!F32+'EXH KBH-2 P2.5'!G32+'EXH KBH-2 P2.5'!H32+'EXH KBH-2 P2.5'!I32+'EXH KBH-2 P2.4'!C32+'EXH KBH-2 P2.4'!D32+'EXH KBH-2 P2.4'!E32+'EXH KBH-2 P2.4'!F32+'EXH KBH-2 P2.4'!G32+'EXH KBH-2 P2.4'!H32+'EXH KBH-2 P2.4'!I32+'EXH KBH-2 P2.3'!C32+'EXH KBH-2 P2.3'!D32+'EXH KBH-2 P2.3'!E32+'EXH KBH-2 P2.3'!F32+'EXH KBH-2 P2.3'!G32+'EXH KBH-2 P2.3'!H32+'EXH KBH-2 P2.3'!I32+'EXH KBH-2 P2.2'!D32+'EXH KBH-2 P2.2'!E32+'EXH KBH-2 P2.2'!F32+'EXH KBH-2 P2.2'!G32+'EXH KBH-2 P2.2'!H32+'EXH KBH-2 P2.2'!I32+F32</f>
        <v>134302.75554359844</v>
      </c>
      <c r="H32" s="179">
        <f>+G32+'EXH KBH-2 P2.2'!C32</f>
        <v>173441343.12768158</v>
      </c>
      <c r="I32" s="23"/>
      <c r="K32" s="23"/>
    </row>
    <row r="33" spans="1:11">
      <c r="A33" s="20">
        <f t="shared" si="0"/>
        <v>24</v>
      </c>
      <c r="B33" s="24" t="s">
        <v>20</v>
      </c>
      <c r="C33" s="23"/>
      <c r="D33" s="23"/>
      <c r="E33" s="23"/>
      <c r="F33" s="23"/>
      <c r="G33" s="179">
        <f>+E33+D33+C33+'EXH KBH-2 P2.6'!I33+'EXH KBH-2 P2.6'!H33+'EXH KBH-2 P2.6'!G33+'EXH KBH-2 P2.6'!F33+'EXH KBH-2 P2.6'!E33+'EXH KBH-2 P2.6'!D33+'EXH KBH-2 P2.6'!C33+'EXH KBH-2 P2.5'!C33+'EXH KBH-2 P2.5'!D33+'EXH KBH-2 P2.5'!E33+'EXH KBH-2 P2.5'!F33+'EXH KBH-2 P2.5'!G33+'EXH KBH-2 P2.5'!H33+'EXH KBH-2 P2.5'!I33+'EXH KBH-2 P2.4'!C33+'EXH KBH-2 P2.4'!D33+'EXH KBH-2 P2.4'!E33+'EXH KBH-2 P2.4'!F33+'EXH KBH-2 P2.4'!G33+'EXH KBH-2 P2.4'!H33+'EXH KBH-2 P2.4'!I33+'EXH KBH-2 P2.3'!C33+'EXH KBH-2 P2.3'!D33+'EXH KBH-2 P2.3'!E33+'EXH KBH-2 P2.3'!F33+'EXH KBH-2 P2.3'!G33+'EXH KBH-2 P2.3'!H33+'EXH KBH-2 P2.3'!I33+'EXH KBH-2 P2.2'!D33+'EXH KBH-2 P2.2'!E33+'EXH KBH-2 P2.2'!F33+'EXH KBH-2 P2.2'!G33+'EXH KBH-2 P2.2'!H33+'EXH KBH-2 P2.2'!I33+F33</f>
        <v>10975973.76898407</v>
      </c>
      <c r="H33" s="179">
        <f>+G33+'EXH KBH-2 P2.2'!C33</f>
        <v>44988272.89676407</v>
      </c>
      <c r="I33" s="23"/>
      <c r="K33" s="23"/>
    </row>
    <row r="34" spans="1:11">
      <c r="A34" s="20">
        <f t="shared" si="0"/>
        <v>25</v>
      </c>
      <c r="B34" s="22" t="s">
        <v>21</v>
      </c>
      <c r="C34" s="23"/>
      <c r="D34" s="23"/>
      <c r="E34" s="23"/>
      <c r="F34" s="23"/>
      <c r="G34" s="179">
        <f>+E34+D34+C34+'EXH KBH-2 P2.6'!I34+'EXH KBH-2 P2.6'!H34+'EXH KBH-2 P2.6'!G34+'EXH KBH-2 P2.6'!F34+'EXH KBH-2 P2.6'!E34+'EXH KBH-2 P2.6'!D34+'EXH KBH-2 P2.6'!C34+'EXH KBH-2 P2.5'!C34+'EXH KBH-2 P2.5'!D34+'EXH KBH-2 P2.5'!E34+'EXH KBH-2 P2.5'!F34+'EXH KBH-2 P2.5'!G34+'EXH KBH-2 P2.5'!H34+'EXH KBH-2 P2.5'!I34+'EXH KBH-2 P2.4'!C34+'EXH KBH-2 P2.4'!D34+'EXH KBH-2 P2.4'!E34+'EXH KBH-2 P2.4'!F34+'EXH KBH-2 P2.4'!G34+'EXH KBH-2 P2.4'!H34+'EXH KBH-2 P2.4'!I34+'EXH KBH-2 P2.3'!C34+'EXH KBH-2 P2.3'!D34+'EXH KBH-2 P2.3'!E34+'EXH KBH-2 P2.3'!F34+'EXH KBH-2 P2.3'!G34+'EXH KBH-2 P2.3'!H34+'EXH KBH-2 P2.3'!I34+'EXH KBH-2 P2.2'!D34+'EXH KBH-2 P2.2'!E34+'EXH KBH-2 P2.2'!F34+'EXH KBH-2 P2.2'!G34+'EXH KBH-2 P2.2'!H34+'EXH KBH-2 P2.2'!I34+F34</f>
        <v>11378140.093527509</v>
      </c>
      <c r="H34" s="179">
        <f>+G34+'EXH KBH-2 P2.2'!C34</f>
        <v>17871549.393527508</v>
      </c>
      <c r="I34" s="23"/>
      <c r="K34" s="23"/>
    </row>
    <row r="35" spans="1:11">
      <c r="A35" s="20">
        <f t="shared" si="0"/>
        <v>26</v>
      </c>
      <c r="B35" s="25" t="s">
        <v>22</v>
      </c>
      <c r="C35" s="23"/>
      <c r="D35" s="23"/>
      <c r="E35" s="23"/>
      <c r="F35" s="650">
        <f>+'Adj 10.38 P2.45'!E13</f>
        <v>2915799.5314859287</v>
      </c>
      <c r="G35" s="179">
        <f>+E35+D35+C35+'EXH KBH-2 P2.6'!I35+'EXH KBH-2 P2.6'!H35+'EXH KBH-2 P2.6'!G35+'EXH KBH-2 P2.6'!F35+'EXH KBH-2 P2.6'!E35+'EXH KBH-2 P2.6'!D35+'EXH KBH-2 P2.6'!C35+'EXH KBH-2 P2.5'!C35+'EXH KBH-2 P2.5'!D35+'EXH KBH-2 P2.5'!E35+'EXH KBH-2 P2.5'!F35+'EXH KBH-2 P2.5'!G35+'EXH KBH-2 P2.5'!H35+'EXH KBH-2 P2.5'!I35+'EXH KBH-2 P2.4'!C35+'EXH KBH-2 P2.4'!D35+'EXH KBH-2 P2.4'!E35+'EXH KBH-2 P2.4'!F35+'EXH KBH-2 P2.4'!G35+'EXH KBH-2 P2.4'!H35+'EXH KBH-2 P2.4'!I35+'EXH KBH-2 P2.3'!C35+'EXH KBH-2 P2.3'!D35+'EXH KBH-2 P2.3'!E35+'EXH KBH-2 P2.3'!F35+'EXH KBH-2 P2.3'!G35+'EXH KBH-2 P2.3'!H35+'EXH KBH-2 P2.3'!I35+'EXH KBH-2 P2.2'!D35+'EXH KBH-2 P2.2'!E35+'EXH KBH-2 P2.2'!F35+'EXH KBH-2 P2.2'!G35+'EXH KBH-2 P2.2'!H35+'EXH KBH-2 P2.2'!I35+F35</f>
        <v>6428038.3914859295</v>
      </c>
      <c r="H35" s="179">
        <f>+G35+'EXH KBH-2 P2.2'!C35</f>
        <v>5944352.2714859294</v>
      </c>
      <c r="I35" s="23"/>
      <c r="K35" s="23"/>
    </row>
    <row r="36" spans="1:11">
      <c r="A36" s="20">
        <f t="shared" si="0"/>
        <v>27</v>
      </c>
      <c r="B36" s="25" t="s">
        <v>23</v>
      </c>
      <c r="C36" s="23"/>
      <c r="D36" s="23"/>
      <c r="E36" s="23"/>
      <c r="F36" s="650"/>
      <c r="G36" s="179">
        <f>+E36+D36+C36+'EXH KBH-2 P2.6'!I36+'EXH KBH-2 P2.6'!H36+'EXH KBH-2 P2.6'!G36+'EXH KBH-2 P2.6'!F36+'EXH KBH-2 P2.6'!E36+'EXH KBH-2 P2.6'!D36+'EXH KBH-2 P2.6'!C36+'EXH KBH-2 P2.5'!C36+'EXH KBH-2 P2.5'!D36+'EXH KBH-2 P2.5'!E36+'EXH KBH-2 P2.5'!F36+'EXH KBH-2 P2.5'!G36+'EXH KBH-2 P2.5'!H36+'EXH KBH-2 P2.5'!I36+'EXH KBH-2 P2.4'!C36+'EXH KBH-2 P2.4'!D36+'EXH KBH-2 P2.4'!E36+'EXH KBH-2 P2.4'!F36+'EXH KBH-2 P2.4'!G36+'EXH KBH-2 P2.4'!H36+'EXH KBH-2 P2.4'!I36+'EXH KBH-2 P2.3'!C36+'EXH KBH-2 P2.3'!D36+'EXH KBH-2 P2.3'!E36+'EXH KBH-2 P2.3'!F36+'EXH KBH-2 P2.3'!G36+'EXH KBH-2 P2.3'!H36+'EXH KBH-2 P2.3'!I36+'EXH KBH-2 P2.2'!D36+'EXH KBH-2 P2.2'!E36+'EXH KBH-2 P2.2'!F36+'EXH KBH-2 P2.2'!G36+'EXH KBH-2 P2.2'!H36+'EXH KBH-2 P2.2'!I36+F36</f>
        <v>0</v>
      </c>
      <c r="H36" s="179">
        <f>+G36+'EXH KBH-2 P2.2'!C36</f>
        <v>7537999</v>
      </c>
      <c r="I36" s="23"/>
      <c r="K36" s="23"/>
    </row>
    <row r="37" spans="1:11">
      <c r="A37" s="20">
        <f t="shared" si="0"/>
        <v>28</v>
      </c>
      <c r="B37" s="24" t="s">
        <v>24</v>
      </c>
      <c r="C37" s="23">
        <v>0</v>
      </c>
      <c r="D37" s="23"/>
      <c r="E37" s="23"/>
      <c r="F37" s="650"/>
      <c r="G37" s="179">
        <f>+E37+D37+C37+'EXH KBH-2 P2.6'!I37+'EXH KBH-2 P2.6'!H37+'EXH KBH-2 P2.6'!G37+'EXH KBH-2 P2.6'!F37+'EXH KBH-2 P2.6'!E37+'EXH KBH-2 P2.6'!D37+'EXH KBH-2 P2.6'!C37+'EXH KBH-2 P2.5'!C37+'EXH KBH-2 P2.5'!D37+'EXH KBH-2 P2.5'!E37+'EXH KBH-2 P2.5'!F37+'EXH KBH-2 P2.5'!G37+'EXH KBH-2 P2.5'!H37+'EXH KBH-2 P2.5'!I37+'EXH KBH-2 P2.4'!C37+'EXH KBH-2 P2.4'!D37+'EXH KBH-2 P2.4'!E37+'EXH KBH-2 P2.4'!F37+'EXH KBH-2 P2.4'!G37+'EXH KBH-2 P2.4'!H37+'EXH KBH-2 P2.4'!I37+'EXH KBH-2 P2.3'!C37+'EXH KBH-2 P2.3'!D37+'EXH KBH-2 P2.3'!E37+'EXH KBH-2 P2.3'!F37+'EXH KBH-2 P2.3'!G37+'EXH KBH-2 P2.3'!H37+'EXH KBH-2 P2.3'!I37+'EXH KBH-2 P2.2'!D37+'EXH KBH-2 P2.2'!E37+'EXH KBH-2 P2.2'!F37+'EXH KBH-2 P2.2'!G37+'EXH KBH-2 P2.2'!H37+'EXH KBH-2 P2.2'!I37+F37</f>
        <v>-76353310.394836634</v>
      </c>
      <c r="H37" s="179">
        <f>+G37+'EXH KBH-2 P2.2'!C37</f>
        <v>112463057.12258738</v>
      </c>
      <c r="I37" s="23"/>
      <c r="K37" s="23"/>
    </row>
    <row r="38" spans="1:11">
      <c r="A38" s="20">
        <f t="shared" si="0"/>
        <v>29</v>
      </c>
      <c r="B38" s="24" t="s">
        <v>25</v>
      </c>
      <c r="C38" s="23">
        <f>+'Adj 10.35 P2.42'!E20</f>
        <v>685035</v>
      </c>
      <c r="D38" s="23"/>
      <c r="E38" s="23"/>
      <c r="F38" s="650">
        <f>+'Adj 10.38 P2.45'!E19</f>
        <v>-1020529.836020075</v>
      </c>
      <c r="G38" s="179">
        <f>+E38+D38+C38+'EXH KBH-2 P2.6'!I38+'EXH KBH-2 P2.6'!H38+'EXH KBH-2 P2.6'!G38+'EXH KBH-2 P2.6'!F38+'EXH KBH-2 P2.6'!E38+'EXH KBH-2 P2.6'!D38+'EXH KBH-2 P2.6'!C38+'EXH KBH-2 P2.5'!C38+'EXH KBH-2 P2.5'!D38+'EXH KBH-2 P2.5'!E38+'EXH KBH-2 P2.5'!F38+'EXH KBH-2 P2.5'!G38+'EXH KBH-2 P2.5'!H38+'EXH KBH-2 P2.5'!I38+'EXH KBH-2 P2.4'!C38+'EXH KBH-2 P2.4'!D38+'EXH KBH-2 P2.4'!E38+'EXH KBH-2 P2.4'!F38+'EXH KBH-2 P2.4'!G38+'EXH KBH-2 P2.4'!H38+'EXH KBH-2 P2.4'!I38+'EXH KBH-2 P2.3'!C38+'EXH KBH-2 P2.3'!D38+'EXH KBH-2 P2.3'!E38+'EXH KBH-2 P2.3'!F38+'EXH KBH-2 P2.3'!G38+'EXH KBH-2 P2.3'!H38+'EXH KBH-2 P2.3'!I38+'EXH KBH-2 P2.2'!D38+'EXH KBH-2 P2.2'!E38+'EXH KBH-2 P2.2'!F38+'EXH KBH-2 P2.2'!G38+'EXH KBH-2 P2.2'!H38+'EXH KBH-2 P2.2'!I38+F38</f>
        <v>46632797.897443883</v>
      </c>
      <c r="H38" s="179">
        <f>+G38+'EXH KBH-2 P2.2'!C38</f>
        <v>51262279.897443883</v>
      </c>
      <c r="I38" s="27"/>
      <c r="J38" s="31"/>
      <c r="K38" s="23"/>
    </row>
    <row r="39" spans="1:11">
      <c r="A39" s="20">
        <f t="shared" si="0"/>
        <v>30</v>
      </c>
      <c r="B39" s="24" t="s">
        <v>26</v>
      </c>
      <c r="C39" s="23"/>
      <c r="D39" s="23"/>
      <c r="E39" s="23"/>
      <c r="F39" s="650"/>
      <c r="G39" s="179">
        <f>+E39+D39+C39+'EXH KBH-2 P2.6'!I39+'EXH KBH-2 P2.6'!H39+'EXH KBH-2 P2.6'!G39+'EXH KBH-2 P2.6'!F39+'EXH KBH-2 P2.6'!E39+'EXH KBH-2 P2.6'!D39+'EXH KBH-2 P2.6'!C39+'EXH KBH-2 P2.5'!C39+'EXH KBH-2 P2.5'!D39+'EXH KBH-2 P2.5'!E39+'EXH KBH-2 P2.5'!F39+'EXH KBH-2 P2.5'!G39+'EXH KBH-2 P2.5'!H39+'EXH KBH-2 P2.5'!I39+'EXH KBH-2 P2.4'!C39+'EXH KBH-2 P2.4'!D39+'EXH KBH-2 P2.4'!E39+'EXH KBH-2 P2.4'!F39+'EXH KBH-2 P2.4'!G39+'EXH KBH-2 P2.4'!H39+'EXH KBH-2 P2.4'!I39+'EXH KBH-2 P2.3'!C39+'EXH KBH-2 P2.3'!D39+'EXH KBH-2 P2.3'!E39+'EXH KBH-2 P2.3'!F39+'EXH KBH-2 P2.3'!G39+'EXH KBH-2 P2.3'!H39+'EXH KBH-2 P2.3'!I39+'EXH KBH-2 P2.2'!D39+'EXH KBH-2 P2.2'!E39+'EXH KBH-2 P2.2'!F39+'EXH KBH-2 P2.2'!G39+'EXH KBH-2 P2.2'!H39+'EXH KBH-2 P2.2'!I39+F39</f>
        <v>21519778.061820596</v>
      </c>
      <c r="H39" s="179">
        <f>+G39+'EXH KBH-2 P2.2'!C39</f>
        <v>51842930.242420599</v>
      </c>
      <c r="I39" s="27"/>
      <c r="K39" s="23"/>
    </row>
    <row r="40" spans="1:11">
      <c r="A40" s="20">
        <f t="shared" si="0"/>
        <v>31</v>
      </c>
      <c r="B40" s="28" t="s">
        <v>27</v>
      </c>
      <c r="C40" s="33">
        <f t="shared" ref="C40:H40" si="4">SUM(C23:C39)</f>
        <v>-1272207.4486038254</v>
      </c>
      <c r="D40" s="33">
        <f t="shared" si="4"/>
        <v>0</v>
      </c>
      <c r="E40" s="33">
        <f t="shared" si="4"/>
        <v>0</v>
      </c>
      <c r="F40" s="651">
        <f t="shared" si="4"/>
        <v>1895269.6954658537</v>
      </c>
      <c r="G40" s="33">
        <f t="shared" si="4"/>
        <v>-210696532.53603962</v>
      </c>
      <c r="H40" s="33">
        <f t="shared" si="4"/>
        <v>1782062119.208673</v>
      </c>
      <c r="I40" s="30"/>
      <c r="J40" s="30"/>
      <c r="K40" s="29"/>
    </row>
    <row r="41" spans="1:11">
      <c r="A41" s="20">
        <f t="shared" si="0"/>
        <v>32</v>
      </c>
      <c r="B41" s="28"/>
      <c r="C41" s="16"/>
      <c r="D41" s="16"/>
      <c r="E41" s="16"/>
      <c r="F41" s="652"/>
      <c r="G41" s="16"/>
      <c r="H41" s="16"/>
      <c r="I41" s="23"/>
      <c r="K41" s="23"/>
    </row>
    <row r="42" spans="1:11" ht="16.5" thickBot="1">
      <c r="A42" s="20">
        <f t="shared" si="0"/>
        <v>33</v>
      </c>
      <c r="B42" s="8" t="s">
        <v>28</v>
      </c>
      <c r="C42" s="34">
        <f t="shared" ref="C42:H42" si="5">+C15-C40</f>
        <v>1272207.4486038254</v>
      </c>
      <c r="D42" s="34">
        <f t="shared" si="5"/>
        <v>0</v>
      </c>
      <c r="E42" s="34">
        <f t="shared" si="5"/>
        <v>0</v>
      </c>
      <c r="F42" s="653">
        <f t="shared" si="5"/>
        <v>-1895269.6954658537</v>
      </c>
      <c r="G42" s="34">
        <f t="shared" si="5"/>
        <v>66569116.826957196</v>
      </c>
      <c r="H42" s="34">
        <f t="shared" si="5"/>
        <v>291900885.08224416</v>
      </c>
      <c r="I42" s="29"/>
      <c r="J42" s="29"/>
      <c r="K42" s="29"/>
    </row>
    <row r="43" spans="1:11" ht="16.5" thickTop="1">
      <c r="A43" s="20">
        <f t="shared" si="0"/>
        <v>34</v>
      </c>
      <c r="B43" s="24"/>
      <c r="C43" s="23"/>
      <c r="D43" s="23"/>
      <c r="E43" s="23"/>
      <c r="F43" s="650"/>
      <c r="G43" s="23"/>
      <c r="H43" s="23"/>
      <c r="I43" s="23"/>
      <c r="K43" s="23"/>
    </row>
    <row r="44" spans="1:11">
      <c r="A44" s="20">
        <f t="shared" si="0"/>
        <v>35</v>
      </c>
      <c r="B44" s="8" t="s">
        <v>29</v>
      </c>
      <c r="C44" s="23"/>
      <c r="D44" s="23"/>
      <c r="E44" s="23"/>
      <c r="F44" s="650"/>
      <c r="G44" s="23"/>
      <c r="H44" s="23"/>
      <c r="I44" s="23"/>
      <c r="K44" s="23"/>
    </row>
    <row r="45" spans="1:11">
      <c r="A45" s="20">
        <f t="shared" si="0"/>
        <v>36</v>
      </c>
      <c r="B45" s="24" t="s">
        <v>611</v>
      </c>
      <c r="C45" s="29">
        <f>+'Adj 10.35 P2.42'!E24</f>
        <v>8777632.3603655454</v>
      </c>
      <c r="D45" s="29">
        <v>0</v>
      </c>
      <c r="E45" s="29">
        <v>0</v>
      </c>
      <c r="F45" s="654"/>
      <c r="G45" s="29">
        <f>+E45+D45+C45+'EXH KBH-2 P2.6'!I45+'EXH KBH-2 P2.6'!H45+'EXH KBH-2 P2.6'!G45+'EXH KBH-2 P2.6'!F45+'EXH KBH-2 P2.6'!E45+'EXH KBH-2 P2.6'!D45+'EXH KBH-2 P2.6'!C45+'EXH KBH-2 P2.5'!C45+'EXH KBH-2 P2.5'!D45+'EXH KBH-2 P2.5'!E45+'EXH KBH-2 P2.5'!F45+'EXH KBH-2 P2.5'!G45+'EXH KBH-2 P2.5'!H45+'EXH KBH-2 P2.5'!I45+'EXH KBH-2 P2.4'!C45+'EXH KBH-2 P2.4'!D45+'EXH KBH-2 P2.4'!E45+'EXH KBH-2 P2.4'!F45+'EXH KBH-2 P2.4'!G45+'EXH KBH-2 P2.4'!H45+'EXH KBH-2 P2.4'!I45+'EXH KBH-2 P2.3'!C45+'EXH KBH-2 P2.3'!D45+'EXH KBH-2 P2.3'!E45+'EXH KBH-2 P2.3'!F45+'EXH KBH-2 P2.3'!G45+'EXH KBH-2 P2.3'!H45+'EXH KBH-2 P2.3'!I45+'EXH KBH-2 P2.2'!D45+'EXH KBH-2 P2.2'!E45+'EXH KBH-2 P2.2'!F45+'EXH KBH-2 P2.2'!G45+'EXH KBH-2 P2.2'!H45+'EXH KBH-2 P2.2'!I45+F45</f>
        <v>473824779.90494883</v>
      </c>
      <c r="H45" s="29">
        <f>+G45+'EXH KBH-2 P2.2'!C45</f>
        <v>6657398767.6261663</v>
      </c>
      <c r="I45" s="29"/>
      <c r="J45" s="30"/>
      <c r="K45" s="29"/>
    </row>
    <row r="46" spans="1:11">
      <c r="A46" s="20">
        <f t="shared" si="0"/>
        <v>37</v>
      </c>
      <c r="B46" s="24" t="s">
        <v>30</v>
      </c>
      <c r="C46" s="23">
        <f>+'Adj 10.35 P2.42'!E25</f>
        <v>-603462</v>
      </c>
      <c r="D46" s="23"/>
      <c r="E46" s="23"/>
      <c r="F46" s="654"/>
      <c r="G46" s="179">
        <f>+E46+D46+C46+'EXH KBH-2 P2.6'!I46+'EXH KBH-2 P2.6'!H46+'EXH KBH-2 P2.6'!G46+'EXH KBH-2 P2.6'!F46+'EXH KBH-2 P2.6'!E46+'EXH KBH-2 P2.6'!D46+'EXH KBH-2 P2.6'!C46+'EXH KBH-2 P2.5'!C46+'EXH KBH-2 P2.5'!D46+'EXH KBH-2 P2.5'!E46+'EXH KBH-2 P2.5'!F46+'EXH KBH-2 P2.5'!G46+'EXH KBH-2 P2.5'!H46+'EXH KBH-2 P2.5'!I46+'EXH KBH-2 P2.4'!C46+'EXH KBH-2 P2.4'!D46+'EXH KBH-2 P2.4'!E46+'EXH KBH-2 P2.4'!F46+'EXH KBH-2 P2.4'!G46+'EXH KBH-2 P2.4'!H46+'EXH KBH-2 P2.4'!I46+'EXH KBH-2 P2.3'!C46+'EXH KBH-2 P2.3'!D46+'EXH KBH-2 P2.3'!E46+'EXH KBH-2 P2.3'!F46+'EXH KBH-2 P2.3'!G46+'EXH KBH-2 P2.3'!H46+'EXH KBH-2 P2.3'!I46+'EXH KBH-2 P2.2'!D46+'EXH KBH-2 P2.2'!E46+'EXH KBH-2 P2.2'!F46+'EXH KBH-2 P2.2'!G46+'EXH KBH-2 P2.2'!H46+'EXH KBH-2 P2.2'!I46+F46</f>
        <v>-192093249.12289196</v>
      </c>
      <c r="H46" s="179">
        <f>+G46+'EXH KBH-2 P2.2'!C46</f>
        <v>-2725863443.9830937</v>
      </c>
      <c r="I46" s="23"/>
      <c r="K46" s="23"/>
    </row>
    <row r="47" spans="1:11">
      <c r="A47" s="20">
        <f t="shared" si="0"/>
        <v>38</v>
      </c>
      <c r="B47" s="24" t="s">
        <v>31</v>
      </c>
      <c r="C47" s="23"/>
      <c r="D47" s="23">
        <f>+'Adj 10.36 P2.43'!E13</f>
        <v>-2633392.0833333335</v>
      </c>
      <c r="E47" s="23"/>
      <c r="F47" s="650">
        <f>+'Adj 10.38 P2.45'!E24+'Adj 10.38 P2.45'!E25</f>
        <v>4373699.2972288933</v>
      </c>
      <c r="G47" s="179">
        <f>+E47+D47+C47+'EXH KBH-2 P2.6'!I47+'EXH KBH-2 P2.6'!H47+'EXH KBH-2 P2.6'!G47+'EXH KBH-2 P2.6'!F47+'EXH KBH-2 P2.6'!E47+'EXH KBH-2 P2.6'!D47+'EXH KBH-2 P2.6'!C47+'EXH KBH-2 P2.5'!C47+'EXH KBH-2 P2.5'!D47+'EXH KBH-2 P2.5'!E47+'EXH KBH-2 P2.5'!F47+'EXH KBH-2 P2.5'!G47+'EXH KBH-2 P2.5'!H47+'EXH KBH-2 P2.5'!I47+'EXH KBH-2 P2.4'!C47+'EXH KBH-2 P2.4'!D47+'EXH KBH-2 P2.4'!E47+'EXH KBH-2 P2.4'!F47+'EXH KBH-2 P2.4'!G47+'EXH KBH-2 P2.4'!H47+'EXH KBH-2 P2.4'!I47+'EXH KBH-2 P2.3'!C47+'EXH KBH-2 P2.3'!D47+'EXH KBH-2 P2.3'!E47+'EXH KBH-2 P2.3'!F47+'EXH KBH-2 P2.3'!G47+'EXH KBH-2 P2.3'!H47+'EXH KBH-2 P2.3'!I47+'EXH KBH-2 P2.2'!D47+'EXH KBH-2 P2.2'!E47+'EXH KBH-2 P2.2'!F47+'EXH KBH-2 P2.2'!G47+'EXH KBH-2 P2.2'!H47+'EXH KBH-2 P2.2'!I47+F47</f>
        <v>56451485.213895559</v>
      </c>
      <c r="H47" s="179">
        <f>+G47+'EXH KBH-2 P2.2'!C47</f>
        <v>343201257.21389556</v>
      </c>
      <c r="I47" s="23"/>
      <c r="K47" s="23"/>
    </row>
    <row r="48" spans="1:11">
      <c r="A48" s="20">
        <f t="shared" si="0"/>
        <v>39</v>
      </c>
      <c r="B48" s="24" t="s">
        <v>32</v>
      </c>
      <c r="C48" s="23">
        <f>+'Adj 10.35 P2.42'!E26</f>
        <v>-726142</v>
      </c>
      <c r="D48" s="23">
        <f>+'Adj 10.36 P2.43'!E15</f>
        <v>-897535.875</v>
      </c>
      <c r="E48" s="23"/>
      <c r="F48" s="650">
        <f>+'Adj 10.38 P2.45'!E26</f>
        <v>-1530794.7540301131</v>
      </c>
      <c r="G48" s="179">
        <f>+E48+D48+C48+'EXH KBH-2 P2.6'!I48+'EXH KBH-2 P2.6'!H48+'EXH KBH-2 P2.6'!G48+'EXH KBH-2 P2.6'!F48+'EXH KBH-2 P2.6'!E48+'EXH KBH-2 P2.6'!D48+'EXH KBH-2 P2.6'!C48+'EXH KBH-2 P2.5'!C48+'EXH KBH-2 P2.5'!D48+'EXH KBH-2 P2.5'!E48+'EXH KBH-2 P2.5'!F48+'EXH KBH-2 P2.5'!G48+'EXH KBH-2 P2.5'!H48+'EXH KBH-2 P2.5'!I48+'EXH KBH-2 P2.4'!C48+'EXH KBH-2 P2.4'!D48+'EXH KBH-2 P2.4'!E48+'EXH KBH-2 P2.4'!F48+'EXH KBH-2 P2.4'!G48+'EXH KBH-2 P2.4'!H48+'EXH KBH-2 P2.4'!I48+'EXH KBH-2 P2.3'!C48+'EXH KBH-2 P2.3'!D48+'EXH KBH-2 P2.3'!E48+'EXH KBH-2 P2.3'!F48+'EXH KBH-2 P2.3'!G48+'EXH KBH-2 P2.3'!H48+'EXH KBH-2 P2.3'!I48+'EXH KBH-2 P2.2'!D48+'EXH KBH-2 P2.2'!E48+'EXH KBH-2 P2.2'!F48+'EXH KBH-2 P2.2'!G48+'EXH KBH-2 P2.2'!H48+'EXH KBH-2 P2.2'!I48+F48</f>
        <v>-54466412.272769123</v>
      </c>
      <c r="H48" s="179">
        <f>+G48+'EXH KBH-2 P2.2'!C48</f>
        <v>-569662828.27276909</v>
      </c>
      <c r="I48" s="23"/>
      <c r="K48" s="23"/>
    </row>
    <row r="49" spans="1:11">
      <c r="A49" s="20">
        <f t="shared" si="0"/>
        <v>40</v>
      </c>
      <c r="B49" s="24" t="s">
        <v>33</v>
      </c>
      <c r="C49" s="23"/>
      <c r="D49" s="23"/>
      <c r="E49" s="23"/>
      <c r="F49" s="650"/>
      <c r="G49" s="179">
        <f>+E49+D49+C49+'EXH KBH-2 P2.6'!I49+'EXH KBH-2 P2.6'!H49+'EXH KBH-2 P2.6'!G49+'EXH KBH-2 P2.6'!F49+'EXH KBH-2 P2.6'!E49+'EXH KBH-2 P2.6'!D49+'EXH KBH-2 P2.6'!C49+'EXH KBH-2 P2.5'!C49+'EXH KBH-2 P2.5'!D49+'EXH KBH-2 P2.5'!E49+'EXH KBH-2 P2.5'!F49+'EXH KBH-2 P2.5'!G49+'EXH KBH-2 P2.5'!H49+'EXH KBH-2 P2.5'!I49+'EXH KBH-2 P2.4'!C49+'EXH KBH-2 P2.4'!D49+'EXH KBH-2 P2.4'!E49+'EXH KBH-2 P2.4'!F49+'EXH KBH-2 P2.4'!G49+'EXH KBH-2 P2.4'!H49+'EXH KBH-2 P2.4'!I49+'EXH KBH-2 P2.3'!C49+'EXH KBH-2 P2.3'!D49+'EXH KBH-2 P2.3'!E49+'EXH KBH-2 P2.3'!F49+'EXH KBH-2 P2.3'!G49+'EXH KBH-2 P2.3'!H49+'EXH KBH-2 P2.3'!I49+'EXH KBH-2 P2.2'!D49+'EXH KBH-2 P2.2'!E49+'EXH KBH-2 P2.2'!F49+'EXH KBH-2 P2.2'!G49+'EXH KBH-2 P2.2'!H49+'EXH KBH-2 P2.2'!I49+F49</f>
        <v>4846474.2075103223</v>
      </c>
      <c r="H49" s="179">
        <f>+G49+'EXH KBH-2 P2.2'!C49</f>
        <v>132544676.20751032</v>
      </c>
      <c r="I49" s="23"/>
      <c r="K49" s="23"/>
    </row>
    <row r="50" spans="1:11">
      <c r="A50" s="20">
        <f t="shared" si="0"/>
        <v>41</v>
      </c>
      <c r="B50" s="24" t="s">
        <v>34</v>
      </c>
      <c r="C50" s="23"/>
      <c r="D50" s="23"/>
      <c r="E50" s="23"/>
      <c r="F50" s="650"/>
      <c r="G50" s="179">
        <f>+E50+D50+C50+'EXH KBH-2 P2.6'!I50+'EXH KBH-2 P2.6'!H50+'EXH KBH-2 P2.6'!G50+'EXH KBH-2 P2.6'!F50+'EXH KBH-2 P2.6'!E50+'EXH KBH-2 P2.6'!D50+'EXH KBH-2 P2.6'!C50+'EXH KBH-2 P2.5'!C50+'EXH KBH-2 P2.5'!D50+'EXH KBH-2 P2.5'!E50+'EXH KBH-2 P2.5'!F50+'EXH KBH-2 P2.5'!G50+'EXH KBH-2 P2.5'!H50+'EXH KBH-2 P2.5'!I50+'EXH KBH-2 P2.4'!C50+'EXH KBH-2 P2.4'!D50+'EXH KBH-2 P2.4'!E50+'EXH KBH-2 P2.4'!F50+'EXH KBH-2 P2.4'!G50+'EXH KBH-2 P2.4'!H50+'EXH KBH-2 P2.4'!I50+'EXH KBH-2 P2.3'!C50+'EXH KBH-2 P2.3'!D50+'EXH KBH-2 P2.3'!E50+'EXH KBH-2 P2.3'!F50+'EXH KBH-2 P2.3'!G50+'EXH KBH-2 P2.3'!H50+'EXH KBH-2 P2.3'!I50+'EXH KBH-2 P2.2'!D50+'EXH KBH-2 P2.2'!E50+'EXH KBH-2 P2.2'!F50+'EXH KBH-2 P2.2'!G50+'EXH KBH-2 P2.2'!H50+'EXH KBH-2 P2.2'!I50+F50</f>
        <v>0</v>
      </c>
      <c r="H50" s="179">
        <f>+G50+'EXH KBH-2 P2.2'!C50</f>
        <v>-89746677.579166666</v>
      </c>
      <c r="I50" s="23"/>
      <c r="K50" s="23"/>
    </row>
    <row r="51" spans="1:11" ht="16.5" thickBot="1">
      <c r="A51" s="20">
        <f t="shared" si="0"/>
        <v>42</v>
      </c>
      <c r="B51" s="24" t="s">
        <v>35</v>
      </c>
      <c r="C51" s="34">
        <f t="shared" ref="C51:H51" si="6">SUM(C45:C50)</f>
        <v>7448028.3603655454</v>
      </c>
      <c r="D51" s="34">
        <f t="shared" si="6"/>
        <v>-3530927.9583333335</v>
      </c>
      <c r="E51" s="34">
        <f t="shared" si="6"/>
        <v>0</v>
      </c>
      <c r="F51" s="653">
        <f t="shared" si="6"/>
        <v>2842904.5431987802</v>
      </c>
      <c r="G51" s="34">
        <f t="shared" ref="G51" si="7">SUM(G45:G50)</f>
        <v>288563077.93069363</v>
      </c>
      <c r="H51" s="34">
        <f t="shared" si="6"/>
        <v>3747871751.2125425</v>
      </c>
      <c r="I51" s="29"/>
      <c r="J51" s="29"/>
      <c r="K51" s="29"/>
    </row>
    <row r="52" spans="1:11" ht="16.5" thickTop="1">
      <c r="A52" s="25"/>
      <c r="B52" s="25"/>
    </row>
  </sheetData>
  <mergeCells count="4">
    <mergeCell ref="A2:H2"/>
    <mergeCell ref="A3:H3"/>
    <mergeCell ref="A4:H4"/>
    <mergeCell ref="A5:H5"/>
  </mergeCells>
  <printOptions horizontalCentered="1"/>
  <pageMargins left="0.5" right="0.5" top="0.75" bottom="0.3" header="0.3" footer="0.3"/>
  <pageSetup scale="68" orientation="landscape" r:id="rId1"/>
  <headerFooter scaleWithDoc="0">
    <oddHeader>&amp;R&amp;"Times New Roman,Regular"UE-090704/UG-090705
Exhibit No. KHB-2
Page 2.7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2"/>
  <sheetViews>
    <sheetView zoomScaleNormal="100" workbookViewId="0">
      <selection activeCell="B52" sqref="B52"/>
    </sheetView>
  </sheetViews>
  <sheetFormatPr defaultColWidth="9.140625" defaultRowHeight="15.75"/>
  <cols>
    <col min="1" max="1" width="9.140625" style="2"/>
    <col min="2" max="2" width="23.85546875" style="2" customWidth="1"/>
    <col min="3" max="3" width="30.7109375" style="2" customWidth="1"/>
    <col min="4" max="4" width="12.7109375" style="2" bestFit="1" customWidth="1"/>
    <col min="5" max="5" width="10.7109375" style="2" bestFit="1" customWidth="1"/>
    <col min="6" max="6" width="19" style="2" bestFit="1" customWidth="1"/>
    <col min="7" max="7" width="14.7109375" style="2" bestFit="1" customWidth="1"/>
    <col min="8" max="16384" width="9.140625" style="2"/>
  </cols>
  <sheetData>
    <row r="1" spans="1:7">
      <c r="A1" s="2" t="str">
        <f>CO</f>
        <v>Puget Sound Energy</v>
      </c>
    </row>
    <row r="2" spans="1:7">
      <c r="A2" s="2" t="str">
        <f>DOCKET</f>
        <v>Docket UE-090704/UG-090705</v>
      </c>
    </row>
    <row r="4" spans="1:7">
      <c r="A4" s="218" t="s">
        <v>201</v>
      </c>
      <c r="B4" s="219"/>
      <c r="C4" s="219"/>
      <c r="D4" s="219"/>
      <c r="E4" s="219"/>
      <c r="F4" s="219"/>
      <c r="G4" s="219"/>
    </row>
    <row r="5" spans="1:7">
      <c r="A5" s="218" t="s">
        <v>614</v>
      </c>
      <c r="B5" s="218"/>
      <c r="C5" s="218"/>
      <c r="D5" s="218"/>
      <c r="E5" s="219"/>
      <c r="F5" s="668"/>
      <c r="G5" s="445"/>
    </row>
    <row r="6" spans="1:7">
      <c r="A6" s="219" t="s">
        <v>204</v>
      </c>
      <c r="B6" s="218"/>
      <c r="C6" s="218"/>
      <c r="D6" s="218"/>
      <c r="E6" s="219"/>
      <c r="F6" s="446"/>
      <c r="G6" s="446"/>
    </row>
    <row r="7" spans="1:7">
      <c r="A7" s="218" t="s">
        <v>205</v>
      </c>
      <c r="B7" s="218"/>
      <c r="C7" s="218"/>
      <c r="D7" s="218"/>
      <c r="E7" s="219"/>
      <c r="F7" s="219"/>
      <c r="G7" s="219"/>
    </row>
    <row r="8" spans="1:7">
      <c r="A8" s="220"/>
      <c r="B8" s="220"/>
      <c r="C8" s="220"/>
      <c r="D8" s="220"/>
      <c r="E8" s="220"/>
      <c r="F8" s="220"/>
      <c r="G8" s="220"/>
    </row>
    <row r="9" spans="1:7">
      <c r="A9" s="225" t="s">
        <v>208</v>
      </c>
      <c r="B9" s="223"/>
      <c r="C9" s="223"/>
      <c r="D9" s="223"/>
      <c r="E9" s="220"/>
      <c r="F9" s="220"/>
      <c r="G9" s="222"/>
    </row>
    <row r="10" spans="1:7">
      <c r="A10" s="228" t="s">
        <v>215</v>
      </c>
      <c r="B10" s="227" t="s">
        <v>216</v>
      </c>
      <c r="C10" s="227"/>
      <c r="D10" s="227"/>
      <c r="E10" s="227"/>
      <c r="F10" s="227"/>
      <c r="G10" s="226"/>
    </row>
    <row r="11" spans="1:7">
      <c r="A11" s="231">
        <v>1</v>
      </c>
      <c r="B11" s="357" t="s">
        <v>352</v>
      </c>
      <c r="C11" s="236"/>
      <c r="D11" s="236"/>
      <c r="E11" s="232"/>
      <c r="F11" s="669"/>
      <c r="G11" s="232"/>
    </row>
    <row r="12" spans="1:7">
      <c r="A12" s="471">
        <f t="shared" ref="A12:A42" si="0">+A11+1</f>
        <v>2</v>
      </c>
      <c r="B12" s="232"/>
      <c r="C12" s="670" t="s">
        <v>218</v>
      </c>
      <c r="D12" s="266" t="s">
        <v>353</v>
      </c>
      <c r="E12" s="671" t="s">
        <v>354</v>
      </c>
      <c r="F12" s="231" t="s">
        <v>355</v>
      </c>
      <c r="G12" s="232"/>
    </row>
    <row r="13" spans="1:7">
      <c r="A13" s="471">
        <f t="shared" si="0"/>
        <v>3</v>
      </c>
      <c r="B13" s="232"/>
      <c r="C13" s="672" t="s">
        <v>356</v>
      </c>
      <c r="D13" s="673" t="s">
        <v>356</v>
      </c>
      <c r="E13" s="674" t="s">
        <v>357</v>
      </c>
      <c r="F13" s="675">
        <v>6.7000000000000004E-2</v>
      </c>
      <c r="G13" s="232"/>
    </row>
    <row r="14" spans="1:7">
      <c r="A14" s="471">
        <f t="shared" si="0"/>
        <v>4</v>
      </c>
      <c r="B14" s="676">
        <v>39448</v>
      </c>
      <c r="C14" s="677">
        <v>2469689.6039999998</v>
      </c>
      <c r="D14" s="120">
        <v>2391017.5110220108</v>
      </c>
      <c r="E14" s="669">
        <f t="shared" ref="E14:E25" si="1">+D14-C14</f>
        <v>-78672.092977988999</v>
      </c>
      <c r="F14" s="669">
        <f t="shared" ref="F14:F25" si="2">ROUND(+E14*(1-$F$11),0)</f>
        <v>-78672</v>
      </c>
      <c r="G14" s="232"/>
    </row>
    <row r="15" spans="1:7">
      <c r="A15" s="471">
        <f t="shared" si="0"/>
        <v>5</v>
      </c>
      <c r="B15" s="676">
        <v>39479</v>
      </c>
      <c r="C15" s="677">
        <v>2107909.2340000002</v>
      </c>
      <c r="D15" s="120">
        <v>2120848.3531083306</v>
      </c>
      <c r="E15" s="669">
        <f t="shared" si="1"/>
        <v>12939.119108330458</v>
      </c>
      <c r="F15" s="669">
        <f t="shared" si="2"/>
        <v>12939</v>
      </c>
      <c r="G15" s="232"/>
    </row>
    <row r="16" spans="1:7">
      <c r="A16" s="471">
        <f t="shared" si="0"/>
        <v>6</v>
      </c>
      <c r="B16" s="676">
        <v>39508</v>
      </c>
      <c r="C16" s="677">
        <v>2170179.736</v>
      </c>
      <c r="D16" s="120">
        <v>2091247.614048287</v>
      </c>
      <c r="E16" s="669">
        <f t="shared" si="1"/>
        <v>-78932.121951712994</v>
      </c>
      <c r="F16" s="669">
        <f t="shared" si="2"/>
        <v>-78932</v>
      </c>
      <c r="G16" s="232"/>
    </row>
    <row r="17" spans="1:7">
      <c r="A17" s="471">
        <f t="shared" si="0"/>
        <v>7</v>
      </c>
      <c r="B17" s="676">
        <v>39539</v>
      </c>
      <c r="C17" s="677">
        <v>1958625.746</v>
      </c>
      <c r="D17" s="120">
        <v>1886833.0561497402</v>
      </c>
      <c r="E17" s="669">
        <f t="shared" si="1"/>
        <v>-71792.689850259805</v>
      </c>
      <c r="F17" s="669">
        <f t="shared" si="2"/>
        <v>-71793</v>
      </c>
      <c r="G17" s="232"/>
    </row>
    <row r="18" spans="1:7">
      <c r="A18" s="471">
        <f t="shared" si="0"/>
        <v>8</v>
      </c>
      <c r="B18" s="676">
        <v>39569</v>
      </c>
      <c r="C18" s="677">
        <v>1766162.368</v>
      </c>
      <c r="D18" s="120">
        <v>1766439.3431143938</v>
      </c>
      <c r="E18" s="669">
        <f t="shared" si="1"/>
        <v>276.97511439374648</v>
      </c>
      <c r="F18" s="669">
        <f t="shared" si="2"/>
        <v>277</v>
      </c>
      <c r="G18" s="232"/>
    </row>
    <row r="19" spans="1:7">
      <c r="A19" s="471">
        <f t="shared" si="0"/>
        <v>9</v>
      </c>
      <c r="B19" s="676">
        <v>39600</v>
      </c>
      <c r="C19" s="677">
        <v>1675453.52</v>
      </c>
      <c r="D19" s="120">
        <v>1675927.6027142685</v>
      </c>
      <c r="E19" s="669">
        <f t="shared" si="1"/>
        <v>474.08271426847205</v>
      </c>
      <c r="F19" s="669">
        <f t="shared" si="2"/>
        <v>474</v>
      </c>
      <c r="G19" s="232"/>
    </row>
    <row r="20" spans="1:7">
      <c r="A20" s="471">
        <f t="shared" si="0"/>
        <v>10</v>
      </c>
      <c r="B20" s="676">
        <v>39630</v>
      </c>
      <c r="C20" s="677">
        <v>1672937.4550000001</v>
      </c>
      <c r="D20" s="120">
        <v>1682788.6919019066</v>
      </c>
      <c r="E20" s="669">
        <f t="shared" si="1"/>
        <v>9851.2369019065518</v>
      </c>
      <c r="F20" s="669">
        <f t="shared" si="2"/>
        <v>9851</v>
      </c>
      <c r="G20" s="232"/>
    </row>
    <row r="21" spans="1:7">
      <c r="A21" s="471">
        <f t="shared" si="0"/>
        <v>11</v>
      </c>
      <c r="B21" s="676">
        <v>39661</v>
      </c>
      <c r="C21" s="677">
        <v>1721324.4620000001</v>
      </c>
      <c r="D21" s="120">
        <v>1713214.7451825615</v>
      </c>
      <c r="E21" s="669">
        <f t="shared" si="1"/>
        <v>-8109.7168174386024</v>
      </c>
      <c r="F21" s="669">
        <f t="shared" si="2"/>
        <v>-8110</v>
      </c>
      <c r="G21" s="232"/>
    </row>
    <row r="22" spans="1:7">
      <c r="A22" s="471">
        <f t="shared" si="0"/>
        <v>12</v>
      </c>
      <c r="B22" s="676">
        <v>39692</v>
      </c>
      <c r="C22" s="677">
        <v>1662996.132</v>
      </c>
      <c r="D22" s="120">
        <v>1666513.8985193141</v>
      </c>
      <c r="E22" s="669">
        <f t="shared" si="1"/>
        <v>3517.7665193141438</v>
      </c>
      <c r="F22" s="669">
        <f t="shared" si="2"/>
        <v>3518</v>
      </c>
      <c r="G22" s="232"/>
    </row>
    <row r="23" spans="1:7">
      <c r="A23" s="471">
        <f t="shared" si="0"/>
        <v>13</v>
      </c>
      <c r="B23" s="676">
        <v>39722</v>
      </c>
      <c r="C23" s="677">
        <v>1892478</v>
      </c>
      <c r="D23" s="120">
        <v>1882587.32919324</v>
      </c>
      <c r="E23" s="669">
        <f t="shared" si="1"/>
        <v>-9890.6708067599684</v>
      </c>
      <c r="F23" s="669">
        <f t="shared" si="2"/>
        <v>-9891</v>
      </c>
      <c r="G23" s="232"/>
    </row>
    <row r="24" spans="1:7">
      <c r="A24" s="471">
        <f t="shared" si="0"/>
        <v>14</v>
      </c>
      <c r="B24" s="676">
        <v>39753</v>
      </c>
      <c r="C24" s="677">
        <v>1952478.666</v>
      </c>
      <c r="D24" s="120">
        <v>2053027.813723241</v>
      </c>
      <c r="E24" s="669">
        <f t="shared" si="1"/>
        <v>100549.14772324101</v>
      </c>
      <c r="F24" s="669">
        <f t="shared" si="2"/>
        <v>100549</v>
      </c>
      <c r="G24" s="232"/>
    </row>
    <row r="25" spans="1:7">
      <c r="A25" s="471">
        <f t="shared" si="0"/>
        <v>15</v>
      </c>
      <c r="B25" s="676">
        <v>39783</v>
      </c>
      <c r="C25" s="678">
        <v>2521637.1030000001</v>
      </c>
      <c r="D25" s="678">
        <v>2426078.7331769783</v>
      </c>
      <c r="E25" s="679">
        <f t="shared" si="1"/>
        <v>-95558.369823021814</v>
      </c>
      <c r="F25" s="679">
        <f t="shared" si="2"/>
        <v>-95558</v>
      </c>
      <c r="G25" s="232"/>
    </row>
    <row r="26" spans="1:7">
      <c r="A26" s="471">
        <f t="shared" si="0"/>
        <v>16</v>
      </c>
      <c r="B26" s="232"/>
      <c r="C26" s="246">
        <f>ROUND(SUM(C14:C25),0)</f>
        <v>23571872</v>
      </c>
      <c r="D26" s="246">
        <f>ROUND(SUM(D14:D25),0)</f>
        <v>23356525</v>
      </c>
      <c r="E26" s="246">
        <f>ROUND(SUM(E14:E25),0)</f>
        <v>-215347</v>
      </c>
      <c r="F26" s="246">
        <f>ROUND(SUM(F14:F25),0)</f>
        <v>-215348</v>
      </c>
      <c r="G26" s="232"/>
    </row>
    <row r="27" spans="1:7">
      <c r="A27" s="471">
        <f t="shared" si="0"/>
        <v>17</v>
      </c>
      <c r="B27" s="232"/>
      <c r="C27" s="68"/>
      <c r="D27" s="68"/>
      <c r="E27" s="232"/>
      <c r="F27" s="232"/>
      <c r="G27" s="232"/>
    </row>
    <row r="28" spans="1:7">
      <c r="A28" s="471">
        <f t="shared" si="0"/>
        <v>18</v>
      </c>
      <c r="B28" s="232" t="s">
        <v>358</v>
      </c>
      <c r="C28" s="232" t="s">
        <v>359</v>
      </c>
      <c r="D28" s="660"/>
      <c r="E28" s="73">
        <v>-176605</v>
      </c>
      <c r="F28" s="680">
        <v>-18021127</v>
      </c>
      <c r="G28" s="232"/>
    </row>
    <row r="29" spans="1:7">
      <c r="A29" s="471">
        <f t="shared" si="0"/>
        <v>19</v>
      </c>
      <c r="B29" s="231"/>
      <c r="C29" s="232" t="s">
        <v>360</v>
      </c>
      <c r="D29" s="232"/>
      <c r="E29" s="237">
        <v>-7529</v>
      </c>
      <c r="F29" s="73">
        <v>-657045</v>
      </c>
      <c r="G29" s="232"/>
    </row>
    <row r="30" spans="1:7">
      <c r="A30" s="471">
        <f t="shared" si="0"/>
        <v>20</v>
      </c>
      <c r="B30" s="232"/>
      <c r="C30" s="236" t="s">
        <v>361</v>
      </c>
      <c r="D30" s="681"/>
      <c r="E30" s="237">
        <v>-7940</v>
      </c>
      <c r="F30" s="73">
        <v>-504896</v>
      </c>
      <c r="G30" s="232"/>
    </row>
    <row r="31" spans="1:7">
      <c r="A31" s="471">
        <f t="shared" si="0"/>
        <v>21</v>
      </c>
      <c r="B31" s="232"/>
      <c r="C31" s="232" t="s">
        <v>362</v>
      </c>
      <c r="D31" s="236"/>
      <c r="E31" s="237">
        <v>-3774</v>
      </c>
      <c r="F31" s="73">
        <v>-230199</v>
      </c>
      <c r="G31" s="232"/>
    </row>
    <row r="32" spans="1:7">
      <c r="A32" s="471">
        <f t="shared" si="0"/>
        <v>22</v>
      </c>
      <c r="B32" s="232"/>
      <c r="C32" s="236" t="s">
        <v>363</v>
      </c>
      <c r="D32" s="232"/>
      <c r="E32" s="237">
        <v>68</v>
      </c>
      <c r="F32" s="73">
        <v>3652</v>
      </c>
      <c r="G32" s="232"/>
    </row>
    <row r="33" spans="1:7">
      <c r="A33" s="471">
        <f t="shared" si="0"/>
        <v>23</v>
      </c>
      <c r="B33" s="232"/>
      <c r="C33" s="236" t="s">
        <v>364</v>
      </c>
      <c r="D33" s="232"/>
      <c r="E33" s="237">
        <v>-928</v>
      </c>
      <c r="F33" s="73">
        <v>-54654</v>
      </c>
      <c r="G33" s="232"/>
    </row>
    <row r="34" spans="1:7">
      <c r="A34" s="471">
        <f t="shared" si="0"/>
        <v>24</v>
      </c>
      <c r="B34" s="232"/>
      <c r="C34" s="232" t="s">
        <v>365</v>
      </c>
      <c r="D34" s="232"/>
      <c r="E34" s="237">
        <v>-3472</v>
      </c>
      <c r="F34" s="73">
        <v>-192341</v>
      </c>
      <c r="G34" s="232"/>
    </row>
    <row r="35" spans="1:7">
      <c r="A35" s="471">
        <f t="shared" si="0"/>
        <v>25</v>
      </c>
      <c r="B35" s="232"/>
      <c r="C35" s="236" t="s">
        <v>366</v>
      </c>
      <c r="D35" s="232"/>
      <c r="E35" s="237">
        <v>9</v>
      </c>
      <c r="F35" s="73">
        <v>501</v>
      </c>
      <c r="G35" s="232"/>
    </row>
    <row r="36" spans="1:7">
      <c r="A36" s="471">
        <f t="shared" si="0"/>
        <v>26</v>
      </c>
      <c r="B36" s="232"/>
      <c r="C36" s="236" t="s">
        <v>367</v>
      </c>
      <c r="D36" s="232"/>
      <c r="E36" s="237">
        <v>-419</v>
      </c>
      <c r="F36" s="73">
        <v>-23339</v>
      </c>
      <c r="G36" s="232"/>
    </row>
    <row r="37" spans="1:7">
      <c r="A37" s="471">
        <f t="shared" si="0"/>
        <v>27</v>
      </c>
      <c r="B37" s="232"/>
      <c r="C37" s="232" t="s">
        <v>368</v>
      </c>
      <c r="D37" s="232"/>
      <c r="E37" s="237">
        <v>-207</v>
      </c>
      <c r="F37" s="682">
        <v>-11206</v>
      </c>
      <c r="G37" s="232"/>
    </row>
    <row r="38" spans="1:7">
      <c r="A38" s="471">
        <f t="shared" si="0"/>
        <v>28</v>
      </c>
      <c r="B38" s="232"/>
      <c r="C38" s="232" t="s">
        <v>369</v>
      </c>
      <c r="D38" s="232"/>
      <c r="E38" s="569">
        <v>-124</v>
      </c>
      <c r="F38" s="683">
        <v>-4359</v>
      </c>
      <c r="G38" s="473"/>
    </row>
    <row r="39" spans="1:7">
      <c r="A39" s="471">
        <f t="shared" si="0"/>
        <v>29</v>
      </c>
      <c r="B39" s="232" t="s">
        <v>370</v>
      </c>
      <c r="C39" s="232"/>
      <c r="D39" s="232"/>
      <c r="E39" s="232"/>
      <c r="F39" s="240"/>
      <c r="G39" s="240">
        <f>SUM(F28:F38)</f>
        <v>-19695013</v>
      </c>
    </row>
    <row r="40" spans="1:7">
      <c r="A40" s="471">
        <f t="shared" si="0"/>
        <v>30</v>
      </c>
      <c r="B40" s="243"/>
      <c r="C40" s="243"/>
      <c r="D40" s="684"/>
      <c r="E40" s="684"/>
      <c r="F40" s="78"/>
      <c r="G40" s="232"/>
    </row>
    <row r="41" spans="1:7">
      <c r="A41" s="471">
        <f t="shared" si="0"/>
        <v>31</v>
      </c>
      <c r="B41" s="236" t="s">
        <v>314</v>
      </c>
      <c r="C41" s="236"/>
      <c r="D41" s="236"/>
      <c r="E41" s="685">
        <f>+'Conv Fact P2.48'!E15</f>
        <v>3.6219999999999998E-3</v>
      </c>
      <c r="F41" s="79">
        <f>ROUND(G39*E41,0)</f>
        <v>-71335</v>
      </c>
      <c r="G41" s="237"/>
    </row>
    <row r="42" spans="1:7">
      <c r="A42" s="471">
        <f t="shared" si="0"/>
        <v>32</v>
      </c>
      <c r="B42" s="236" t="s">
        <v>316</v>
      </c>
      <c r="C42" s="236"/>
      <c r="D42" s="236"/>
      <c r="E42" s="685">
        <f>+'Conv Fact P2.48'!E16</f>
        <v>2E-3</v>
      </c>
      <c r="F42" s="686">
        <f>ROUND(G39*E42,0)</f>
        <v>-39390</v>
      </c>
      <c r="G42" s="237"/>
    </row>
    <row r="43" spans="1:7">
      <c r="A43" s="471">
        <v>31</v>
      </c>
      <c r="B43" s="490" t="s">
        <v>284</v>
      </c>
      <c r="C43" s="236"/>
      <c r="D43" s="236"/>
      <c r="E43" s="685"/>
      <c r="F43" s="492"/>
      <c r="G43" s="680">
        <f>SUM(F41:F42)</f>
        <v>-110725</v>
      </c>
    </row>
    <row r="44" spans="1:7">
      <c r="A44" s="471">
        <f t="shared" ref="A44:A51" si="3">+A43+1</f>
        <v>32</v>
      </c>
      <c r="B44" s="236"/>
      <c r="C44" s="236"/>
      <c r="D44" s="236"/>
      <c r="E44" s="685"/>
      <c r="F44" s="493"/>
      <c r="G44" s="237"/>
    </row>
    <row r="45" spans="1:7">
      <c r="A45" s="471">
        <f t="shared" si="3"/>
        <v>33</v>
      </c>
      <c r="B45" s="236" t="s">
        <v>320</v>
      </c>
      <c r="C45" s="236"/>
      <c r="D45" s="236"/>
      <c r="E45" s="685">
        <f>+'Conv Fact P2.48'!E17</f>
        <v>3.8589999999999999E-2</v>
      </c>
      <c r="F45" s="687">
        <f>ROUND(G39*E45,0)</f>
        <v>-760031</v>
      </c>
      <c r="G45" s="237"/>
    </row>
    <row r="46" spans="1:7">
      <c r="A46" s="471">
        <f t="shared" si="3"/>
        <v>34</v>
      </c>
      <c r="B46" s="490" t="s">
        <v>322</v>
      </c>
      <c r="C46" s="236"/>
      <c r="D46" s="236"/>
      <c r="E46" s="232"/>
      <c r="F46" s="493"/>
      <c r="G46" s="688">
        <f>SUM(F45:F45)</f>
        <v>-760031</v>
      </c>
    </row>
    <row r="47" spans="1:7">
      <c r="A47" s="471">
        <f t="shared" si="3"/>
        <v>35</v>
      </c>
      <c r="B47" s="236"/>
      <c r="C47" s="236"/>
      <c r="D47" s="236"/>
      <c r="E47" s="232"/>
      <c r="F47" s="232"/>
      <c r="G47" s="237"/>
    </row>
    <row r="48" spans="1:7">
      <c r="A48" s="471">
        <f t="shared" si="3"/>
        <v>36</v>
      </c>
      <c r="B48" s="236" t="s">
        <v>297</v>
      </c>
      <c r="C48" s="236"/>
      <c r="D48" s="236"/>
      <c r="E48" s="232"/>
      <c r="F48" s="492"/>
      <c r="G48" s="84">
        <f>G39-G43-G46</f>
        <v>-18824257</v>
      </c>
    </row>
    <row r="49" spans="1:7">
      <c r="A49" s="471">
        <f t="shared" si="3"/>
        <v>37</v>
      </c>
      <c r="B49" s="236"/>
      <c r="C49" s="236"/>
      <c r="D49" s="236"/>
      <c r="E49" s="232"/>
      <c r="F49" s="492"/>
      <c r="G49" s="492"/>
    </row>
    <row r="50" spans="1:7">
      <c r="A50" s="471">
        <f t="shared" si="3"/>
        <v>38</v>
      </c>
      <c r="B50" s="236" t="s">
        <v>259</v>
      </c>
      <c r="C50" s="236"/>
      <c r="D50" s="236"/>
      <c r="E50" s="689">
        <f>FIT</f>
        <v>0.35</v>
      </c>
      <c r="F50" s="492"/>
      <c r="G50" s="268">
        <f>ROUND(G48*E50,0)</f>
        <v>-6588490</v>
      </c>
    </row>
    <row r="51" spans="1:7" ht="16.5" thickBot="1">
      <c r="A51" s="471">
        <f t="shared" si="3"/>
        <v>39</v>
      </c>
      <c r="B51" s="236" t="s">
        <v>240</v>
      </c>
      <c r="C51" s="236"/>
      <c r="D51" s="236"/>
      <c r="E51" s="232"/>
      <c r="F51" s="492"/>
      <c r="G51" s="87">
        <f>G48-G50</f>
        <v>-12235767</v>
      </c>
    </row>
    <row r="52" spans="1:7" ht="16.5" thickTop="1">
      <c r="A52" s="471"/>
      <c r="B52" s="232"/>
      <c r="C52" s="232"/>
      <c r="D52" s="232"/>
      <c r="E52" s="232"/>
      <c r="F52" s="232"/>
      <c r="G52" s="232"/>
    </row>
  </sheetData>
  <pageMargins left="0.7" right="0.7" top="0.75" bottom="0.75" header="0.75" footer="0.3"/>
  <pageSetup scale="74" orientation="portrait" r:id="rId1"/>
  <headerFooter>
    <oddHeader>&amp;R&amp;"Times New Roman,Regular"&amp;12Exhibit KHB-2
Page 2.8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E57"/>
  <sheetViews>
    <sheetView topLeftCell="A5" zoomScaleNormal="100" workbookViewId="0">
      <selection activeCell="B52" sqref="B52"/>
    </sheetView>
  </sheetViews>
  <sheetFormatPr defaultColWidth="9.140625" defaultRowHeight="15.75"/>
  <cols>
    <col min="1" max="1" width="5.42578125" style="2" customWidth="1"/>
    <col min="2" max="2" width="49.28515625" style="2" customWidth="1"/>
    <col min="3" max="3" width="17.7109375" style="2" customWidth="1"/>
    <col min="4" max="4" width="23.5703125" style="2" customWidth="1"/>
    <col min="5" max="5" width="19.7109375" style="2" customWidth="1"/>
    <col min="6" max="16384" width="9.140625" style="2"/>
  </cols>
  <sheetData>
    <row r="1" spans="1:5">
      <c r="A1" s="2" t="s">
        <v>336</v>
      </c>
    </row>
    <row r="2" spans="1:5">
      <c r="A2" s="2" t="s">
        <v>337</v>
      </c>
    </row>
    <row r="5" spans="1:5">
      <c r="A5" s="46" t="s">
        <v>201</v>
      </c>
      <c r="B5" s="38"/>
      <c r="C5" s="38"/>
      <c r="D5" s="38"/>
      <c r="E5" s="38"/>
    </row>
    <row r="6" spans="1:5">
      <c r="A6" s="775" t="s">
        <v>338</v>
      </c>
      <c r="B6" s="776"/>
      <c r="C6" s="776"/>
      <c r="D6" s="776"/>
      <c r="E6" s="776"/>
    </row>
    <row r="7" spans="1:5">
      <c r="A7" s="38" t="s">
        <v>204</v>
      </c>
      <c r="B7" s="48"/>
      <c r="C7" s="48"/>
      <c r="D7" s="48"/>
      <c r="E7" s="48"/>
    </row>
    <row r="8" spans="1:5">
      <c r="A8" s="46" t="s">
        <v>205</v>
      </c>
      <c r="B8" s="38"/>
      <c r="C8" s="38"/>
      <c r="D8" s="38"/>
      <c r="E8" s="38"/>
    </row>
    <row r="9" spans="1:5">
      <c r="A9" s="49"/>
      <c r="B9" s="49"/>
      <c r="C9" s="49"/>
      <c r="D9" s="49"/>
      <c r="E9" s="49"/>
    </row>
    <row r="10" spans="1:5">
      <c r="A10" s="50" t="s">
        <v>208</v>
      </c>
      <c r="B10" s="51"/>
      <c r="C10" s="51"/>
      <c r="D10" s="51"/>
      <c r="E10" s="51"/>
    </row>
    <row r="11" spans="1:5">
      <c r="A11" s="40" t="s">
        <v>215</v>
      </c>
      <c r="B11" s="52" t="s">
        <v>216</v>
      </c>
      <c r="C11" s="52"/>
      <c r="D11" s="90"/>
      <c r="E11" s="53" t="s">
        <v>217</v>
      </c>
    </row>
    <row r="12" spans="1:5">
      <c r="A12" s="54"/>
      <c r="B12" s="55"/>
      <c r="C12" s="55"/>
      <c r="D12" s="56"/>
      <c r="E12" s="56"/>
    </row>
    <row r="13" spans="1:5">
      <c r="A13" s="57">
        <v>1</v>
      </c>
      <c r="B13" s="49" t="s">
        <v>228</v>
      </c>
      <c r="C13" s="58"/>
      <c r="D13" s="58"/>
      <c r="E13" s="58"/>
    </row>
    <row r="14" spans="1:5">
      <c r="A14" s="59">
        <f t="shared" ref="A14:A54" si="0">+A13+1</f>
        <v>2</v>
      </c>
      <c r="B14" s="89" t="s">
        <v>233</v>
      </c>
      <c r="C14" s="58"/>
      <c r="D14" s="58"/>
      <c r="E14" s="58"/>
    </row>
    <row r="15" spans="1:5">
      <c r="A15" s="59">
        <f t="shared" si="0"/>
        <v>3</v>
      </c>
      <c r="B15" s="61" t="s">
        <v>238</v>
      </c>
      <c r="C15" s="62"/>
      <c r="D15" s="63">
        <v>162849051.68584886</v>
      </c>
      <c r="E15" s="58"/>
    </row>
    <row r="16" spans="1:5">
      <c r="A16" s="59">
        <f t="shared" si="0"/>
        <v>4</v>
      </c>
      <c r="B16" s="64" t="s">
        <v>243</v>
      </c>
      <c r="C16" s="58"/>
      <c r="D16" s="44">
        <v>-54276915.377027042</v>
      </c>
      <c r="E16" s="58"/>
    </row>
    <row r="17" spans="1:5">
      <c r="A17" s="59">
        <f t="shared" si="0"/>
        <v>5</v>
      </c>
      <c r="B17" s="64" t="s">
        <v>245</v>
      </c>
      <c r="C17" s="58"/>
      <c r="D17" s="65">
        <v>29870588.930000003</v>
      </c>
      <c r="E17" s="58"/>
    </row>
    <row r="18" spans="1:5">
      <c r="A18" s="59">
        <f t="shared" si="0"/>
        <v>6</v>
      </c>
      <c r="B18" s="64" t="s">
        <v>252</v>
      </c>
      <c r="C18" s="58"/>
      <c r="D18" s="66">
        <v>-95488</v>
      </c>
      <c r="E18" s="58"/>
    </row>
    <row r="19" spans="1:5">
      <c r="A19" s="59">
        <f t="shared" si="0"/>
        <v>7</v>
      </c>
      <c r="B19" s="64" t="s">
        <v>256</v>
      </c>
      <c r="C19" s="67"/>
      <c r="D19" s="68">
        <v>1099396.2460074332</v>
      </c>
      <c r="E19" s="58"/>
    </row>
    <row r="20" spans="1:5">
      <c r="A20" s="59">
        <f t="shared" si="0"/>
        <v>8</v>
      </c>
      <c r="B20" s="69" t="s">
        <v>261</v>
      </c>
      <c r="C20" s="67"/>
      <c r="D20" s="70">
        <f>SUM(D15:D19)</f>
        <v>139446633.48482928</v>
      </c>
      <c r="E20" s="58"/>
    </row>
    <row r="21" spans="1:5">
      <c r="A21" s="59">
        <f t="shared" si="0"/>
        <v>9</v>
      </c>
      <c r="B21" s="58"/>
      <c r="C21" s="67"/>
      <c r="D21" s="71"/>
      <c r="E21" s="58"/>
    </row>
    <row r="22" spans="1:5">
      <c r="A22" s="59">
        <f t="shared" si="0"/>
        <v>10</v>
      </c>
      <c r="B22" s="60" t="s">
        <v>267</v>
      </c>
      <c r="C22" s="67"/>
      <c r="D22" s="41"/>
      <c r="E22" s="58"/>
    </row>
    <row r="23" spans="1:5">
      <c r="A23" s="59">
        <f t="shared" si="0"/>
        <v>11</v>
      </c>
      <c r="B23" s="60"/>
      <c r="C23" s="67"/>
      <c r="D23" s="44"/>
      <c r="E23" s="58"/>
    </row>
    <row r="24" spans="1:5">
      <c r="A24" s="59">
        <f t="shared" si="0"/>
        <v>12</v>
      </c>
      <c r="B24" s="60" t="s">
        <v>273</v>
      </c>
      <c r="C24" s="67"/>
      <c r="D24" s="44">
        <v>-412534.15634835651</v>
      </c>
      <c r="E24" s="58"/>
    </row>
    <row r="25" spans="1:5">
      <c r="A25" s="59">
        <f t="shared" si="0"/>
        <v>13</v>
      </c>
      <c r="B25" s="60" t="s">
        <v>277</v>
      </c>
      <c r="C25" s="67"/>
      <c r="D25" s="44">
        <v>0</v>
      </c>
      <c r="E25" s="58"/>
    </row>
    <row r="26" spans="1:5">
      <c r="A26" s="59">
        <f t="shared" si="0"/>
        <v>14</v>
      </c>
      <c r="B26" s="69" t="s">
        <v>281</v>
      </c>
      <c r="C26" s="58"/>
      <c r="D26" s="70">
        <f>SUM(D23:D25)</f>
        <v>-412534.15634835651</v>
      </c>
      <c r="E26" s="58"/>
    </row>
    <row r="27" spans="1:5">
      <c r="A27" s="59">
        <f t="shared" si="0"/>
        <v>15</v>
      </c>
      <c r="B27" s="58"/>
      <c r="C27" s="58"/>
      <c r="D27" s="71"/>
      <c r="E27" s="58"/>
    </row>
    <row r="28" spans="1:5">
      <c r="A28" s="59">
        <f t="shared" si="0"/>
        <v>16</v>
      </c>
      <c r="B28" s="58" t="s">
        <v>291</v>
      </c>
      <c r="C28" s="58"/>
      <c r="D28" s="58"/>
      <c r="E28" s="63">
        <f>D20+D26</f>
        <v>139034099.32848093</v>
      </c>
    </row>
    <row r="29" spans="1:5">
      <c r="A29" s="59">
        <f t="shared" si="0"/>
        <v>17</v>
      </c>
      <c r="B29" s="58"/>
      <c r="C29" s="58"/>
      <c r="D29" s="41"/>
      <c r="E29" s="72"/>
    </row>
    <row r="30" spans="1:5">
      <c r="A30" s="59">
        <f t="shared" si="0"/>
        <v>18</v>
      </c>
      <c r="B30" s="58" t="s">
        <v>296</v>
      </c>
      <c r="C30" s="58"/>
      <c r="D30" s="41"/>
      <c r="E30" s="58"/>
    </row>
    <row r="31" spans="1:5">
      <c r="A31" s="59">
        <f t="shared" si="0"/>
        <v>19</v>
      </c>
      <c r="B31" s="60" t="s">
        <v>256</v>
      </c>
      <c r="C31" s="58"/>
      <c r="D31" s="73">
        <v>-15682</v>
      </c>
      <c r="E31" s="58"/>
    </row>
    <row r="32" spans="1:5">
      <c r="A32" s="59">
        <f t="shared" si="0"/>
        <v>20</v>
      </c>
      <c r="B32" s="60"/>
      <c r="C32" s="58"/>
      <c r="D32" s="74"/>
      <c r="E32" s="58"/>
    </row>
    <row r="33" spans="1:5">
      <c r="A33" s="59">
        <f t="shared" si="0"/>
        <v>21</v>
      </c>
      <c r="B33" s="58" t="s">
        <v>301</v>
      </c>
      <c r="C33" s="58"/>
      <c r="D33" s="58"/>
      <c r="E33" s="75">
        <f>SUM(D31:D32)</f>
        <v>-15682</v>
      </c>
    </row>
    <row r="34" spans="1:5">
      <c r="A34" s="59">
        <f t="shared" si="0"/>
        <v>22</v>
      </c>
      <c r="B34" s="60"/>
      <c r="C34" s="58"/>
      <c r="D34" s="62"/>
      <c r="E34" s="58"/>
    </row>
    <row r="35" spans="1:5">
      <c r="A35" s="59">
        <f t="shared" si="0"/>
        <v>23</v>
      </c>
      <c r="B35" s="76" t="s">
        <v>234</v>
      </c>
      <c r="C35" s="58"/>
      <c r="D35" s="62"/>
      <c r="E35" s="58"/>
    </row>
    <row r="36" spans="1:5">
      <c r="A36" s="59">
        <f t="shared" si="0"/>
        <v>24</v>
      </c>
      <c r="B36" s="60" t="s">
        <v>307</v>
      </c>
      <c r="C36" s="58"/>
      <c r="D36" s="75">
        <v>438314</v>
      </c>
      <c r="E36" s="58"/>
    </row>
    <row r="37" spans="1:5">
      <c r="A37" s="59">
        <f t="shared" si="0"/>
        <v>25</v>
      </c>
      <c r="B37" s="60"/>
      <c r="C37" s="62"/>
      <c r="D37" s="77"/>
      <c r="E37" s="41"/>
    </row>
    <row r="38" spans="1:5">
      <c r="A38" s="59">
        <f t="shared" si="0"/>
        <v>26</v>
      </c>
      <c r="B38" s="60"/>
      <c r="C38" s="62"/>
      <c r="D38" s="74"/>
      <c r="E38" s="41"/>
    </row>
    <row r="39" spans="1:5">
      <c r="A39" s="59">
        <f t="shared" si="0"/>
        <v>27</v>
      </c>
      <c r="B39" s="58" t="s">
        <v>311</v>
      </c>
      <c r="C39" s="62"/>
      <c r="D39" s="58"/>
      <c r="E39" s="75">
        <f>SUM(D36:D38)</f>
        <v>438314</v>
      </c>
    </row>
    <row r="40" spans="1:5">
      <c r="A40" s="59">
        <f t="shared" si="0"/>
        <v>28</v>
      </c>
      <c r="B40" s="41"/>
      <c r="C40" s="41"/>
      <c r="D40" s="44"/>
      <c r="E40" s="71"/>
    </row>
    <row r="41" spans="1:5">
      <c r="A41" s="59">
        <f t="shared" si="0"/>
        <v>29</v>
      </c>
      <c r="B41" s="58" t="s">
        <v>312</v>
      </c>
      <c r="C41" s="41"/>
      <c r="D41" s="78"/>
      <c r="E41" s="44">
        <f>SUM(E15:E40)</f>
        <v>139456731.32848093</v>
      </c>
    </row>
    <row r="42" spans="1:5">
      <c r="A42" s="59">
        <f t="shared" si="0"/>
        <v>30</v>
      </c>
      <c r="B42" s="58"/>
      <c r="C42" s="58"/>
      <c r="D42" s="58"/>
      <c r="E42" s="58"/>
    </row>
    <row r="43" spans="1:5">
      <c r="A43" s="59">
        <f t="shared" si="0"/>
        <v>31</v>
      </c>
      <c r="B43" s="76" t="s">
        <v>314</v>
      </c>
      <c r="C43" s="215">
        <f>+'Conv Fact P2.48'!E15</f>
        <v>3.6219999999999998E-3</v>
      </c>
      <c r="D43" s="79">
        <f>+E41*C43</f>
        <v>505112.28087175789</v>
      </c>
      <c r="E43" s="75"/>
    </row>
    <row r="44" spans="1:5">
      <c r="A44" s="59">
        <f t="shared" si="0"/>
        <v>32</v>
      </c>
      <c r="B44" s="76" t="s">
        <v>316</v>
      </c>
      <c r="C44" s="215">
        <f>+'Conv Fact P2.48'!E16</f>
        <v>2E-3</v>
      </c>
      <c r="D44" s="80">
        <f>+E41*C44</f>
        <v>278913.46265696187</v>
      </c>
      <c r="E44" s="75"/>
    </row>
    <row r="45" spans="1:5">
      <c r="A45" s="59">
        <f t="shared" si="0"/>
        <v>33</v>
      </c>
      <c r="B45" s="81" t="s">
        <v>284</v>
      </c>
      <c r="C45" s="215"/>
      <c r="D45" s="82"/>
      <c r="E45" s="44">
        <f>SUM(D43:D44)</f>
        <v>784025.74352871976</v>
      </c>
    </row>
    <row r="46" spans="1:5">
      <c r="A46" s="59">
        <f t="shared" si="0"/>
        <v>34</v>
      </c>
      <c r="B46" s="76"/>
      <c r="C46" s="215"/>
      <c r="D46" s="83"/>
      <c r="E46" s="75"/>
    </row>
    <row r="47" spans="1:5">
      <c r="A47" s="59">
        <f t="shared" si="0"/>
        <v>35</v>
      </c>
      <c r="B47" s="76" t="s">
        <v>320</v>
      </c>
      <c r="C47" s="215">
        <f>+'Conv Fact P2.48'!E17</f>
        <v>3.8589999999999999E-2</v>
      </c>
      <c r="D47" s="79">
        <f>+E41*C47</f>
        <v>5381635.2619660785</v>
      </c>
      <c r="E47" s="75"/>
    </row>
    <row r="48" spans="1:5">
      <c r="A48" s="59">
        <f t="shared" si="0"/>
        <v>36</v>
      </c>
      <c r="B48" s="81" t="s">
        <v>323</v>
      </c>
      <c r="C48" s="58"/>
      <c r="D48" s="80"/>
      <c r="E48" s="75"/>
    </row>
    <row r="49" spans="1:5">
      <c r="A49" s="59">
        <f t="shared" si="0"/>
        <v>37</v>
      </c>
      <c r="B49" s="81" t="s">
        <v>322</v>
      </c>
      <c r="C49" s="58"/>
      <c r="D49" s="83"/>
      <c r="E49" s="84">
        <f>SUM(D47:D48)</f>
        <v>5381635.2619660785</v>
      </c>
    </row>
    <row r="50" spans="1:5">
      <c r="A50" s="59">
        <f t="shared" si="0"/>
        <v>38</v>
      </c>
      <c r="B50" s="76"/>
      <c r="C50" s="58"/>
      <c r="D50" s="58"/>
      <c r="E50" s="70"/>
    </row>
    <row r="51" spans="1:5">
      <c r="A51" s="59">
        <f t="shared" si="0"/>
        <v>39</v>
      </c>
      <c r="B51" s="76" t="s">
        <v>297</v>
      </c>
      <c r="C51" s="58"/>
      <c r="D51" s="85"/>
      <c r="E51" s="84">
        <f>E41-E45-E49</f>
        <v>133291070.32298613</v>
      </c>
    </row>
    <row r="52" spans="1:5">
      <c r="A52" s="59">
        <f t="shared" si="0"/>
        <v>40</v>
      </c>
      <c r="B52" s="76"/>
      <c r="C52" s="58"/>
      <c r="D52" s="85"/>
      <c r="E52" s="85"/>
    </row>
    <row r="53" spans="1:5">
      <c r="A53" s="59">
        <f t="shared" si="0"/>
        <v>41</v>
      </c>
      <c r="B53" s="76" t="s">
        <v>259</v>
      </c>
      <c r="C53" s="86">
        <v>0.35</v>
      </c>
      <c r="D53" s="85"/>
      <c r="E53" s="44">
        <f>ROUND(E51*C53,0)</f>
        <v>46651875</v>
      </c>
    </row>
    <row r="54" spans="1:5" ht="16.5" thickBot="1">
      <c r="A54" s="59">
        <f t="shared" si="0"/>
        <v>42</v>
      </c>
      <c r="B54" s="76" t="s">
        <v>240</v>
      </c>
      <c r="C54" s="58"/>
      <c r="D54" s="85"/>
      <c r="E54" s="87">
        <f>E51-E53</f>
        <v>86639195.322986126</v>
      </c>
    </row>
    <row r="55" spans="1:5" ht="16.5" thickTop="1">
      <c r="A55" s="59"/>
      <c r="B55" s="58"/>
      <c r="C55" s="58"/>
      <c r="D55" s="58"/>
      <c r="E55" s="58"/>
    </row>
    <row r="56" spans="1:5">
      <c r="A56" s="59"/>
      <c r="B56" s="76" t="s">
        <v>805</v>
      </c>
      <c r="C56" s="58"/>
      <c r="D56" s="58"/>
      <c r="E56" s="58"/>
    </row>
    <row r="57" spans="1:5">
      <c r="A57" s="88"/>
      <c r="B57" s="75"/>
      <c r="C57" s="85"/>
      <c r="D57" s="85"/>
      <c r="E57" s="85"/>
    </row>
  </sheetData>
  <mergeCells count="1">
    <mergeCell ref="A6:E6"/>
  </mergeCells>
  <pageMargins left="0.7" right="0.7" top="0.75" bottom="0.75" header="0.75" footer="0.3"/>
  <pageSetup scale="78" orientation="portrait" r:id="rId1"/>
  <headerFooter>
    <oddHeader>&amp;R&amp;"Times New Roman,Regular"&amp;12Exhibit KHB-2
Page 2.9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CA42C26506CF14D82D0A72383FC3E88" ma:contentTypeVersion="131" ma:contentTypeDescription="" ma:contentTypeScope="" ma:versionID="900aaace43aad440889e194c92f720c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2009-05-08T07:00:00+00:00</OpenedDate>
    <Date1 xmlns="dc463f71-b30c-4ab2-9473-d307f9d35888">2009-11-17T08:00:00+00:00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090704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31EB5F2F-46D7-437F-99CE-A4559D88E278}"/>
</file>

<file path=customXml/itemProps2.xml><?xml version="1.0" encoding="utf-8"?>
<ds:datastoreItem xmlns:ds="http://schemas.openxmlformats.org/officeDocument/2006/customXml" ds:itemID="{98262F79-03FE-418E-B282-C5FFD399CD6D}"/>
</file>

<file path=customXml/itemProps3.xml><?xml version="1.0" encoding="utf-8"?>
<ds:datastoreItem xmlns:ds="http://schemas.openxmlformats.org/officeDocument/2006/customXml" ds:itemID="{26430F3D-22B9-42B7-9FA1-EB8629CABD36}"/>
</file>

<file path=customXml/itemProps4.xml><?xml version="1.0" encoding="utf-8"?>
<ds:datastoreItem xmlns:ds="http://schemas.openxmlformats.org/officeDocument/2006/customXml" ds:itemID="{FE131B78-816B-4CD4-A23E-5E4C64BA32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52</vt:i4>
      </vt:variant>
      <vt:variant>
        <vt:lpstr>Named Ranges</vt:lpstr>
      </vt:variant>
      <vt:variant>
        <vt:i4>24</vt:i4>
      </vt:variant>
    </vt:vector>
  </HeadingPairs>
  <TitlesOfParts>
    <vt:vector size="76" baseType="lpstr">
      <vt:lpstr>EXH KBH-2 Summary P2.1</vt:lpstr>
      <vt:lpstr>EXH KBH-2 P2.2</vt:lpstr>
      <vt:lpstr>EXH KBH-2 P2.3</vt:lpstr>
      <vt:lpstr>EXH KBH-2 P2.4</vt:lpstr>
      <vt:lpstr>EXH KBH-2 P2.5</vt:lpstr>
      <vt:lpstr>EXH KBH-2 P2.6</vt:lpstr>
      <vt:lpstr>EXH KBH-2 P2.7</vt:lpstr>
      <vt:lpstr>Adj 10.01 P2.8</vt:lpstr>
      <vt:lpstr>Adj 10.02 P2.9</vt:lpstr>
      <vt:lpstr>Adj 10.03 P2.10</vt:lpstr>
      <vt:lpstr>Adj 10.04 P2.11</vt:lpstr>
      <vt:lpstr>Adj 10.05 P2.12</vt:lpstr>
      <vt:lpstr>Adj 10.06 P2.13</vt:lpstr>
      <vt:lpstr>Adj 10.07 P2.14</vt:lpstr>
      <vt:lpstr>Adj 10.08 P2.15</vt:lpstr>
      <vt:lpstr>Adj 10.09 P2.16</vt:lpstr>
      <vt:lpstr>Adj 10.10 P2.17</vt:lpstr>
      <vt:lpstr>Adj 10.11 P2.18</vt:lpstr>
      <vt:lpstr>Adj 10.12 P2.19</vt:lpstr>
      <vt:lpstr>Adj 10.13 P2.20</vt:lpstr>
      <vt:lpstr>Adj 10.14 P2.21</vt:lpstr>
      <vt:lpstr>Adj 10.15 P2.22</vt:lpstr>
      <vt:lpstr>Adj 10.16 P2.23</vt:lpstr>
      <vt:lpstr>Adj 10.17 P2.24</vt:lpstr>
      <vt:lpstr>Adj 10.18 P2.25</vt:lpstr>
      <vt:lpstr>Adj 10.19 P2.26</vt:lpstr>
      <vt:lpstr>Adj 10.20 P2.27</vt:lpstr>
      <vt:lpstr>Adj 10.21 P2.28</vt:lpstr>
      <vt:lpstr>Adj 10.22 P2.29</vt:lpstr>
      <vt:lpstr>Adj 10.23 P2.30</vt:lpstr>
      <vt:lpstr>Adj 10.24 P2.31</vt:lpstr>
      <vt:lpstr>Adj 10.25 P2.32</vt:lpstr>
      <vt:lpstr>Adj 10.26 P2.33</vt:lpstr>
      <vt:lpstr>Adj 10.27 P2.34</vt:lpstr>
      <vt:lpstr>Adj 10.28 P2.35</vt:lpstr>
      <vt:lpstr>Adj 10.29 P2.36</vt:lpstr>
      <vt:lpstr>Adj 10.30 P2.37</vt:lpstr>
      <vt:lpstr>Adj 10.31 P2.38</vt:lpstr>
      <vt:lpstr>Adj 10.32 P2.39</vt:lpstr>
      <vt:lpstr>Adj 10.33 P2.40</vt:lpstr>
      <vt:lpstr>Adj 10.34 P2.41</vt:lpstr>
      <vt:lpstr>Adj 10.35 P2.42</vt:lpstr>
      <vt:lpstr>Adj 10.36 P2.43</vt:lpstr>
      <vt:lpstr>Adj 10.37 P2.44</vt:lpstr>
      <vt:lpstr>Adj 10.38 P2.45</vt:lpstr>
      <vt:lpstr>Gen Inc P2.46</vt:lpstr>
      <vt:lpstr>Capital P2.47</vt:lpstr>
      <vt:lpstr>Conv Fact P2.48</vt:lpstr>
      <vt:lpstr>Rev Req Comp P2.49</vt:lpstr>
      <vt:lpstr>Staff Electric</vt:lpstr>
      <vt:lpstr>Company Electric</vt:lpstr>
      <vt:lpstr>Capital</vt:lpstr>
      <vt:lpstr>CO</vt:lpstr>
      <vt:lpstr>DOCKET</vt:lpstr>
      <vt:lpstr>FIT</vt:lpstr>
      <vt:lpstr>'Adj 10.01 P2.8'!Print_Area</vt:lpstr>
      <vt:lpstr>'Adj 10.02 P2.9'!Print_Area</vt:lpstr>
      <vt:lpstr>'Adj 10.03 P2.10'!Print_Area</vt:lpstr>
      <vt:lpstr>'Adj 10.04 P2.11'!Print_Area</vt:lpstr>
      <vt:lpstr>'Adj 10.05 P2.12'!Print_Area</vt:lpstr>
      <vt:lpstr>'Adj 10.06 P2.13'!Print_Area</vt:lpstr>
      <vt:lpstr>'Adj 10.07 P2.14'!Print_Area</vt:lpstr>
      <vt:lpstr>'Adj 10.08 P2.15'!Print_Area</vt:lpstr>
      <vt:lpstr>'Adj 10.09 P2.16'!Print_Area</vt:lpstr>
      <vt:lpstr>'Adj 10.10 P2.17'!Print_Area</vt:lpstr>
      <vt:lpstr>'Adj 10.11 P2.18'!Print_Area</vt:lpstr>
      <vt:lpstr>'Adj 10.12 P2.19'!Print_Area</vt:lpstr>
      <vt:lpstr>'Adj 10.13 P2.20'!Print_Area</vt:lpstr>
      <vt:lpstr>'EXH KBH-2 P2.2'!Print_Area</vt:lpstr>
      <vt:lpstr>'EXH KBH-2 P2.3'!Print_Area</vt:lpstr>
      <vt:lpstr>'EXH KBH-2 P2.4'!Print_Area</vt:lpstr>
      <vt:lpstr>'EXH KBH-2 P2.5'!Print_Area</vt:lpstr>
      <vt:lpstr>'EXH KBH-2 P2.6'!Print_Area</vt:lpstr>
      <vt:lpstr>'EXH KBH-2 P2.7'!Print_Area</vt:lpstr>
      <vt:lpstr>'EXH KBH-2 Summary P2.1'!Print_Area</vt:lpstr>
      <vt:lpstr>TY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 Breda</dc:creator>
  <cp:lastModifiedBy>Kathryn Breda</cp:lastModifiedBy>
  <cp:lastPrinted>2009-11-17T21:47:24Z</cp:lastPrinted>
  <dcterms:created xsi:type="dcterms:W3CDTF">2009-11-10T21:48:22Z</dcterms:created>
  <dcterms:modified xsi:type="dcterms:W3CDTF">2009-11-17T21:49:19Z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0x0101006E56B4D1795A2E4DB2F0B01679ED314A007CA42C26506CF14D82D0A72383FC3E88</vt:lpwstr>
  </property>
  <property fmtid="{D5CDD505-2E9C-101B-9397-08002B2CF9AE}" pid="3" name="_docset_NoMedatataSyncRequired">
    <vt:lpwstr>False</vt:lpwstr>
  </property>
</Properties>
</file>