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521" yWindow="65521" windowWidth="8655" windowHeight="9555" tabRatio="688" activeTab="0"/>
  </bookViews>
  <sheets>
    <sheet name="Exhibit No.  MTT-2 Page 1" sheetId="10" r:id="rId1"/>
    <sheet name="Exhibit No.   MTT-2 Page 2" sheetId="6" r:id="rId2"/>
    <sheet name="Exhibit No.  MTT-2 Page 3" sheetId="13" r:id="rId3"/>
    <sheet name="Exhibit No.  MTT-2 Page 4 " sheetId="12" r:id="rId4"/>
    <sheet name="Exhibit No.  MTT-2 Page 5" sheetId="11" r:id="rId5"/>
  </sheets>
  <externalReferences>
    <externalReference r:id="rId8"/>
  </externalReferences>
  <definedNames>
    <definedName name="ActualsDate">'[1]Sheet2'!$B$1</definedName>
    <definedName name="PriceDate_E">'[1]Sheet2'!$B$5</definedName>
    <definedName name="PriceDate_G">'[1]Sheet2'!$B$6</definedName>
    <definedName name="_xlnm.Print_Area" localSheetId="1">'Exhibit No.   MTT-2 Page 2'!$A$1:$J$33</definedName>
    <definedName name="_xlnm.Print_Area" localSheetId="2">'Exhibit No.  MTT-2 Page 3'!$A$1:$AE$51</definedName>
    <definedName name="Print_ScenDate">'[1]Sheet2'!$B$2</definedName>
    <definedName name="Scenario_Name">'[1]Sheet2'!$B$8</definedName>
    <definedName name="Start_Page">'[1]Sheet2'!$B$10</definedName>
    <definedName name="wrn.All._.Sheets." localSheetId="2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</definedNames>
  <calcPr calcId="125725" calcMode="manual"/>
</workbook>
</file>

<file path=xl/sharedStrings.xml><?xml version="1.0" encoding="utf-8"?>
<sst xmlns="http://schemas.openxmlformats.org/spreadsheetml/2006/main" count="241" uniqueCount="162">
  <si>
    <t>Principal</t>
  </si>
  <si>
    <t>Line</t>
  </si>
  <si>
    <t>Coupon</t>
  </si>
  <si>
    <t>Maturity</t>
  </si>
  <si>
    <t>Settlement</t>
  </si>
  <si>
    <t>Issuance</t>
  </si>
  <si>
    <t>Loss/Reacq</t>
  </si>
  <si>
    <t>Net</t>
  </si>
  <si>
    <t>Yield to</t>
  </si>
  <si>
    <t>Outstanding</t>
  </si>
  <si>
    <t>Effective</t>
  </si>
  <si>
    <t>No.</t>
  </si>
  <si>
    <t>Rate</t>
  </si>
  <si>
    <t>Date</t>
  </si>
  <si>
    <t>Amount</t>
  </si>
  <si>
    <t>Costs</t>
  </si>
  <si>
    <t>Expenses</t>
  </si>
  <si>
    <t>Proceeds</t>
  </si>
  <si>
    <t>Cost</t>
  </si>
  <si>
    <t>Repurchase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</si>
  <si>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</si>
  <si>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</si>
  <si>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</si>
  <si>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</si>
  <si>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</si>
  <si>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</si>
  <si>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</si>
  <si>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</si>
  <si>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</si>
  <si>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</si>
  <si>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 c)</t>
  </si>
  <si>
    <t>AVISTA CORPORATION</t>
  </si>
  <si>
    <t>Percent of</t>
  </si>
  <si>
    <t>Total Capital</t>
  </si>
  <si>
    <t>Component</t>
  </si>
  <si>
    <t>Common Equity</t>
  </si>
  <si>
    <t>Number of Days in Month</t>
  </si>
  <si>
    <t>Short Term-Debt</t>
  </si>
  <si>
    <t>Description</t>
  </si>
  <si>
    <t>Trust Preferred Interest Expense</t>
  </si>
  <si>
    <t>Long-term Securities Credit Ratings</t>
  </si>
  <si>
    <t>Standard &amp; Poor's</t>
  </si>
  <si>
    <t>Moody's</t>
  </si>
  <si>
    <t>Credit Outlook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</si>
  <si>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</si>
  <si>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</si>
  <si>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</si>
  <si>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</si>
  <si>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</si>
  <si>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</si>
  <si>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</si>
  <si>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</si>
  <si>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</si>
  <si>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</si>
  <si>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</si>
  <si>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</si>
  <si>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</si>
  <si>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A3</t>
  </si>
  <si>
    <t>BBB+</t>
  </si>
  <si>
    <t>First Mortgage Bonds</t>
  </si>
  <si>
    <t>Baa1</t>
  </si>
  <si>
    <t>Secured Medium-Term Notes</t>
  </si>
  <si>
    <t>BBB</t>
  </si>
  <si>
    <t>Baa2</t>
  </si>
  <si>
    <t>BBB-</t>
  </si>
  <si>
    <t>Avista Corp./Corporate rating</t>
  </si>
  <si>
    <t>Baa3</t>
  </si>
  <si>
    <t>Avista Corp./Issuer rating</t>
  </si>
  <si>
    <t>INVESTMENT GRADE</t>
  </si>
  <si>
    <t>BB+</t>
  </si>
  <si>
    <t>Ba1</t>
  </si>
  <si>
    <t>Trust-Originated Preferred Securities</t>
  </si>
  <si>
    <t>BB</t>
  </si>
  <si>
    <t>Ba2</t>
  </si>
  <si>
    <t>BB-</t>
  </si>
  <si>
    <t>Ba3</t>
  </si>
  <si>
    <t xml:space="preserve">Avg of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</si>
  <si>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</si>
  <si>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</si>
  <si>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</si>
  <si>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</si>
  <si>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</si>
  <si>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</si>
  <si>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</si>
  <si>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</si>
  <si>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</si>
  <si>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</si>
  <si>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</si>
  <si>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</si>
  <si>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</si>
  <si>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</si>
  <si>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</si>
  <si>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(l)</t>
  </si>
  <si>
    <t>(m)</t>
  </si>
  <si>
    <t>(n)</t>
  </si>
  <si>
    <t>(o)</t>
  </si>
  <si>
    <t>Trust Preferred</t>
  </si>
  <si>
    <t>Embedded Cost of Capital</t>
  </si>
  <si>
    <t>Total S/T Debt Expense</t>
  </si>
  <si>
    <t>Total Short Term Cost Rate</t>
  </si>
  <si>
    <t>Avg Monthly Forecasted Borrowing Rate</t>
  </si>
  <si>
    <r>
      <rPr>
        <vertAlign val="superscript"/>
        <sz val="13.8"/>
        <rFont val="Times New Roman"/>
        <family val="1"/>
      </rPr>
      <t>(1)</t>
    </r>
    <r>
      <rPr>
        <sz val="12"/>
        <rFont val="Times New Roman"/>
        <family val="1"/>
      </rPr>
      <t xml:space="preserve"> Includes short term debt</t>
    </r>
  </si>
  <si>
    <r>
      <rPr>
        <vertAlign val="superscript"/>
        <sz val="13.8"/>
        <rFont val="Times New Roman"/>
        <family val="1"/>
      </rPr>
      <t xml:space="preserve">(2) </t>
    </r>
    <r>
      <rPr>
        <sz val="12"/>
        <rFont val="Times New Roman"/>
        <family val="1"/>
      </rPr>
      <t>Proposed Return on Common Equity - See Avera testimony</t>
    </r>
  </si>
  <si>
    <t>Assumptions:</t>
  </si>
  <si>
    <t>Last Upgraded</t>
  </si>
  <si>
    <t>B</t>
  </si>
  <si>
    <t>C</t>
  </si>
  <si>
    <t>D</t>
  </si>
  <si>
    <t>E</t>
  </si>
  <si>
    <t xml:space="preserve">Total   </t>
  </si>
  <si>
    <t>Average borrowing rate used in the calculation of the effective costs below</t>
  </si>
  <si>
    <r>
      <t xml:space="preserve">Total Debt </t>
    </r>
    <r>
      <rPr>
        <vertAlign val="superscript"/>
        <sz val="10"/>
        <rFont val="Arial"/>
        <family val="2"/>
      </rPr>
      <t>(1)</t>
    </r>
  </si>
  <si>
    <t>SWAP</t>
  </si>
  <si>
    <t>Discount</t>
  </si>
  <si>
    <t>Loss/(Gain)</t>
  </si>
  <si>
    <t>(Premium)</t>
  </si>
  <si>
    <t>Var. Rate Long-Term Debt</t>
  </si>
  <si>
    <t>Adjusted Weighted Average Cost of Debt</t>
  </si>
  <si>
    <t xml:space="preserve">TOTAL   </t>
  </si>
  <si>
    <t>Started with 12-31-2010 actuals</t>
  </si>
  <si>
    <t>Forecasted through 12-31-2011</t>
  </si>
  <si>
    <t xml:space="preserve">FMBS - SERIES A </t>
  </si>
  <si>
    <t>KETTLE FALLS P C</t>
  </si>
  <si>
    <t xml:space="preserve">SERIES C SET UP </t>
  </si>
  <si>
    <t>N/A</t>
  </si>
  <si>
    <t xml:space="preserve">FMBS - 6.37% </t>
  </si>
  <si>
    <t xml:space="preserve">FMBS - 5.45% </t>
  </si>
  <si>
    <t xml:space="preserve">FMBS - 6.25% </t>
  </si>
  <si>
    <t xml:space="preserve">FMBS - 5.70% </t>
  </si>
  <si>
    <t xml:space="preserve">FMBS - 5.95% </t>
  </si>
  <si>
    <t>FMBS - 5.125%</t>
  </si>
  <si>
    <t>FMBS - 1.68%</t>
  </si>
  <si>
    <t xml:space="preserve">FMBS - 3.89% </t>
  </si>
  <si>
    <t xml:space="preserve">FMBS - 5.55% </t>
  </si>
  <si>
    <t>PCRB $66.7 million</t>
  </si>
  <si>
    <t>PCRB $17 million</t>
  </si>
  <si>
    <t>TOPrS</t>
  </si>
  <si>
    <t>The coupon rate used is the cost of debt at the time of the repurchases</t>
  </si>
  <si>
    <t>The amounts are calculated using the IRR function</t>
  </si>
  <si>
    <t>These are the estimated unamortized expenses on reacquired debt at the forecasted time of issuance in June 2011</t>
  </si>
  <si>
    <t>L/T variable interest rate information comes from Exhibit No. MTT-2 Page 4</t>
  </si>
  <si>
    <t>S/T variable interest rate information comes from Exhibit No. MTT-2 Page 5</t>
  </si>
  <si>
    <t xml:space="preserve">Short term debt outstanding is base on a monthly average monthly balance over a thirteen month period. </t>
  </si>
  <si>
    <t>Equity is adjusted for Other Comprehensive Income and Capital Stock Expense ($16.2 as of December 31, 2011 and $16.1 million as of December 31, 2010)</t>
  </si>
  <si>
    <t>Credit Facility Amort of up-front costs</t>
  </si>
  <si>
    <t>Monthly Credit Facility Borrowings</t>
  </si>
  <si>
    <t>Projected Issuance Cost of 1% of the principal amount</t>
  </si>
  <si>
    <t>Stable</t>
  </si>
  <si>
    <t>Credit Facility Interest Expense*</t>
  </si>
  <si>
    <t>Credit Facility Fees*</t>
  </si>
  <si>
    <t>Letter of Credit Fees*</t>
  </si>
  <si>
    <t>Monthly borrowings, rates, and fees are based on the DEC10 forecast</t>
  </si>
  <si>
    <t>Forecasted Rates Trust Preferred*</t>
  </si>
  <si>
    <t>*Forecasted Rates are based on the DEC10 forecast</t>
  </si>
  <si>
    <t>Coupon Rates are based on the DEC10 forecast</t>
  </si>
  <si>
    <t xml:space="preserve">These are projected issuances, whose maturity dates and coupon rates may change depending on market conditions. </t>
  </si>
  <si>
    <t>Cost of Capital</t>
  </si>
  <si>
    <t>The equity and debt numbers come from Dec10 model</t>
  </si>
  <si>
    <t>Planned issuance of $22 million of additional equity during 2011</t>
  </si>
  <si>
    <t>Cost of Long-Term Debt Detail</t>
  </si>
  <si>
    <t>Cost of Long-Term Variable Rate Debt Detail</t>
  </si>
  <si>
    <t>Cost of Short-Term Debt Detail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</si>
</sst>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#,##0;\(#,##0\)"/>
    <numFmt numFmtId="166" formatCode="mmmm\ d\,\ yyyy"/>
    <numFmt numFmtId="167" formatCode="mmm\-dd\-yyyy"/>
    <numFmt numFmtId="168" formatCode="0.000"/>
    <numFmt numFmtId="169" formatCode="0.000%"/>
    <numFmt numFmtId="170" formatCode="#,##0.000"/>
    <numFmt numFmtId="171" formatCode="_(* #,##0_);_(* \(#,##0\);_(* &quot;-&quot;??_);_(@_)"/>
    <numFmt numFmtId="172" formatCode="00000"/>
    <numFmt numFmtId="173" formatCode="[$-409]mmmm\ d\,\ yyyy;@"/>
    <numFmt numFmtId="174" formatCode="[$-409]mmm\-yy;@"/>
    <numFmt numFmtId="175" formatCode="&quot;$&quot;\ #,##0_);\(&quot;$&quot;\ #,##0\)"/>
    <numFmt numFmtId="176" formatCode="&quot;$&quot;\ #,##0.00_);\(&quot;$&quot;\ #,##0.00\)"/>
    <numFmt numFmtId="177" formatCode="@*."/>
    <numFmt numFmtId="178" formatCode="#,##0,_);\(#,##0,\)"/>
    <numFmt numFmtId="179" formatCode="[$-409]d\-mmm\-yy;@"/>
    <numFmt numFmtId="180" formatCode="_(&quot;$&quot;* #,##0_);_(&quot;$&quot;* \(#,##0\);_(&quot;$&quot;* &quot;-&quot;??_);_(@_)"/>
    <numFmt numFmtId="181" formatCode="0.00_)"/>
    <numFmt numFmtId="182" formatCode="General_)"/>
    <numFmt numFmtId="183" formatCode="#,##0.00;[Red]\(#,##0.00\)"/>
    <numFmt numFmtId="184" formatCode="_(* #,##0.0000_);_(* \(#,##0.0000\);_(* &quot;-&quot;??_);_(@_)"/>
    <numFmt numFmtId="185" formatCode="_(* #,##0.0_);_(* \(#,##0.0\);_(* &quot;-&quot;??_);_(@_)"/>
  </numFmts>
  <fonts count="54">
    <font>
      <sz val="10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Genev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Geneva"/>
      <family val="2"/>
    </font>
    <font>
      <b/>
      <sz val="12"/>
      <name val="Genev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vertAlign val="superscript"/>
      <sz val="10.35"/>
      <name val="Arial"/>
      <family val="2"/>
    </font>
    <font>
      <vertAlign val="superscript"/>
      <sz val="13.8"/>
      <name val="Times New Roman"/>
      <family val="1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0"/>
      <name val="Helv"/>
      <family val="2"/>
    </font>
    <font>
      <sz val="10"/>
      <name val="MS Sans Serif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2"/>
      <name val="Tms Rmn"/>
      <family val="2"/>
    </font>
    <font>
      <sz val="10"/>
      <name val="Courier"/>
      <family val="3"/>
    </font>
    <font>
      <sz val="10"/>
      <name val="Tms Rmn"/>
      <family val="2"/>
    </font>
    <font>
      <sz val="10"/>
      <color indexed="8"/>
      <name val="Arial"/>
      <family val="2"/>
    </font>
    <font>
      <b/>
      <sz val="11"/>
      <color indexed="16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74" fontId="9" fillId="2" borderId="0" applyFont="0" applyFill="0" applyBorder="0" applyAlignment="0" applyProtection="0"/>
    <xf numFmtId="37" fontId="9" fillId="0" borderId="0">
      <alignment/>
      <protection/>
    </xf>
    <xf numFmtId="0" fontId="13" fillId="0" borderId="0" applyFill="0" applyBorder="0" applyAlignment="0" applyProtection="0"/>
    <xf numFmtId="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5" fontId="14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Protection="0">
      <alignment/>
    </xf>
    <xf numFmtId="178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28" fillId="0" borderId="0">
      <alignment/>
      <protection/>
    </xf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4" borderId="1" applyNumberFormat="0" applyAlignment="0" applyProtection="0"/>
    <xf numFmtId="0" fontId="52" fillId="0" borderId="2" applyNumberFormat="0" applyFill="0" applyAlignment="0" applyProtection="0"/>
    <xf numFmtId="0" fontId="3" fillId="5" borderId="0" applyNumberFormat="0" applyBorder="0" applyAlignment="0" applyProtection="0"/>
    <xf numFmtId="0" fontId="30" fillId="0" borderId="0">
      <alignment horizontal="left"/>
      <protection/>
    </xf>
    <xf numFmtId="0" fontId="3" fillId="6" borderId="3" applyNumberFormat="0" applyBorder="0" applyAlignment="0" applyProtection="0"/>
    <xf numFmtId="0" fontId="31" fillId="0" borderId="4">
      <alignment/>
      <protection/>
    </xf>
    <xf numFmtId="0" fontId="49" fillId="7" borderId="0" applyNumberFormat="0" applyBorder="0" applyAlignment="0" applyProtection="0"/>
    <xf numFmtId="181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82" fontId="34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3" fontId="36" fillId="8" borderId="0" applyBorder="0">
      <alignment horizontal="right"/>
      <protection/>
    </xf>
    <xf numFmtId="0" fontId="37" fillId="8" borderId="5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8" fillId="10" borderId="0" applyNumberFormat="0" applyBorder="0" applyAlignment="0" applyProtection="0"/>
    <xf numFmtId="0" fontId="46" fillId="0" borderId="6" applyNumberFormat="0" applyFill="0" applyAlignment="0" applyProtection="0"/>
    <xf numFmtId="0" fontId="36" fillId="11" borderId="0" applyNumberFormat="0" applyBorder="0" applyAlignment="0" applyProtection="0"/>
    <xf numFmtId="9" fontId="1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5" borderId="7" applyNumberFormat="0" applyAlignment="0" applyProtection="0"/>
    <xf numFmtId="0" fontId="36" fillId="6" borderId="8" applyNumberFormat="0" applyFont="0" applyAlignment="0" applyProtection="0"/>
    <xf numFmtId="0" fontId="48" fillId="0" borderId="9" applyNumberFormat="0" applyFill="0" applyAlignment="0" applyProtection="0"/>
    <xf numFmtId="0" fontId="47" fillId="16" borderId="10" applyNumberFormat="0" applyAlignment="0" applyProtection="0"/>
    <xf numFmtId="0" fontId="45" fillId="0" borderId="11" applyNumberFormat="0" applyFill="0" applyAlignment="0" applyProtection="0"/>
    <xf numFmtId="0" fontId="44" fillId="0" borderId="12" applyNumberFormat="0" applyFill="0" applyAlignment="0" applyProtection="0"/>
    <xf numFmtId="0" fontId="43" fillId="2" borderId="0" applyNumberFormat="0" applyBorder="0" applyAlignment="0" applyProtection="0"/>
    <xf numFmtId="0" fontId="40" fillId="5" borderId="10" applyNumberFormat="0" applyAlignment="0" applyProtection="0"/>
    <xf numFmtId="0" fontId="39" fillId="9" borderId="0" applyNumberFormat="0" applyBorder="0" applyAlignment="0" applyProtection="0"/>
    <xf numFmtId="0" fontId="38" fillId="17" borderId="0" applyNumberFormat="0" applyBorder="0" applyAlignment="0" applyProtection="0"/>
    <xf numFmtId="0" fontId="38" fillId="3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/>
    <xf numFmtId="0" fontId="3" fillId="0" borderId="0" xfId="22" applyFont="1" applyFill="1">
      <alignment/>
      <protection/>
    </xf>
    <xf numFmtId="167" fontId="3" fillId="0" borderId="0" xfId="22" applyNumberFormat="1" applyFont="1" applyFill="1">
      <alignment/>
      <protection/>
    </xf>
    <xf numFmtId="3" fontId="3" fillId="0" borderId="0" xfId="22" applyNumberFormat="1" applyFont="1" applyFill="1">
      <alignment/>
      <protection/>
    </xf>
    <xf numFmtId="168" fontId="3" fillId="0" borderId="0" xfId="22" applyNumberFormat="1" applyFont="1" applyFill="1">
      <alignment/>
      <protection/>
    </xf>
    <xf numFmtId="3" fontId="3" fillId="0" borderId="0" xfId="22" applyNumberFormat="1" applyFont="1" applyFill="1" applyAlignment="1">
      <alignment horizontal="center"/>
      <protection/>
    </xf>
    <xf numFmtId="0" fontId="2" fillId="0" borderId="0" xfId="22" applyFill="1">
      <alignment/>
      <protection/>
    </xf>
    <xf numFmtId="0" fontId="3" fillId="0" borderId="0" xfId="22" applyFont="1" applyFill="1" applyAlignment="1">
      <alignment horizontal="center"/>
      <protection/>
    </xf>
    <xf numFmtId="167" fontId="3" fillId="0" borderId="0" xfId="22" applyNumberFormat="1" applyFont="1" applyFill="1" applyAlignment="1">
      <alignment horizontal="center"/>
      <protection/>
    </xf>
    <xf numFmtId="168" fontId="3" fillId="0" borderId="0" xfId="22" applyNumberFormat="1" applyFont="1" applyFill="1" applyAlignment="1">
      <alignment horizontal="center"/>
      <protection/>
    </xf>
    <xf numFmtId="0" fontId="3" fillId="0" borderId="13" xfId="22" applyFont="1" applyFill="1" applyBorder="1" applyAlignment="1">
      <alignment horizontal="center"/>
      <protection/>
    </xf>
    <xf numFmtId="3" fontId="3" fillId="0" borderId="13" xfId="22" applyNumberFormat="1" applyFont="1" applyFill="1" applyBorder="1" applyAlignment="1">
      <alignment horizontal="center"/>
      <protection/>
    </xf>
    <xf numFmtId="167" fontId="3" fillId="0" borderId="13" xfId="22" applyNumberFormat="1" applyFont="1" applyFill="1" applyBorder="1" applyAlignment="1">
      <alignment horizontal="center"/>
      <protection/>
    </xf>
    <xf numFmtId="168" fontId="3" fillId="0" borderId="13" xfId="22" applyNumberFormat="1" applyFont="1" applyFill="1" applyBorder="1" applyAlignment="1">
      <alignment horizontal="center"/>
      <protection/>
    </xf>
    <xf numFmtId="14" fontId="3" fillId="0" borderId="13" xfId="22" applyNumberFormat="1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3" fillId="0" borderId="0" xfId="22" applyFont="1" applyFill="1" applyAlignment="1">
      <alignment horizontal="right"/>
      <protection/>
    </xf>
    <xf numFmtId="3" fontId="3" fillId="0" borderId="0" xfId="22" applyNumberFormat="1" applyFont="1" applyFill="1" applyAlignment="1">
      <alignment horizontal="right"/>
      <protection/>
    </xf>
    <xf numFmtId="14" fontId="3" fillId="0" borderId="0" xfId="22" applyNumberFormat="1" applyFont="1" applyFill="1" applyAlignment="1">
      <alignment horizontal="right"/>
      <protection/>
    </xf>
    <xf numFmtId="10" fontId="3" fillId="0" borderId="0" xfId="22" applyNumberFormat="1" applyFont="1" applyFill="1">
      <alignment/>
      <protection/>
    </xf>
    <xf numFmtId="169" fontId="3" fillId="0" borderId="0" xfId="15" applyNumberFormat="1" applyFont="1" applyFill="1"/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169" fontId="3" fillId="0" borderId="0" xfId="22" applyNumberFormat="1" applyFont="1" applyFill="1">
      <alignment/>
      <protection/>
    </xf>
    <xf numFmtId="3" fontId="3" fillId="0" borderId="13" xfId="22" applyNumberFormat="1" applyFont="1" applyFill="1" applyBorder="1">
      <alignment/>
      <protection/>
    </xf>
    <xf numFmtId="169" fontId="3" fillId="0" borderId="0" xfId="15" applyNumberFormat="1" applyFont="1" applyFill="1" applyBorder="1"/>
    <xf numFmtId="4" fontId="3" fillId="0" borderId="0" xfId="22" applyNumberFormat="1" applyFont="1" applyFill="1">
      <alignment/>
      <protection/>
    </xf>
    <xf numFmtId="169" fontId="4" fillId="0" borderId="0" xfId="15" applyNumberFormat="1" applyFont="1" applyFill="1"/>
    <xf numFmtId="3" fontId="3" fillId="0" borderId="14" xfId="22" applyNumberFormat="1" applyFont="1" applyFill="1" applyBorder="1">
      <alignment/>
      <protection/>
    </xf>
    <xf numFmtId="170" fontId="3" fillId="0" borderId="0" xfId="22" applyNumberFormat="1" applyFont="1" applyFill="1" applyAlignment="1">
      <alignment horizontal="right"/>
      <protection/>
    </xf>
    <xf numFmtId="172" fontId="3" fillId="0" borderId="0" xfId="22" applyNumberFormat="1" applyFont="1" applyFill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3" fillId="0" borderId="0" xfId="0" applyFont="1" applyFill="1"/>
    <xf numFmtId="0" fontId="0" fillId="0" borderId="0" xfId="0" applyFill="1"/>
    <xf numFmtId="17" fontId="3" fillId="0" borderId="0" xfId="0" applyNumberFormat="1" applyFont="1" applyFill="1" applyBorder="1" applyAlignment="1">
      <alignment horizontal="center"/>
    </xf>
    <xf numFmtId="5" fontId="6" fillId="0" borderId="0" xfId="20" applyNumberFormat="1" applyFont="1" applyFill="1" applyBorder="1" applyProtection="1">
      <alignment/>
      <protection/>
    </xf>
    <xf numFmtId="0" fontId="3" fillId="0" borderId="0" xfId="0" applyFont="1" applyFill="1" applyBorder="1"/>
    <xf numFmtId="37" fontId="7" fillId="0" borderId="0" xfId="20" applyNumberFormat="1" applyFont="1" applyFill="1" applyBorder="1" applyProtection="1">
      <alignment/>
      <protection/>
    </xf>
    <xf numFmtId="10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/>
    <xf numFmtId="0" fontId="3" fillId="0" borderId="0" xfId="0" applyFont="1" applyFill="1" applyBorder="1" applyAlignment="1">
      <alignment/>
    </xf>
    <xf numFmtId="0" fontId="10" fillId="0" borderId="0" xfId="22" applyFont="1" applyFill="1">
      <alignment/>
      <protection/>
    </xf>
    <xf numFmtId="0" fontId="11" fillId="0" borderId="0" xfId="22" applyFont="1" applyFill="1">
      <alignment/>
      <protection/>
    </xf>
    <xf numFmtId="10" fontId="3" fillId="0" borderId="0" xfId="15" applyNumberFormat="1" applyFont="1"/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/>
    <xf numFmtId="1" fontId="3" fillId="0" borderId="0" xfId="22" applyNumberFormat="1" applyFont="1" applyFill="1">
      <alignment/>
      <protection/>
    </xf>
    <xf numFmtId="44" fontId="0" fillId="0" borderId="0" xfId="16" applyFont="1"/>
    <xf numFmtId="44" fontId="0" fillId="0" borderId="0" xfId="0" applyNumberFormat="1"/>
    <xf numFmtId="0" fontId="9" fillId="0" borderId="0" xfId="0" applyFont="1" applyFill="1" applyBorder="1" applyAlignment="1">
      <alignment horizontal="left"/>
    </xf>
    <xf numFmtId="43" fontId="3" fillId="0" borderId="0" xfId="18" applyFont="1" applyFill="1"/>
    <xf numFmtId="165" fontId="0" fillId="0" borderId="13" xfId="0" applyNumberFormat="1" applyFont="1" applyFill="1" applyBorder="1"/>
    <xf numFmtId="0" fontId="0" fillId="0" borderId="15" xfId="0" applyBorder="1"/>
    <xf numFmtId="10" fontId="5" fillId="0" borderId="5" xfId="0" applyNumberFormat="1" applyFont="1" applyBorder="1"/>
    <xf numFmtId="0" fontId="0" fillId="0" borderId="5" xfId="0" applyBorder="1"/>
    <xf numFmtId="3" fontId="0" fillId="0" borderId="0" xfId="0" applyNumberFormat="1" applyBorder="1" quotePrefix="1"/>
    <xf numFmtId="10" fontId="0" fillId="0" borderId="5" xfId="15" applyNumberFormat="1" applyFont="1" applyBorder="1"/>
    <xf numFmtId="0" fontId="0" fillId="0" borderId="16" xfId="0" applyBorder="1"/>
    <xf numFmtId="0" fontId="0" fillId="0" borderId="17" xfId="0" applyBorder="1"/>
    <xf numFmtId="37" fontId="3" fillId="0" borderId="0" xfId="21" applyFont="1" applyFill="1" applyBorder="1" applyAlignment="1" applyProtection="1">
      <alignment horizontal="center"/>
      <protection/>
    </xf>
    <xf numFmtId="0" fontId="0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13" xfId="0" applyFont="1" applyBorder="1"/>
    <xf numFmtId="0" fontId="17" fillId="0" borderId="13" xfId="0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0" xfId="0" applyFont="1"/>
    <xf numFmtId="0" fontId="18" fillId="0" borderId="0" xfId="0" applyFont="1" applyAlignment="1">
      <alignment horizontal="left"/>
    </xf>
    <xf numFmtId="0" fontId="17" fillId="0" borderId="4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 applyAlignment="1">
      <alignment horizontal="left"/>
    </xf>
    <xf numFmtId="37" fontId="3" fillId="0" borderId="0" xfId="2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20" applyFont="1" applyFill="1" applyBorder="1" applyProtection="1">
      <alignment/>
      <protection/>
    </xf>
    <xf numFmtId="0" fontId="19" fillId="0" borderId="0" xfId="0" applyFont="1" applyFill="1" applyBorder="1" applyAlignment="1">
      <alignment horizontal="right"/>
    </xf>
    <xf numFmtId="171" fontId="3" fillId="0" borderId="0" xfId="36" applyNumberFormat="1" applyFont="1" applyFill="1" applyBorder="1"/>
    <xf numFmtId="171" fontId="4" fillId="0" borderId="0" xfId="36" applyNumberFormat="1" applyFont="1" applyFill="1" applyBorder="1"/>
    <xf numFmtId="5" fontId="20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7" fontId="9" fillId="0" borderId="0" xfId="21" applyFont="1" applyFill="1" applyAlignment="1" applyProtection="1">
      <alignment horizontal="center"/>
      <protection/>
    </xf>
    <xf numFmtId="0" fontId="0" fillId="0" borderId="0" xfId="0" applyFont="1" applyFill="1" applyBorder="1"/>
    <xf numFmtId="0" fontId="3" fillId="0" borderId="0" xfId="22" applyFont="1" applyFill="1" applyBorder="1" applyAlignment="1">
      <alignment horizontal="center"/>
      <protection/>
    </xf>
    <xf numFmtId="169" fontId="3" fillId="0" borderId="0" xfId="37" applyNumberFormat="1" applyFont="1" applyFill="1"/>
    <xf numFmtId="3" fontId="3" fillId="0" borderId="0" xfId="0" applyNumberFormat="1" applyFont="1"/>
    <xf numFmtId="3" fontId="0" fillId="0" borderId="0" xfId="0" applyNumberFormat="1" applyFont="1" applyFill="1"/>
    <xf numFmtId="0" fontId="17" fillId="0" borderId="0" xfId="0" applyFont="1" applyFill="1"/>
    <xf numFmtId="171" fontId="0" fillId="0" borderId="0" xfId="0" applyNumberFormat="1" applyFill="1"/>
    <xf numFmtId="37" fontId="6" fillId="0" borderId="0" xfId="20" applyNumberFormat="1" applyFont="1" applyFill="1" applyBorder="1" applyProtection="1">
      <alignment/>
      <protection/>
    </xf>
    <xf numFmtId="180" fontId="6" fillId="0" borderId="0" xfId="16" applyNumberFormat="1" applyFont="1" applyFill="1" applyBorder="1" applyProtection="1">
      <protection/>
    </xf>
    <xf numFmtId="180" fontId="3" fillId="0" borderId="14" xfId="16" applyNumberFormat="1" applyFont="1" applyFill="1" applyBorder="1"/>
    <xf numFmtId="5" fontId="4" fillId="0" borderId="0" xfId="0" applyNumberFormat="1" applyFont="1" applyFill="1"/>
    <xf numFmtId="180" fontId="4" fillId="0" borderId="0" xfId="16" applyNumberFormat="1" applyFont="1" applyFill="1"/>
    <xf numFmtId="37" fontId="4" fillId="0" borderId="13" xfId="0" applyNumberFormat="1" applyFont="1" applyFill="1" applyBorder="1"/>
    <xf numFmtId="180" fontId="4" fillId="0" borderId="14" xfId="16" applyNumberFormat="1" applyFont="1" applyFill="1" applyBorder="1"/>
    <xf numFmtId="0" fontId="0" fillId="0" borderId="18" xfId="0" applyFill="1" applyBorder="1"/>
    <xf numFmtId="0" fontId="4" fillId="0" borderId="19" xfId="0" applyFont="1" applyFill="1" applyBorder="1" applyAlignment="1">
      <alignment horizontal="right"/>
    </xf>
    <xf numFmtId="10" fontId="4" fillId="0" borderId="20" xfId="0" applyNumberFormat="1" applyFont="1" applyFill="1" applyBorder="1"/>
    <xf numFmtId="0" fontId="0" fillId="0" borderId="0" xfId="0" applyFont="1" applyBorder="1"/>
    <xf numFmtId="10" fontId="0" fillId="0" borderId="0" xfId="15" applyNumberFormat="1" applyFont="1"/>
    <xf numFmtId="10" fontId="9" fillId="0" borderId="0" xfId="15" applyNumberFormat="1" applyFont="1" applyFill="1" applyBorder="1" applyAlignment="1">
      <alignment horizontal="left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0" xfId="15" applyNumberFormat="1" applyFont="1" applyBorder="1" applyAlignment="1">
      <alignment horizontal="center"/>
    </xf>
    <xf numFmtId="169" fontId="0" fillId="0" borderId="0" xfId="15" applyNumberFormat="1" applyFont="1" applyBorder="1" applyAlignment="1">
      <alignment horizontal="center"/>
    </xf>
    <xf numFmtId="10" fontId="0" fillId="0" borderId="13" xfId="15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37" fontId="21" fillId="0" borderId="0" xfId="0" applyNumberFormat="1" applyFont="1" applyBorder="1" applyAlignment="1" quotePrefix="1">
      <alignment horizontal="left"/>
    </xf>
    <xf numFmtId="43" fontId="4" fillId="0" borderId="0" xfId="22" applyNumberFormat="1" applyFont="1" applyFill="1" applyAlignment="1">
      <alignment horizontal="center"/>
      <protection/>
    </xf>
    <xf numFmtId="169" fontId="24" fillId="0" borderId="0" xfId="15" applyNumberFormat="1" applyFont="1" applyFill="1"/>
    <xf numFmtId="169" fontId="4" fillId="0" borderId="0" xfId="22" applyNumberFormat="1" applyFont="1" applyFill="1">
      <alignment/>
      <protection/>
    </xf>
    <xf numFmtId="0" fontId="25" fillId="0" borderId="0" xfId="22" applyFont="1" applyFill="1">
      <alignment/>
      <protection/>
    </xf>
    <xf numFmtId="10" fontId="3" fillId="0" borderId="0" xfId="15" applyNumberFormat="1" applyFont="1" applyFill="1" applyBorder="1"/>
    <xf numFmtId="3" fontId="3" fillId="0" borderId="0" xfId="38" applyNumberFormat="1" applyFont="1" applyBorder="1">
      <alignment/>
      <protection/>
    </xf>
    <xf numFmtId="3" fontId="3" fillId="0" borderId="13" xfId="38" applyNumberFormat="1" applyFont="1" applyBorder="1">
      <alignment/>
      <protection/>
    </xf>
    <xf numFmtId="0" fontId="12" fillId="0" borderId="0" xfId="22" applyFont="1" applyFill="1">
      <alignment/>
      <protection/>
    </xf>
    <xf numFmtId="0" fontId="4" fillId="0" borderId="0" xfId="38" applyFont="1">
      <alignment/>
      <protection/>
    </xf>
    <xf numFmtId="169" fontId="4" fillId="0" borderId="13" xfId="15" applyNumberFormat="1" applyFont="1" applyFill="1" applyBorder="1"/>
    <xf numFmtId="0" fontId="3" fillId="0" borderId="13" xfId="22" applyFont="1" applyFill="1" applyBorder="1">
      <alignment/>
      <protection/>
    </xf>
    <xf numFmtId="9" fontId="3" fillId="0" borderId="0" xfId="15" applyNumberFormat="1" applyFont="1" applyFill="1"/>
    <xf numFmtId="0" fontId="10" fillId="0" borderId="0" xfId="22" applyNumberFormat="1" applyFont="1" applyFill="1" applyAlignment="1" quotePrefix="1">
      <alignment horizontal="right"/>
      <protection/>
    </xf>
    <xf numFmtId="0" fontId="26" fillId="0" borderId="22" xfId="39" applyFont="1" applyBorder="1" applyAlignment="1">
      <alignment horizontal="center"/>
      <protection/>
    </xf>
    <xf numFmtId="3" fontId="1" fillId="0" borderId="0" xfId="39" applyNumberFormat="1" applyBorder="1" applyAlignment="1">
      <alignment horizontal="center"/>
      <protection/>
    </xf>
    <xf numFmtId="10" fontId="1" fillId="0" borderId="0" xfId="39" applyNumberFormat="1" applyBorder="1" applyAlignment="1">
      <alignment horizontal="center"/>
      <protection/>
    </xf>
    <xf numFmtId="2" fontId="1" fillId="0" borderId="0" xfId="39" applyNumberFormat="1" applyBorder="1" applyAlignment="1">
      <alignment horizontal="center"/>
      <protection/>
    </xf>
    <xf numFmtId="0" fontId="1" fillId="0" borderId="0" xfId="39" applyBorder="1">
      <alignment/>
      <protection/>
    </xf>
    <xf numFmtId="0" fontId="1" fillId="0" borderId="0" xfId="39" applyBorder="1" applyAlignment="1">
      <alignment horizontal="center"/>
      <protection/>
    </xf>
    <xf numFmtId="3" fontId="1" fillId="0" borderId="13" xfId="39" applyNumberFormat="1" applyBorder="1" applyAlignment="1">
      <alignment horizontal="center"/>
      <protection/>
    </xf>
    <xf numFmtId="10" fontId="1" fillId="0" borderId="13" xfId="39" applyNumberFormat="1" applyBorder="1" applyAlignment="1">
      <alignment horizontal="center"/>
      <protection/>
    </xf>
    <xf numFmtId="2" fontId="1" fillId="0" borderId="13" xfId="39" applyNumberFormat="1" applyBorder="1" applyAlignment="1">
      <alignment horizontal="center"/>
      <protection/>
    </xf>
    <xf numFmtId="0" fontId="1" fillId="0" borderId="13" xfId="39" applyBorder="1">
      <alignment/>
      <protection/>
    </xf>
    <xf numFmtId="0" fontId="1" fillId="0" borderId="0" xfId="39" applyFont="1" applyBorder="1">
      <alignment/>
      <protection/>
    </xf>
    <xf numFmtId="0" fontId="0" fillId="0" borderId="0" xfId="39" applyFont="1" applyFill="1" applyBorder="1" applyAlignment="1">
      <alignment horizontal="left"/>
      <protection/>
    </xf>
    <xf numFmtId="180" fontId="1" fillId="0" borderId="21" xfId="42" applyNumberFormat="1" applyFont="1" applyBorder="1"/>
    <xf numFmtId="169" fontId="3" fillId="0" borderId="0" xfId="0" applyNumberFormat="1" applyFont="1" applyFill="1" applyBorder="1"/>
    <xf numFmtId="169" fontId="3" fillId="0" borderId="0" xfId="0" applyNumberFormat="1" applyFont="1" applyFill="1"/>
    <xf numFmtId="0" fontId="1" fillId="0" borderId="0" xfId="132">
      <alignment/>
      <protection/>
    </xf>
    <xf numFmtId="0" fontId="3" fillId="0" borderId="0" xfId="22" applyFont="1" applyFill="1">
      <alignment/>
      <protection/>
    </xf>
    <xf numFmtId="3" fontId="3" fillId="0" borderId="0" xfId="22" applyNumberFormat="1" applyFont="1" applyFill="1">
      <alignment/>
      <protection/>
    </xf>
    <xf numFmtId="14" fontId="3" fillId="0" borderId="0" xfId="22" applyNumberFormat="1" applyFont="1" applyFill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14" fontId="3" fillId="0" borderId="0" xfId="22" applyNumberFormat="1" applyFont="1" applyFill="1">
      <alignment/>
      <protection/>
    </xf>
    <xf numFmtId="10" fontId="3" fillId="0" borderId="0" xfId="22" applyNumberFormat="1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0" fontId="1" fillId="0" borderId="0" xfId="133">
      <alignment/>
      <protection/>
    </xf>
    <xf numFmtId="0" fontId="3" fillId="0" borderId="0" xfId="22" applyFont="1" applyFill="1">
      <alignment/>
      <protection/>
    </xf>
    <xf numFmtId="3" fontId="3" fillId="0" borderId="0" xfId="22" applyNumberFormat="1" applyFont="1" applyFill="1">
      <alignment/>
      <protection/>
    </xf>
    <xf numFmtId="169" fontId="3" fillId="0" borderId="0" xfId="99" applyNumberFormat="1" applyFont="1" applyFill="1" applyAlignment="1">
      <alignment horizontal="center"/>
    </xf>
    <xf numFmtId="14" fontId="3" fillId="0" borderId="0" xfId="22" applyNumberFormat="1" applyFont="1" applyFill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41" fontId="3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0" fontId="27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4" fillId="0" borderId="0" xfId="22" applyFont="1" applyFill="1" applyAlignment="1">
      <alignment horizontal="right"/>
      <protection/>
    </xf>
    <xf numFmtId="41" fontId="4" fillId="0" borderId="0" xfId="22" applyNumberFormat="1" applyFont="1" applyFill="1">
      <alignment/>
      <protection/>
    </xf>
    <xf numFmtId="3" fontId="4" fillId="0" borderId="0" xfId="22" applyNumberFormat="1" applyFont="1" applyFill="1">
      <alignment/>
      <protection/>
    </xf>
    <xf numFmtId="14" fontId="3" fillId="0" borderId="0" xfId="22" applyNumberFormat="1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5" fontId="6" fillId="0" borderId="0" xfId="20" applyNumberFormat="1" applyFont="1" applyFill="1" applyBorder="1" applyProtection="1">
      <alignment/>
      <protection/>
    </xf>
    <xf numFmtId="43" fontId="0" fillId="0" borderId="0" xfId="18" applyFont="1" applyFill="1"/>
    <xf numFmtId="14" fontId="3" fillId="0" borderId="0" xfId="22" applyNumberFormat="1" applyFont="1" applyFill="1" applyAlignment="1">
      <alignment horizontal="right"/>
      <protection/>
    </xf>
    <xf numFmtId="0" fontId="12" fillId="0" borderId="0" xfId="22" applyFont="1" applyFill="1" applyAlignment="1">
      <alignment horizontal="center" vertical="center"/>
      <protection/>
    </xf>
    <xf numFmtId="0" fontId="3" fillId="0" borderId="0" xfId="22" applyFont="1" applyFill="1">
      <alignment/>
      <protection/>
    </xf>
    <xf numFmtId="0" fontId="3" fillId="0" borderId="0" xfId="22" applyFont="1" applyFill="1" applyAlignment="1">
      <alignment horizontal="right"/>
      <protection/>
    </xf>
    <xf numFmtId="14" fontId="3" fillId="0" borderId="0" xfId="22" applyNumberFormat="1" applyFont="1" applyFill="1" applyAlignment="1">
      <alignment horizontal="right"/>
      <protection/>
    </xf>
    <xf numFmtId="0" fontId="3" fillId="0" borderId="0" xfId="22" applyFont="1" applyFill="1">
      <alignment/>
      <protection/>
    </xf>
    <xf numFmtId="0" fontId="3" fillId="0" borderId="0" xfId="22" applyFont="1" applyFill="1">
      <alignment/>
      <protection/>
    </xf>
    <xf numFmtId="3" fontId="3" fillId="0" borderId="0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0" fontId="10" fillId="0" borderId="0" xfId="22" applyFont="1" applyFill="1">
      <alignment/>
      <protection/>
    </xf>
    <xf numFmtId="3" fontId="11" fillId="0" borderId="0" xfId="38" applyNumberFormat="1" applyFont="1" applyBorder="1">
      <alignment/>
      <protection/>
    </xf>
    <xf numFmtId="9" fontId="3" fillId="0" borderId="0" xfId="15" applyFont="1" applyFill="1"/>
    <xf numFmtId="10" fontId="2" fillId="0" borderId="0" xfId="15" applyNumberFormat="1" applyFont="1" applyFill="1" applyBorder="1" applyAlignment="1">
      <alignment horizontal="center"/>
    </xf>
    <xf numFmtId="5" fontId="0" fillId="0" borderId="0" xfId="0" applyNumberFormat="1" applyFill="1"/>
    <xf numFmtId="184" fontId="3" fillId="0" borderId="0" xfId="18" applyNumberFormat="1" applyFont="1" applyFill="1"/>
    <xf numFmtId="42" fontId="0" fillId="0" borderId="0" xfId="0" applyNumberFormat="1" applyBorder="1" applyAlignment="1">
      <alignment/>
    </xf>
    <xf numFmtId="171" fontId="3" fillId="0" borderId="0" xfId="18" applyNumberFormat="1" applyFont="1" applyFill="1" applyAlignment="1">
      <alignment horizontal="center"/>
    </xf>
    <xf numFmtId="171" fontId="3" fillId="0" borderId="0" xfId="18" applyNumberFormat="1" applyFont="1" applyFill="1"/>
    <xf numFmtId="10" fontId="0" fillId="0" borderId="0" xfId="0" applyNumberFormat="1" applyFill="1"/>
    <xf numFmtId="43" fontId="11" fillId="0" borderId="0" xfId="18" applyFont="1" applyFill="1" applyBorder="1" applyAlignment="1" applyProtection="1">
      <alignment horizontal="left"/>
      <protection/>
    </xf>
    <xf numFmtId="185" fontId="3" fillId="0" borderId="0" xfId="18" applyNumberFormat="1" applyFont="1" applyFill="1"/>
    <xf numFmtId="0" fontId="3" fillId="0" borderId="0" xfId="22" applyFont="1" applyFill="1" applyAlignment="1">
      <alignment horizontal="left"/>
      <protection/>
    </xf>
    <xf numFmtId="0" fontId="17" fillId="0" borderId="0" xfId="0" applyFont="1" applyBorder="1"/>
    <xf numFmtId="165" fontId="0" fillId="0" borderId="0" xfId="0" applyNumberFormat="1"/>
    <xf numFmtId="0" fontId="4" fillId="0" borderId="23" xfId="22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3" fillId="0" borderId="15" xfId="22" applyFont="1" applyFill="1" applyBorder="1" applyAlignment="1">
      <alignment horizontal="center"/>
      <protection/>
    </xf>
    <xf numFmtId="0" fontId="3" fillId="0" borderId="5" xfId="22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7" fillId="0" borderId="0" xfId="22" applyFont="1" applyFill="1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wrapText="1"/>
    </xf>
    <xf numFmtId="0" fontId="0" fillId="0" borderId="0" xfId="0" applyAlignment="1">
      <alignment wrapText="1"/>
    </xf>
    <xf numFmtId="173" fontId="3" fillId="0" borderId="25" xfId="22" applyNumberFormat="1" applyFont="1" applyFill="1" applyBorder="1" applyAlignment="1">
      <alignment horizontal="center"/>
      <protection/>
    </xf>
    <xf numFmtId="173" fontId="3" fillId="0" borderId="4" xfId="22" applyNumberFormat="1" applyFont="1" applyFill="1" applyBorder="1" applyAlignment="1">
      <alignment horizontal="center"/>
      <protection/>
    </xf>
    <xf numFmtId="173" fontId="3" fillId="0" borderId="26" xfId="22" applyNumberFormat="1" applyFont="1" applyFill="1" applyBorder="1" applyAlignment="1">
      <alignment horizontal="center"/>
      <protection/>
    </xf>
    <xf numFmtId="0" fontId="3" fillId="0" borderId="15" xfId="2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23" xfId="22" applyFont="1" applyFill="1" applyBorder="1" applyAlignment="1">
      <alignment horizontal="center"/>
      <protection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26" xfId="0" applyFont="1" applyFill="1" applyBorder="1"/>
    <xf numFmtId="0" fontId="3" fillId="0" borderId="0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173" fontId="3" fillId="0" borderId="0" xfId="22" applyNumberFormat="1" applyFont="1" applyFill="1" applyAlignment="1">
      <alignment horizontal="center"/>
      <protection/>
    </xf>
    <xf numFmtId="5" fontId="8" fillId="0" borderId="0" xfId="20" applyNumberFormat="1" applyFont="1" applyFill="1" applyBorder="1" applyAlignment="1" applyProtection="1">
      <alignment horizontal="left"/>
      <protection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MACAPST" xfId="20"/>
    <cellStyle name="Normal_COSTOF" xfId="21"/>
    <cellStyle name="Normal_UE-070804 et al Exhibits KLE 3 and 4 CONFIDENTIAL 10-17-07" xfId="22"/>
    <cellStyle name="Normal 2" xfId="23"/>
    <cellStyle name="Comma 2" xfId="24"/>
    <cellStyle name="MonthHeader" xfId="25"/>
    <cellStyle name="Normal 3" xfId="26"/>
    <cellStyle name="YrHeader" xfId="27"/>
    <cellStyle name="QtrHeader" xfId="28"/>
    <cellStyle name="2decimal" xfId="29"/>
    <cellStyle name="Currency0" xfId="30"/>
    <cellStyle name="Currency0nospace" xfId="31"/>
    <cellStyle name="Currency2" xfId="32"/>
    <cellStyle name="LabelWithTotals" xfId="33"/>
    <cellStyle name="Thousands" xfId="34"/>
    <cellStyle name="Percent 2" xfId="35"/>
    <cellStyle name="Comma 3" xfId="36"/>
    <cellStyle name="Percent 3" xfId="37"/>
    <cellStyle name="Normal 4" xfId="38"/>
    <cellStyle name="Normal 16" xfId="39"/>
    <cellStyle name="Comma 6" xfId="40"/>
    <cellStyle name="Percent 6" xfId="41"/>
    <cellStyle name="Currency 2 2" xfId="42"/>
    <cellStyle name="Percent 2 2" xfId="43"/>
    <cellStyle name="Comma 2 2" xfId="44"/>
    <cellStyle name="Normal 2 2" xfId="45"/>
    <cellStyle name="Normal 5" xfId="46"/>
    <cellStyle name="Percent 7" xfId="47"/>
    <cellStyle name="Normal 17" xfId="48"/>
    <cellStyle name="Normal 13" xfId="49"/>
    <cellStyle name="60% - Accent5 2" xfId="50"/>
    <cellStyle name="category" xfId="51"/>
    <cellStyle name="Comma 2 4" xfId="52"/>
    <cellStyle name="Comma 2 3" xfId="53"/>
    <cellStyle name="Comma 3 3" xfId="54"/>
    <cellStyle name="Comma 3 2" xfId="55"/>
    <cellStyle name="Comma 4" xfId="56"/>
    <cellStyle name="Comma 5" xfId="57"/>
    <cellStyle name="Currency 2" xfId="58"/>
    <cellStyle name="Currency 3" xfId="59"/>
    <cellStyle name="Check Cell 2" xfId="60"/>
    <cellStyle name="Total 2" xfId="61"/>
    <cellStyle name="Grey" xfId="62"/>
    <cellStyle name="HEADER" xfId="63"/>
    <cellStyle name="Input [yellow]" xfId="64"/>
    <cellStyle name="Model" xfId="65"/>
    <cellStyle name="Neutral 2" xfId="66"/>
    <cellStyle name="Normal - Style1" xfId="67"/>
    <cellStyle name="Normal 10" xfId="68"/>
    <cellStyle name="Normal 11" xfId="69"/>
    <cellStyle name="Normal 12" xfId="70"/>
    <cellStyle name="Normal 13 2" xfId="71"/>
    <cellStyle name="Normal 14" xfId="72"/>
    <cellStyle name="Normal 15" xfId="73"/>
    <cellStyle name="Normal 2 5" xfId="74"/>
    <cellStyle name="Normal 2 3" xfId="75"/>
    <cellStyle name="Normal 2 4" xfId="76"/>
    <cellStyle name="Normal 3 3" xfId="77"/>
    <cellStyle name="Normal 3 2" xfId="78"/>
    <cellStyle name="Normal 4 4" xfId="79"/>
    <cellStyle name="Normal 4 2" xfId="80"/>
    <cellStyle name="Normal 4 3" xfId="81"/>
    <cellStyle name="Normal 5 2" xfId="82"/>
    <cellStyle name="Normal 6" xfId="83"/>
    <cellStyle name="Normal 7" xfId="84"/>
    <cellStyle name="Normal 8" xfId="85"/>
    <cellStyle name="Normal 9" xfId="86"/>
    <cellStyle name="OUTPUT AMOUNTS" xfId="87"/>
    <cellStyle name="Output Line Items" xfId="88"/>
    <cellStyle name="Percent [2]" xfId="89"/>
    <cellStyle name="Percent 3 2" xfId="90"/>
    <cellStyle name="Percent 4" xfId="91"/>
    <cellStyle name="Percent 5" xfId="92"/>
    <cellStyle name="subhead" xfId="93"/>
    <cellStyle name="20% - Accent2 2" xfId="94"/>
    <cellStyle name="20% - Accent3 2" xfId="95"/>
    <cellStyle name="60% - Accent1 2" xfId="96"/>
    <cellStyle name="Heading 3 2" xfId="97"/>
    <cellStyle name="40% - Accent5 2" xfId="98"/>
    <cellStyle name="Percent 9" xfId="99"/>
    <cellStyle name="40% - Accent6 2" xfId="100"/>
    <cellStyle name="40% - Accent1 2" xfId="101"/>
    <cellStyle name="Accent3 2" xfId="102"/>
    <cellStyle name="60% - Accent2 2" xfId="103"/>
    <cellStyle name="60% - Accent3 2" xfId="104"/>
    <cellStyle name="Warning Text 2" xfId="105"/>
    <cellStyle name="Title 2" xfId="106"/>
    <cellStyle name="Output 2" xfId="107"/>
    <cellStyle name="Note 2" xfId="108"/>
    <cellStyle name="Linked Cell 2" xfId="109"/>
    <cellStyle name="Input 2" xfId="110"/>
    <cellStyle name="Heading 2 2" xfId="111"/>
    <cellStyle name="Heading 1 2" xfId="112"/>
    <cellStyle name="Good 2" xfId="113"/>
    <cellStyle name="Calculation 2" xfId="114"/>
    <cellStyle name="Bad 2" xfId="115"/>
    <cellStyle name="Accent6 2" xfId="116"/>
    <cellStyle name="Accent5 2" xfId="117"/>
    <cellStyle name="Accent4 2" xfId="118"/>
    <cellStyle name="Accent2 2" xfId="119"/>
    <cellStyle name="60% - Accent6 2" xfId="120"/>
    <cellStyle name="60% - Accent4 2" xfId="121"/>
    <cellStyle name="40% - Accent4 2" xfId="122"/>
    <cellStyle name="40% - Accent3 2" xfId="123"/>
    <cellStyle name="40% - Accent2 2" xfId="124"/>
    <cellStyle name="20% - Accent5 2" xfId="125"/>
    <cellStyle name="20% - Accent6 2" xfId="126"/>
    <cellStyle name="Explanatory Text 2" xfId="127"/>
    <cellStyle name="Accent1 2" xfId="128"/>
    <cellStyle name="Heading 4 2" xfId="129"/>
    <cellStyle name="Percent 8" xfId="130"/>
    <cellStyle name="20% - Accent4 2" xfId="131"/>
    <cellStyle name="Normal 18" xfId="132"/>
    <cellStyle name="Normal 19" xfId="133"/>
    <cellStyle name="20% - Accent1 2" xfId="134"/>
    <cellStyle name="Normal 20" xfId="135"/>
    <cellStyle name="Normal 21" xfId="136"/>
    <cellStyle name="Normal 22" xfId="137"/>
    <cellStyle name="Comma 3 4" xfId="138"/>
    <cellStyle name="Percent 4 5" xfId="139"/>
    <cellStyle name="Comma 4 5" xfId="140"/>
    <cellStyle name="Comma 5 5" xfId="141"/>
    <cellStyle name="Currency 3 5" xfId="142"/>
    <cellStyle name="Normal 10 5" xfId="143"/>
    <cellStyle name="Normal 11 5" xfId="144"/>
    <cellStyle name="Normal 12 5" xfId="145"/>
    <cellStyle name="Normal 6 5" xfId="146"/>
    <cellStyle name="Normal 7 5" xfId="147"/>
    <cellStyle name="Normal 8 5" xfId="148"/>
    <cellStyle name="Normal 23" xfId="149"/>
    <cellStyle name="Comma 3 3 2" xfId="150"/>
    <cellStyle name="Percent 3 3" xfId="151"/>
    <cellStyle name="Comma 3 2 3" xfId="152"/>
    <cellStyle name="Percent 4 2" xfId="153"/>
    <cellStyle name="Comma 4 2" xfId="154"/>
    <cellStyle name="Comma 3 2 2" xfId="155"/>
    <cellStyle name="Comma 5 2" xfId="156"/>
    <cellStyle name="Currency 3 2" xfId="157"/>
    <cellStyle name="Normal 10 2" xfId="158"/>
    <cellStyle name="Normal 11 2" xfId="159"/>
    <cellStyle name="Normal 12 2" xfId="160"/>
    <cellStyle name="Normal 6 2" xfId="161"/>
    <cellStyle name="Normal 7 2" xfId="162"/>
    <cellStyle name="Normal 8 2" xfId="163"/>
    <cellStyle name="Normal 18 2" xfId="164"/>
    <cellStyle name="Percent 4 4" xfId="165"/>
    <cellStyle name="Comma 4 4" xfId="166"/>
    <cellStyle name="Comma 5 4" xfId="167"/>
    <cellStyle name="Currency 3 4" xfId="168"/>
    <cellStyle name="Normal 10 4" xfId="169"/>
    <cellStyle name="Normal 11 4" xfId="170"/>
    <cellStyle name="Normal 12 4" xfId="171"/>
    <cellStyle name="Normal 6 4" xfId="172"/>
    <cellStyle name="Normal 7 4" xfId="173"/>
    <cellStyle name="Normal 8 4" xfId="174"/>
    <cellStyle name="Percent 4 2 3" xfId="175"/>
    <cellStyle name="Comma 4 2 3" xfId="176"/>
    <cellStyle name="Comma 5 2 3" xfId="177"/>
    <cellStyle name="Currency 3 2 3" xfId="178"/>
    <cellStyle name="Normal 10 2 3" xfId="179"/>
    <cellStyle name="Normal 11 2 3" xfId="180"/>
    <cellStyle name="Normal 12 2 3" xfId="181"/>
    <cellStyle name="Normal 6 2 3" xfId="182"/>
    <cellStyle name="Normal 7 2 3" xfId="183"/>
    <cellStyle name="Normal 8 2 3" xfId="184"/>
    <cellStyle name="Normal 16 2" xfId="185"/>
    <cellStyle name="Normal 17 2" xfId="186"/>
    <cellStyle name="Percent 4 3" xfId="187"/>
    <cellStyle name="Comma 4 3" xfId="188"/>
    <cellStyle name="Comma 5 3" xfId="189"/>
    <cellStyle name="Currency 3 3" xfId="190"/>
    <cellStyle name="Normal 10 3" xfId="191"/>
    <cellStyle name="Normal 11 3" xfId="192"/>
    <cellStyle name="Normal 12 3" xfId="193"/>
    <cellStyle name="Normal 6 3" xfId="194"/>
    <cellStyle name="Normal 7 3" xfId="195"/>
    <cellStyle name="Normal 8 3" xfId="196"/>
    <cellStyle name="Percent 4 2 2" xfId="197"/>
    <cellStyle name="Comma 4 2 2" xfId="198"/>
    <cellStyle name="Comma 5 2 2" xfId="199"/>
    <cellStyle name="Currency 3 2 2" xfId="200"/>
    <cellStyle name="Normal 10 2 2" xfId="201"/>
    <cellStyle name="Normal 11 2 2" xfId="202"/>
    <cellStyle name="Normal 12 2 2" xfId="203"/>
    <cellStyle name="Normal 6 2 2" xfId="204"/>
    <cellStyle name="Normal 7 2 2" xfId="205"/>
    <cellStyle name="Normal 8 2 2" xfId="206"/>
    <cellStyle name="Normal 24" xfId="207"/>
  </cellStyles>
  <dxfs count="2">
    <dxf>
      <fill>
        <patternFill>
          <bgColor indexed="11"/>
        </patternFill>
      </fill>
      <border/>
    </dxf>
    <dxf>
      <fill>
        <patternFill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C4" sqref="C4"/>
    </sheetView>
  </sheetViews>
  <sheetFormatPr defaultColWidth="10.7109375" defaultRowHeight="12.75"/>
  <cols>
    <col min="1" max="1" width="16.00390625" style="73" customWidth="1"/>
    <col min="2" max="2" width="4.7109375" style="74" customWidth="1"/>
    <col min="3" max="3" width="2.7109375" style="73" customWidth="1"/>
    <col min="4" max="5" width="10.7109375" style="73" customWidth="1"/>
    <col min="6" max="6" width="20.7109375" style="73" customWidth="1"/>
    <col min="7" max="7" width="3.28125" style="73" customWidth="1"/>
    <col min="8" max="8" width="4.7109375" style="74" customWidth="1"/>
    <col min="9" max="9" width="2.7109375" style="73" customWidth="1"/>
    <col min="10" max="11" width="10.7109375" style="73" customWidth="1"/>
    <col min="12" max="12" width="20.7109375" style="73" customWidth="1"/>
    <col min="13" max="13" width="3.28125" style="73" customWidth="1"/>
    <col min="14" max="256" width="10.7109375" style="73" customWidth="1"/>
    <col min="257" max="257" width="16.00390625" style="73" customWidth="1"/>
    <col min="258" max="258" width="4.7109375" style="73" customWidth="1"/>
    <col min="259" max="259" width="2.7109375" style="73" customWidth="1"/>
    <col min="260" max="261" width="10.7109375" style="73" customWidth="1"/>
    <col min="262" max="262" width="20.7109375" style="73" customWidth="1"/>
    <col min="263" max="263" width="3.28125" style="73" customWidth="1"/>
    <col min="264" max="264" width="4.7109375" style="73" customWidth="1"/>
    <col min="265" max="265" width="2.7109375" style="73" customWidth="1"/>
    <col min="266" max="267" width="10.7109375" style="73" customWidth="1"/>
    <col min="268" max="268" width="20.7109375" style="73" customWidth="1"/>
    <col min="269" max="269" width="3.28125" style="73" customWidth="1"/>
    <col min="270" max="512" width="10.7109375" style="73" customWidth="1"/>
    <col min="513" max="513" width="16.00390625" style="73" customWidth="1"/>
    <col min="514" max="514" width="4.7109375" style="73" customWidth="1"/>
    <col min="515" max="515" width="2.7109375" style="73" customWidth="1"/>
    <col min="516" max="517" width="10.7109375" style="73" customWidth="1"/>
    <col min="518" max="518" width="20.7109375" style="73" customWidth="1"/>
    <col min="519" max="519" width="3.28125" style="73" customWidth="1"/>
    <col min="520" max="520" width="4.7109375" style="73" customWidth="1"/>
    <col min="521" max="521" width="2.7109375" style="73" customWidth="1"/>
    <col min="522" max="523" width="10.7109375" style="73" customWidth="1"/>
    <col min="524" max="524" width="20.7109375" style="73" customWidth="1"/>
    <col min="525" max="525" width="3.28125" style="73" customWidth="1"/>
    <col min="526" max="768" width="10.7109375" style="73" customWidth="1"/>
    <col min="769" max="769" width="16.00390625" style="73" customWidth="1"/>
    <col min="770" max="770" width="4.7109375" style="73" customWidth="1"/>
    <col min="771" max="771" width="2.7109375" style="73" customWidth="1"/>
    <col min="772" max="773" width="10.7109375" style="73" customWidth="1"/>
    <col min="774" max="774" width="20.7109375" style="73" customWidth="1"/>
    <col min="775" max="775" width="3.28125" style="73" customWidth="1"/>
    <col min="776" max="776" width="4.7109375" style="73" customWidth="1"/>
    <col min="777" max="777" width="2.7109375" style="73" customWidth="1"/>
    <col min="778" max="779" width="10.7109375" style="73" customWidth="1"/>
    <col min="780" max="780" width="20.7109375" style="73" customWidth="1"/>
    <col min="781" max="781" width="3.28125" style="73" customWidth="1"/>
    <col min="782" max="1024" width="10.7109375" style="73" customWidth="1"/>
    <col min="1025" max="1025" width="16.00390625" style="73" customWidth="1"/>
    <col min="1026" max="1026" width="4.7109375" style="73" customWidth="1"/>
    <col min="1027" max="1027" width="2.7109375" style="73" customWidth="1"/>
    <col min="1028" max="1029" width="10.7109375" style="73" customWidth="1"/>
    <col min="1030" max="1030" width="20.7109375" style="73" customWidth="1"/>
    <col min="1031" max="1031" width="3.28125" style="73" customWidth="1"/>
    <col min="1032" max="1032" width="4.7109375" style="73" customWidth="1"/>
    <col min="1033" max="1033" width="2.7109375" style="73" customWidth="1"/>
    <col min="1034" max="1035" width="10.7109375" style="73" customWidth="1"/>
    <col min="1036" max="1036" width="20.7109375" style="73" customWidth="1"/>
    <col min="1037" max="1037" width="3.28125" style="73" customWidth="1"/>
    <col min="1038" max="1280" width="10.7109375" style="73" customWidth="1"/>
    <col min="1281" max="1281" width="16.00390625" style="73" customWidth="1"/>
    <col min="1282" max="1282" width="4.7109375" style="73" customWidth="1"/>
    <col min="1283" max="1283" width="2.7109375" style="73" customWidth="1"/>
    <col min="1284" max="1285" width="10.7109375" style="73" customWidth="1"/>
    <col min="1286" max="1286" width="20.7109375" style="73" customWidth="1"/>
    <col min="1287" max="1287" width="3.28125" style="73" customWidth="1"/>
    <col min="1288" max="1288" width="4.7109375" style="73" customWidth="1"/>
    <col min="1289" max="1289" width="2.7109375" style="73" customWidth="1"/>
    <col min="1290" max="1291" width="10.7109375" style="73" customWidth="1"/>
    <col min="1292" max="1292" width="20.7109375" style="73" customWidth="1"/>
    <col min="1293" max="1293" width="3.28125" style="73" customWidth="1"/>
    <col min="1294" max="1536" width="10.7109375" style="73" customWidth="1"/>
    <col min="1537" max="1537" width="16.00390625" style="73" customWidth="1"/>
    <col min="1538" max="1538" width="4.7109375" style="73" customWidth="1"/>
    <col min="1539" max="1539" width="2.7109375" style="73" customWidth="1"/>
    <col min="1540" max="1541" width="10.7109375" style="73" customWidth="1"/>
    <col min="1542" max="1542" width="20.7109375" style="73" customWidth="1"/>
    <col min="1543" max="1543" width="3.28125" style="73" customWidth="1"/>
    <col min="1544" max="1544" width="4.7109375" style="73" customWidth="1"/>
    <col min="1545" max="1545" width="2.7109375" style="73" customWidth="1"/>
    <col min="1546" max="1547" width="10.7109375" style="73" customWidth="1"/>
    <col min="1548" max="1548" width="20.7109375" style="73" customWidth="1"/>
    <col min="1549" max="1549" width="3.28125" style="73" customWidth="1"/>
    <col min="1550" max="1792" width="10.7109375" style="73" customWidth="1"/>
    <col min="1793" max="1793" width="16.00390625" style="73" customWidth="1"/>
    <col min="1794" max="1794" width="4.7109375" style="73" customWidth="1"/>
    <col min="1795" max="1795" width="2.7109375" style="73" customWidth="1"/>
    <col min="1796" max="1797" width="10.7109375" style="73" customWidth="1"/>
    <col min="1798" max="1798" width="20.7109375" style="73" customWidth="1"/>
    <col min="1799" max="1799" width="3.28125" style="73" customWidth="1"/>
    <col min="1800" max="1800" width="4.7109375" style="73" customWidth="1"/>
    <col min="1801" max="1801" width="2.7109375" style="73" customWidth="1"/>
    <col min="1802" max="1803" width="10.7109375" style="73" customWidth="1"/>
    <col min="1804" max="1804" width="20.7109375" style="73" customWidth="1"/>
    <col min="1805" max="1805" width="3.28125" style="73" customWidth="1"/>
    <col min="1806" max="2048" width="10.7109375" style="73" customWidth="1"/>
    <col min="2049" max="2049" width="16.00390625" style="73" customWidth="1"/>
    <col min="2050" max="2050" width="4.7109375" style="73" customWidth="1"/>
    <col min="2051" max="2051" width="2.7109375" style="73" customWidth="1"/>
    <col min="2052" max="2053" width="10.7109375" style="73" customWidth="1"/>
    <col min="2054" max="2054" width="20.7109375" style="73" customWidth="1"/>
    <col min="2055" max="2055" width="3.28125" style="73" customWidth="1"/>
    <col min="2056" max="2056" width="4.7109375" style="73" customWidth="1"/>
    <col min="2057" max="2057" width="2.7109375" style="73" customWidth="1"/>
    <col min="2058" max="2059" width="10.7109375" style="73" customWidth="1"/>
    <col min="2060" max="2060" width="20.7109375" style="73" customWidth="1"/>
    <col min="2061" max="2061" width="3.28125" style="73" customWidth="1"/>
    <col min="2062" max="2304" width="10.7109375" style="73" customWidth="1"/>
    <col min="2305" max="2305" width="16.00390625" style="73" customWidth="1"/>
    <col min="2306" max="2306" width="4.7109375" style="73" customWidth="1"/>
    <col min="2307" max="2307" width="2.7109375" style="73" customWidth="1"/>
    <col min="2308" max="2309" width="10.7109375" style="73" customWidth="1"/>
    <col min="2310" max="2310" width="20.7109375" style="73" customWidth="1"/>
    <col min="2311" max="2311" width="3.28125" style="73" customWidth="1"/>
    <col min="2312" max="2312" width="4.7109375" style="73" customWidth="1"/>
    <col min="2313" max="2313" width="2.7109375" style="73" customWidth="1"/>
    <col min="2314" max="2315" width="10.7109375" style="73" customWidth="1"/>
    <col min="2316" max="2316" width="20.7109375" style="73" customWidth="1"/>
    <col min="2317" max="2317" width="3.28125" style="73" customWidth="1"/>
    <col min="2318" max="2560" width="10.7109375" style="73" customWidth="1"/>
    <col min="2561" max="2561" width="16.00390625" style="73" customWidth="1"/>
    <col min="2562" max="2562" width="4.7109375" style="73" customWidth="1"/>
    <col min="2563" max="2563" width="2.7109375" style="73" customWidth="1"/>
    <col min="2564" max="2565" width="10.7109375" style="73" customWidth="1"/>
    <col min="2566" max="2566" width="20.7109375" style="73" customWidth="1"/>
    <col min="2567" max="2567" width="3.28125" style="73" customWidth="1"/>
    <col min="2568" max="2568" width="4.7109375" style="73" customWidth="1"/>
    <col min="2569" max="2569" width="2.7109375" style="73" customWidth="1"/>
    <col min="2570" max="2571" width="10.7109375" style="73" customWidth="1"/>
    <col min="2572" max="2572" width="20.7109375" style="73" customWidth="1"/>
    <col min="2573" max="2573" width="3.28125" style="73" customWidth="1"/>
    <col min="2574" max="2816" width="10.7109375" style="73" customWidth="1"/>
    <col min="2817" max="2817" width="16.00390625" style="73" customWidth="1"/>
    <col min="2818" max="2818" width="4.7109375" style="73" customWidth="1"/>
    <col min="2819" max="2819" width="2.7109375" style="73" customWidth="1"/>
    <col min="2820" max="2821" width="10.7109375" style="73" customWidth="1"/>
    <col min="2822" max="2822" width="20.7109375" style="73" customWidth="1"/>
    <col min="2823" max="2823" width="3.28125" style="73" customWidth="1"/>
    <col min="2824" max="2824" width="4.7109375" style="73" customWidth="1"/>
    <col min="2825" max="2825" width="2.7109375" style="73" customWidth="1"/>
    <col min="2826" max="2827" width="10.7109375" style="73" customWidth="1"/>
    <col min="2828" max="2828" width="20.7109375" style="73" customWidth="1"/>
    <col min="2829" max="2829" width="3.28125" style="73" customWidth="1"/>
    <col min="2830" max="3072" width="10.7109375" style="73" customWidth="1"/>
    <col min="3073" max="3073" width="16.00390625" style="73" customWidth="1"/>
    <col min="3074" max="3074" width="4.7109375" style="73" customWidth="1"/>
    <col min="3075" max="3075" width="2.7109375" style="73" customWidth="1"/>
    <col min="3076" max="3077" width="10.7109375" style="73" customWidth="1"/>
    <col min="3078" max="3078" width="20.7109375" style="73" customWidth="1"/>
    <col min="3079" max="3079" width="3.28125" style="73" customWidth="1"/>
    <col min="3080" max="3080" width="4.7109375" style="73" customWidth="1"/>
    <col min="3081" max="3081" width="2.7109375" style="73" customWidth="1"/>
    <col min="3082" max="3083" width="10.7109375" style="73" customWidth="1"/>
    <col min="3084" max="3084" width="20.7109375" style="73" customWidth="1"/>
    <col min="3085" max="3085" width="3.28125" style="73" customWidth="1"/>
    <col min="3086" max="3328" width="10.7109375" style="73" customWidth="1"/>
    <col min="3329" max="3329" width="16.00390625" style="73" customWidth="1"/>
    <col min="3330" max="3330" width="4.7109375" style="73" customWidth="1"/>
    <col min="3331" max="3331" width="2.7109375" style="73" customWidth="1"/>
    <col min="3332" max="3333" width="10.7109375" style="73" customWidth="1"/>
    <col min="3334" max="3334" width="20.7109375" style="73" customWidth="1"/>
    <col min="3335" max="3335" width="3.28125" style="73" customWidth="1"/>
    <col min="3336" max="3336" width="4.7109375" style="73" customWidth="1"/>
    <col min="3337" max="3337" width="2.7109375" style="73" customWidth="1"/>
    <col min="3338" max="3339" width="10.7109375" style="73" customWidth="1"/>
    <col min="3340" max="3340" width="20.7109375" style="73" customWidth="1"/>
    <col min="3341" max="3341" width="3.28125" style="73" customWidth="1"/>
    <col min="3342" max="3584" width="10.7109375" style="73" customWidth="1"/>
    <col min="3585" max="3585" width="16.00390625" style="73" customWidth="1"/>
    <col min="3586" max="3586" width="4.7109375" style="73" customWidth="1"/>
    <col min="3587" max="3587" width="2.7109375" style="73" customWidth="1"/>
    <col min="3588" max="3589" width="10.7109375" style="73" customWidth="1"/>
    <col min="3590" max="3590" width="20.7109375" style="73" customWidth="1"/>
    <col min="3591" max="3591" width="3.28125" style="73" customWidth="1"/>
    <col min="3592" max="3592" width="4.7109375" style="73" customWidth="1"/>
    <col min="3593" max="3593" width="2.7109375" style="73" customWidth="1"/>
    <col min="3594" max="3595" width="10.7109375" style="73" customWidth="1"/>
    <col min="3596" max="3596" width="20.7109375" style="73" customWidth="1"/>
    <col min="3597" max="3597" width="3.28125" style="73" customWidth="1"/>
    <col min="3598" max="3840" width="10.7109375" style="73" customWidth="1"/>
    <col min="3841" max="3841" width="16.00390625" style="73" customWidth="1"/>
    <col min="3842" max="3842" width="4.7109375" style="73" customWidth="1"/>
    <col min="3843" max="3843" width="2.7109375" style="73" customWidth="1"/>
    <col min="3844" max="3845" width="10.7109375" style="73" customWidth="1"/>
    <col min="3846" max="3846" width="20.7109375" style="73" customWidth="1"/>
    <col min="3847" max="3847" width="3.28125" style="73" customWidth="1"/>
    <col min="3848" max="3848" width="4.7109375" style="73" customWidth="1"/>
    <col min="3849" max="3849" width="2.7109375" style="73" customWidth="1"/>
    <col min="3850" max="3851" width="10.7109375" style="73" customWidth="1"/>
    <col min="3852" max="3852" width="20.7109375" style="73" customWidth="1"/>
    <col min="3853" max="3853" width="3.28125" style="73" customWidth="1"/>
    <col min="3854" max="4096" width="10.7109375" style="73" customWidth="1"/>
    <col min="4097" max="4097" width="16.00390625" style="73" customWidth="1"/>
    <col min="4098" max="4098" width="4.7109375" style="73" customWidth="1"/>
    <col min="4099" max="4099" width="2.7109375" style="73" customWidth="1"/>
    <col min="4100" max="4101" width="10.7109375" style="73" customWidth="1"/>
    <col min="4102" max="4102" width="20.7109375" style="73" customWidth="1"/>
    <col min="4103" max="4103" width="3.28125" style="73" customWidth="1"/>
    <col min="4104" max="4104" width="4.7109375" style="73" customWidth="1"/>
    <col min="4105" max="4105" width="2.7109375" style="73" customWidth="1"/>
    <col min="4106" max="4107" width="10.7109375" style="73" customWidth="1"/>
    <col min="4108" max="4108" width="20.7109375" style="73" customWidth="1"/>
    <col min="4109" max="4109" width="3.28125" style="73" customWidth="1"/>
    <col min="4110" max="4352" width="10.7109375" style="73" customWidth="1"/>
    <col min="4353" max="4353" width="16.00390625" style="73" customWidth="1"/>
    <col min="4354" max="4354" width="4.7109375" style="73" customWidth="1"/>
    <col min="4355" max="4355" width="2.7109375" style="73" customWidth="1"/>
    <col min="4356" max="4357" width="10.7109375" style="73" customWidth="1"/>
    <col min="4358" max="4358" width="20.7109375" style="73" customWidth="1"/>
    <col min="4359" max="4359" width="3.28125" style="73" customWidth="1"/>
    <col min="4360" max="4360" width="4.7109375" style="73" customWidth="1"/>
    <col min="4361" max="4361" width="2.7109375" style="73" customWidth="1"/>
    <col min="4362" max="4363" width="10.7109375" style="73" customWidth="1"/>
    <col min="4364" max="4364" width="20.7109375" style="73" customWidth="1"/>
    <col min="4365" max="4365" width="3.28125" style="73" customWidth="1"/>
    <col min="4366" max="4608" width="10.7109375" style="73" customWidth="1"/>
    <col min="4609" max="4609" width="16.00390625" style="73" customWidth="1"/>
    <col min="4610" max="4610" width="4.7109375" style="73" customWidth="1"/>
    <col min="4611" max="4611" width="2.7109375" style="73" customWidth="1"/>
    <col min="4612" max="4613" width="10.7109375" style="73" customWidth="1"/>
    <col min="4614" max="4614" width="20.7109375" style="73" customWidth="1"/>
    <col min="4615" max="4615" width="3.28125" style="73" customWidth="1"/>
    <col min="4616" max="4616" width="4.7109375" style="73" customWidth="1"/>
    <col min="4617" max="4617" width="2.7109375" style="73" customWidth="1"/>
    <col min="4618" max="4619" width="10.7109375" style="73" customWidth="1"/>
    <col min="4620" max="4620" width="20.7109375" style="73" customWidth="1"/>
    <col min="4621" max="4621" width="3.28125" style="73" customWidth="1"/>
    <col min="4622" max="4864" width="10.7109375" style="73" customWidth="1"/>
    <col min="4865" max="4865" width="16.00390625" style="73" customWidth="1"/>
    <col min="4866" max="4866" width="4.7109375" style="73" customWidth="1"/>
    <col min="4867" max="4867" width="2.7109375" style="73" customWidth="1"/>
    <col min="4868" max="4869" width="10.7109375" style="73" customWidth="1"/>
    <col min="4870" max="4870" width="20.7109375" style="73" customWidth="1"/>
    <col min="4871" max="4871" width="3.28125" style="73" customWidth="1"/>
    <col min="4872" max="4872" width="4.7109375" style="73" customWidth="1"/>
    <col min="4873" max="4873" width="2.7109375" style="73" customWidth="1"/>
    <col min="4874" max="4875" width="10.7109375" style="73" customWidth="1"/>
    <col min="4876" max="4876" width="20.7109375" style="73" customWidth="1"/>
    <col min="4877" max="4877" width="3.28125" style="73" customWidth="1"/>
    <col min="4878" max="5120" width="10.7109375" style="73" customWidth="1"/>
    <col min="5121" max="5121" width="16.00390625" style="73" customWidth="1"/>
    <col min="5122" max="5122" width="4.7109375" style="73" customWidth="1"/>
    <col min="5123" max="5123" width="2.7109375" style="73" customWidth="1"/>
    <col min="5124" max="5125" width="10.7109375" style="73" customWidth="1"/>
    <col min="5126" max="5126" width="20.7109375" style="73" customWidth="1"/>
    <col min="5127" max="5127" width="3.28125" style="73" customWidth="1"/>
    <col min="5128" max="5128" width="4.7109375" style="73" customWidth="1"/>
    <col min="5129" max="5129" width="2.7109375" style="73" customWidth="1"/>
    <col min="5130" max="5131" width="10.7109375" style="73" customWidth="1"/>
    <col min="5132" max="5132" width="20.7109375" style="73" customWidth="1"/>
    <col min="5133" max="5133" width="3.28125" style="73" customWidth="1"/>
    <col min="5134" max="5376" width="10.7109375" style="73" customWidth="1"/>
    <col min="5377" max="5377" width="16.00390625" style="73" customWidth="1"/>
    <col min="5378" max="5378" width="4.7109375" style="73" customWidth="1"/>
    <col min="5379" max="5379" width="2.7109375" style="73" customWidth="1"/>
    <col min="5380" max="5381" width="10.7109375" style="73" customWidth="1"/>
    <col min="5382" max="5382" width="20.7109375" style="73" customWidth="1"/>
    <col min="5383" max="5383" width="3.28125" style="73" customWidth="1"/>
    <col min="5384" max="5384" width="4.7109375" style="73" customWidth="1"/>
    <col min="5385" max="5385" width="2.7109375" style="73" customWidth="1"/>
    <col min="5386" max="5387" width="10.7109375" style="73" customWidth="1"/>
    <col min="5388" max="5388" width="20.7109375" style="73" customWidth="1"/>
    <col min="5389" max="5389" width="3.28125" style="73" customWidth="1"/>
    <col min="5390" max="5632" width="10.7109375" style="73" customWidth="1"/>
    <col min="5633" max="5633" width="16.00390625" style="73" customWidth="1"/>
    <col min="5634" max="5634" width="4.7109375" style="73" customWidth="1"/>
    <col min="5635" max="5635" width="2.7109375" style="73" customWidth="1"/>
    <col min="5636" max="5637" width="10.7109375" style="73" customWidth="1"/>
    <col min="5638" max="5638" width="20.7109375" style="73" customWidth="1"/>
    <col min="5639" max="5639" width="3.28125" style="73" customWidth="1"/>
    <col min="5640" max="5640" width="4.7109375" style="73" customWidth="1"/>
    <col min="5641" max="5641" width="2.7109375" style="73" customWidth="1"/>
    <col min="5642" max="5643" width="10.7109375" style="73" customWidth="1"/>
    <col min="5644" max="5644" width="20.7109375" style="73" customWidth="1"/>
    <col min="5645" max="5645" width="3.28125" style="73" customWidth="1"/>
    <col min="5646" max="5888" width="10.7109375" style="73" customWidth="1"/>
    <col min="5889" max="5889" width="16.00390625" style="73" customWidth="1"/>
    <col min="5890" max="5890" width="4.7109375" style="73" customWidth="1"/>
    <col min="5891" max="5891" width="2.7109375" style="73" customWidth="1"/>
    <col min="5892" max="5893" width="10.7109375" style="73" customWidth="1"/>
    <col min="5894" max="5894" width="20.7109375" style="73" customWidth="1"/>
    <col min="5895" max="5895" width="3.28125" style="73" customWidth="1"/>
    <col min="5896" max="5896" width="4.7109375" style="73" customWidth="1"/>
    <col min="5897" max="5897" width="2.7109375" style="73" customWidth="1"/>
    <col min="5898" max="5899" width="10.7109375" style="73" customWidth="1"/>
    <col min="5900" max="5900" width="20.7109375" style="73" customWidth="1"/>
    <col min="5901" max="5901" width="3.28125" style="73" customWidth="1"/>
    <col min="5902" max="6144" width="10.7109375" style="73" customWidth="1"/>
    <col min="6145" max="6145" width="16.00390625" style="73" customWidth="1"/>
    <col min="6146" max="6146" width="4.7109375" style="73" customWidth="1"/>
    <col min="6147" max="6147" width="2.7109375" style="73" customWidth="1"/>
    <col min="6148" max="6149" width="10.7109375" style="73" customWidth="1"/>
    <col min="6150" max="6150" width="20.7109375" style="73" customWidth="1"/>
    <col min="6151" max="6151" width="3.28125" style="73" customWidth="1"/>
    <col min="6152" max="6152" width="4.7109375" style="73" customWidth="1"/>
    <col min="6153" max="6153" width="2.7109375" style="73" customWidth="1"/>
    <col min="6154" max="6155" width="10.7109375" style="73" customWidth="1"/>
    <col min="6156" max="6156" width="20.7109375" style="73" customWidth="1"/>
    <col min="6157" max="6157" width="3.28125" style="73" customWidth="1"/>
    <col min="6158" max="6400" width="10.7109375" style="73" customWidth="1"/>
    <col min="6401" max="6401" width="16.00390625" style="73" customWidth="1"/>
    <col min="6402" max="6402" width="4.7109375" style="73" customWidth="1"/>
    <col min="6403" max="6403" width="2.7109375" style="73" customWidth="1"/>
    <col min="6404" max="6405" width="10.7109375" style="73" customWidth="1"/>
    <col min="6406" max="6406" width="20.7109375" style="73" customWidth="1"/>
    <col min="6407" max="6407" width="3.28125" style="73" customWidth="1"/>
    <col min="6408" max="6408" width="4.7109375" style="73" customWidth="1"/>
    <col min="6409" max="6409" width="2.7109375" style="73" customWidth="1"/>
    <col min="6410" max="6411" width="10.7109375" style="73" customWidth="1"/>
    <col min="6412" max="6412" width="20.7109375" style="73" customWidth="1"/>
    <col min="6413" max="6413" width="3.28125" style="73" customWidth="1"/>
    <col min="6414" max="6656" width="10.7109375" style="73" customWidth="1"/>
    <col min="6657" max="6657" width="16.00390625" style="73" customWidth="1"/>
    <col min="6658" max="6658" width="4.7109375" style="73" customWidth="1"/>
    <col min="6659" max="6659" width="2.7109375" style="73" customWidth="1"/>
    <col min="6660" max="6661" width="10.7109375" style="73" customWidth="1"/>
    <col min="6662" max="6662" width="20.7109375" style="73" customWidth="1"/>
    <col min="6663" max="6663" width="3.28125" style="73" customWidth="1"/>
    <col min="6664" max="6664" width="4.7109375" style="73" customWidth="1"/>
    <col min="6665" max="6665" width="2.7109375" style="73" customWidth="1"/>
    <col min="6666" max="6667" width="10.7109375" style="73" customWidth="1"/>
    <col min="6668" max="6668" width="20.7109375" style="73" customWidth="1"/>
    <col min="6669" max="6669" width="3.28125" style="73" customWidth="1"/>
    <col min="6670" max="6912" width="10.7109375" style="73" customWidth="1"/>
    <col min="6913" max="6913" width="16.00390625" style="73" customWidth="1"/>
    <col min="6914" max="6914" width="4.7109375" style="73" customWidth="1"/>
    <col min="6915" max="6915" width="2.7109375" style="73" customWidth="1"/>
    <col min="6916" max="6917" width="10.7109375" style="73" customWidth="1"/>
    <col min="6918" max="6918" width="20.7109375" style="73" customWidth="1"/>
    <col min="6919" max="6919" width="3.28125" style="73" customWidth="1"/>
    <col min="6920" max="6920" width="4.7109375" style="73" customWidth="1"/>
    <col min="6921" max="6921" width="2.7109375" style="73" customWidth="1"/>
    <col min="6922" max="6923" width="10.7109375" style="73" customWidth="1"/>
    <col min="6924" max="6924" width="20.7109375" style="73" customWidth="1"/>
    <col min="6925" max="6925" width="3.28125" style="73" customWidth="1"/>
    <col min="6926" max="7168" width="10.7109375" style="73" customWidth="1"/>
    <col min="7169" max="7169" width="16.00390625" style="73" customWidth="1"/>
    <col min="7170" max="7170" width="4.7109375" style="73" customWidth="1"/>
    <col min="7171" max="7171" width="2.7109375" style="73" customWidth="1"/>
    <col min="7172" max="7173" width="10.7109375" style="73" customWidth="1"/>
    <col min="7174" max="7174" width="20.7109375" style="73" customWidth="1"/>
    <col min="7175" max="7175" width="3.28125" style="73" customWidth="1"/>
    <col min="7176" max="7176" width="4.7109375" style="73" customWidth="1"/>
    <col min="7177" max="7177" width="2.7109375" style="73" customWidth="1"/>
    <col min="7178" max="7179" width="10.7109375" style="73" customWidth="1"/>
    <col min="7180" max="7180" width="20.7109375" style="73" customWidth="1"/>
    <col min="7181" max="7181" width="3.28125" style="73" customWidth="1"/>
    <col min="7182" max="7424" width="10.7109375" style="73" customWidth="1"/>
    <col min="7425" max="7425" width="16.00390625" style="73" customWidth="1"/>
    <col min="7426" max="7426" width="4.7109375" style="73" customWidth="1"/>
    <col min="7427" max="7427" width="2.7109375" style="73" customWidth="1"/>
    <col min="7428" max="7429" width="10.7109375" style="73" customWidth="1"/>
    <col min="7430" max="7430" width="20.7109375" style="73" customWidth="1"/>
    <col min="7431" max="7431" width="3.28125" style="73" customWidth="1"/>
    <col min="7432" max="7432" width="4.7109375" style="73" customWidth="1"/>
    <col min="7433" max="7433" width="2.7109375" style="73" customWidth="1"/>
    <col min="7434" max="7435" width="10.7109375" style="73" customWidth="1"/>
    <col min="7436" max="7436" width="20.7109375" style="73" customWidth="1"/>
    <col min="7437" max="7437" width="3.28125" style="73" customWidth="1"/>
    <col min="7438" max="7680" width="10.7109375" style="73" customWidth="1"/>
    <col min="7681" max="7681" width="16.00390625" style="73" customWidth="1"/>
    <col min="7682" max="7682" width="4.7109375" style="73" customWidth="1"/>
    <col min="7683" max="7683" width="2.7109375" style="73" customWidth="1"/>
    <col min="7684" max="7685" width="10.7109375" style="73" customWidth="1"/>
    <col min="7686" max="7686" width="20.7109375" style="73" customWidth="1"/>
    <col min="7687" max="7687" width="3.28125" style="73" customWidth="1"/>
    <col min="7688" max="7688" width="4.7109375" style="73" customWidth="1"/>
    <col min="7689" max="7689" width="2.7109375" style="73" customWidth="1"/>
    <col min="7690" max="7691" width="10.7109375" style="73" customWidth="1"/>
    <col min="7692" max="7692" width="20.7109375" style="73" customWidth="1"/>
    <col min="7693" max="7693" width="3.28125" style="73" customWidth="1"/>
    <col min="7694" max="7936" width="10.7109375" style="73" customWidth="1"/>
    <col min="7937" max="7937" width="16.00390625" style="73" customWidth="1"/>
    <col min="7938" max="7938" width="4.7109375" style="73" customWidth="1"/>
    <col min="7939" max="7939" width="2.7109375" style="73" customWidth="1"/>
    <col min="7940" max="7941" width="10.7109375" style="73" customWidth="1"/>
    <col min="7942" max="7942" width="20.7109375" style="73" customWidth="1"/>
    <col min="7943" max="7943" width="3.28125" style="73" customWidth="1"/>
    <col min="7944" max="7944" width="4.7109375" style="73" customWidth="1"/>
    <col min="7945" max="7945" width="2.7109375" style="73" customWidth="1"/>
    <col min="7946" max="7947" width="10.7109375" style="73" customWidth="1"/>
    <col min="7948" max="7948" width="20.7109375" style="73" customWidth="1"/>
    <col min="7949" max="7949" width="3.28125" style="73" customWidth="1"/>
    <col min="7950" max="8192" width="10.7109375" style="73" customWidth="1"/>
    <col min="8193" max="8193" width="16.00390625" style="73" customWidth="1"/>
    <col min="8194" max="8194" width="4.7109375" style="73" customWidth="1"/>
    <col min="8195" max="8195" width="2.7109375" style="73" customWidth="1"/>
    <col min="8196" max="8197" width="10.7109375" style="73" customWidth="1"/>
    <col min="8198" max="8198" width="20.7109375" style="73" customWidth="1"/>
    <col min="8199" max="8199" width="3.28125" style="73" customWidth="1"/>
    <col min="8200" max="8200" width="4.7109375" style="73" customWidth="1"/>
    <col min="8201" max="8201" width="2.7109375" style="73" customWidth="1"/>
    <col min="8202" max="8203" width="10.7109375" style="73" customWidth="1"/>
    <col min="8204" max="8204" width="20.7109375" style="73" customWidth="1"/>
    <col min="8205" max="8205" width="3.28125" style="73" customWidth="1"/>
    <col min="8206" max="8448" width="10.7109375" style="73" customWidth="1"/>
    <col min="8449" max="8449" width="16.00390625" style="73" customWidth="1"/>
    <col min="8450" max="8450" width="4.7109375" style="73" customWidth="1"/>
    <col min="8451" max="8451" width="2.7109375" style="73" customWidth="1"/>
    <col min="8452" max="8453" width="10.7109375" style="73" customWidth="1"/>
    <col min="8454" max="8454" width="20.7109375" style="73" customWidth="1"/>
    <col min="8455" max="8455" width="3.28125" style="73" customWidth="1"/>
    <col min="8456" max="8456" width="4.7109375" style="73" customWidth="1"/>
    <col min="8457" max="8457" width="2.7109375" style="73" customWidth="1"/>
    <col min="8458" max="8459" width="10.7109375" style="73" customWidth="1"/>
    <col min="8460" max="8460" width="20.7109375" style="73" customWidth="1"/>
    <col min="8461" max="8461" width="3.28125" style="73" customWidth="1"/>
    <col min="8462" max="8704" width="10.7109375" style="73" customWidth="1"/>
    <col min="8705" max="8705" width="16.00390625" style="73" customWidth="1"/>
    <col min="8706" max="8706" width="4.7109375" style="73" customWidth="1"/>
    <col min="8707" max="8707" width="2.7109375" style="73" customWidth="1"/>
    <col min="8708" max="8709" width="10.7109375" style="73" customWidth="1"/>
    <col min="8710" max="8710" width="20.7109375" style="73" customWidth="1"/>
    <col min="8711" max="8711" width="3.28125" style="73" customWidth="1"/>
    <col min="8712" max="8712" width="4.7109375" style="73" customWidth="1"/>
    <col min="8713" max="8713" width="2.7109375" style="73" customWidth="1"/>
    <col min="8714" max="8715" width="10.7109375" style="73" customWidth="1"/>
    <col min="8716" max="8716" width="20.7109375" style="73" customWidth="1"/>
    <col min="8717" max="8717" width="3.28125" style="73" customWidth="1"/>
    <col min="8718" max="8960" width="10.7109375" style="73" customWidth="1"/>
    <col min="8961" max="8961" width="16.00390625" style="73" customWidth="1"/>
    <col min="8962" max="8962" width="4.7109375" style="73" customWidth="1"/>
    <col min="8963" max="8963" width="2.7109375" style="73" customWidth="1"/>
    <col min="8964" max="8965" width="10.7109375" style="73" customWidth="1"/>
    <col min="8966" max="8966" width="20.7109375" style="73" customWidth="1"/>
    <col min="8967" max="8967" width="3.28125" style="73" customWidth="1"/>
    <col min="8968" max="8968" width="4.7109375" style="73" customWidth="1"/>
    <col min="8969" max="8969" width="2.7109375" style="73" customWidth="1"/>
    <col min="8970" max="8971" width="10.7109375" style="73" customWidth="1"/>
    <col min="8972" max="8972" width="20.7109375" style="73" customWidth="1"/>
    <col min="8973" max="8973" width="3.28125" style="73" customWidth="1"/>
    <col min="8974" max="9216" width="10.7109375" style="73" customWidth="1"/>
    <col min="9217" max="9217" width="16.00390625" style="73" customWidth="1"/>
    <col min="9218" max="9218" width="4.7109375" style="73" customWidth="1"/>
    <col min="9219" max="9219" width="2.7109375" style="73" customWidth="1"/>
    <col min="9220" max="9221" width="10.7109375" style="73" customWidth="1"/>
    <col min="9222" max="9222" width="20.7109375" style="73" customWidth="1"/>
    <col min="9223" max="9223" width="3.28125" style="73" customWidth="1"/>
    <col min="9224" max="9224" width="4.7109375" style="73" customWidth="1"/>
    <col min="9225" max="9225" width="2.7109375" style="73" customWidth="1"/>
    <col min="9226" max="9227" width="10.7109375" style="73" customWidth="1"/>
    <col min="9228" max="9228" width="20.7109375" style="73" customWidth="1"/>
    <col min="9229" max="9229" width="3.28125" style="73" customWidth="1"/>
    <col min="9230" max="9472" width="10.7109375" style="73" customWidth="1"/>
    <col min="9473" max="9473" width="16.00390625" style="73" customWidth="1"/>
    <col min="9474" max="9474" width="4.7109375" style="73" customWidth="1"/>
    <col min="9475" max="9475" width="2.7109375" style="73" customWidth="1"/>
    <col min="9476" max="9477" width="10.7109375" style="73" customWidth="1"/>
    <col min="9478" max="9478" width="20.7109375" style="73" customWidth="1"/>
    <col min="9479" max="9479" width="3.28125" style="73" customWidth="1"/>
    <col min="9480" max="9480" width="4.7109375" style="73" customWidth="1"/>
    <col min="9481" max="9481" width="2.7109375" style="73" customWidth="1"/>
    <col min="9482" max="9483" width="10.7109375" style="73" customWidth="1"/>
    <col min="9484" max="9484" width="20.7109375" style="73" customWidth="1"/>
    <col min="9485" max="9485" width="3.28125" style="73" customWidth="1"/>
    <col min="9486" max="9728" width="10.7109375" style="73" customWidth="1"/>
    <col min="9729" max="9729" width="16.00390625" style="73" customWidth="1"/>
    <col min="9730" max="9730" width="4.7109375" style="73" customWidth="1"/>
    <col min="9731" max="9731" width="2.7109375" style="73" customWidth="1"/>
    <col min="9732" max="9733" width="10.7109375" style="73" customWidth="1"/>
    <col min="9734" max="9734" width="20.7109375" style="73" customWidth="1"/>
    <col min="9735" max="9735" width="3.28125" style="73" customWidth="1"/>
    <col min="9736" max="9736" width="4.7109375" style="73" customWidth="1"/>
    <col min="9737" max="9737" width="2.7109375" style="73" customWidth="1"/>
    <col min="9738" max="9739" width="10.7109375" style="73" customWidth="1"/>
    <col min="9740" max="9740" width="20.7109375" style="73" customWidth="1"/>
    <col min="9741" max="9741" width="3.28125" style="73" customWidth="1"/>
    <col min="9742" max="9984" width="10.7109375" style="73" customWidth="1"/>
    <col min="9985" max="9985" width="16.00390625" style="73" customWidth="1"/>
    <col min="9986" max="9986" width="4.7109375" style="73" customWidth="1"/>
    <col min="9987" max="9987" width="2.7109375" style="73" customWidth="1"/>
    <col min="9988" max="9989" width="10.7109375" style="73" customWidth="1"/>
    <col min="9990" max="9990" width="20.7109375" style="73" customWidth="1"/>
    <col min="9991" max="9991" width="3.28125" style="73" customWidth="1"/>
    <col min="9992" max="9992" width="4.7109375" style="73" customWidth="1"/>
    <col min="9993" max="9993" width="2.7109375" style="73" customWidth="1"/>
    <col min="9994" max="9995" width="10.7109375" style="73" customWidth="1"/>
    <col min="9996" max="9996" width="20.7109375" style="73" customWidth="1"/>
    <col min="9997" max="9997" width="3.28125" style="73" customWidth="1"/>
    <col min="9998" max="10240" width="10.7109375" style="73" customWidth="1"/>
    <col min="10241" max="10241" width="16.00390625" style="73" customWidth="1"/>
    <col min="10242" max="10242" width="4.7109375" style="73" customWidth="1"/>
    <col min="10243" max="10243" width="2.7109375" style="73" customWidth="1"/>
    <col min="10244" max="10245" width="10.7109375" style="73" customWidth="1"/>
    <col min="10246" max="10246" width="20.7109375" style="73" customWidth="1"/>
    <col min="10247" max="10247" width="3.28125" style="73" customWidth="1"/>
    <col min="10248" max="10248" width="4.7109375" style="73" customWidth="1"/>
    <col min="10249" max="10249" width="2.7109375" style="73" customWidth="1"/>
    <col min="10250" max="10251" width="10.7109375" style="73" customWidth="1"/>
    <col min="10252" max="10252" width="20.7109375" style="73" customWidth="1"/>
    <col min="10253" max="10253" width="3.28125" style="73" customWidth="1"/>
    <col min="10254" max="10496" width="10.7109375" style="73" customWidth="1"/>
    <col min="10497" max="10497" width="16.00390625" style="73" customWidth="1"/>
    <col min="10498" max="10498" width="4.7109375" style="73" customWidth="1"/>
    <col min="10499" max="10499" width="2.7109375" style="73" customWidth="1"/>
    <col min="10500" max="10501" width="10.7109375" style="73" customWidth="1"/>
    <col min="10502" max="10502" width="20.7109375" style="73" customWidth="1"/>
    <col min="10503" max="10503" width="3.28125" style="73" customWidth="1"/>
    <col min="10504" max="10504" width="4.7109375" style="73" customWidth="1"/>
    <col min="10505" max="10505" width="2.7109375" style="73" customWidth="1"/>
    <col min="10506" max="10507" width="10.7109375" style="73" customWidth="1"/>
    <col min="10508" max="10508" width="20.7109375" style="73" customWidth="1"/>
    <col min="10509" max="10509" width="3.28125" style="73" customWidth="1"/>
    <col min="10510" max="10752" width="10.7109375" style="73" customWidth="1"/>
    <col min="10753" max="10753" width="16.00390625" style="73" customWidth="1"/>
    <col min="10754" max="10754" width="4.7109375" style="73" customWidth="1"/>
    <col min="10755" max="10755" width="2.7109375" style="73" customWidth="1"/>
    <col min="10756" max="10757" width="10.7109375" style="73" customWidth="1"/>
    <col min="10758" max="10758" width="20.7109375" style="73" customWidth="1"/>
    <col min="10759" max="10759" width="3.28125" style="73" customWidth="1"/>
    <col min="10760" max="10760" width="4.7109375" style="73" customWidth="1"/>
    <col min="10761" max="10761" width="2.7109375" style="73" customWidth="1"/>
    <col min="10762" max="10763" width="10.7109375" style="73" customWidth="1"/>
    <col min="10764" max="10764" width="20.7109375" style="73" customWidth="1"/>
    <col min="10765" max="10765" width="3.28125" style="73" customWidth="1"/>
    <col min="10766" max="11008" width="10.7109375" style="73" customWidth="1"/>
    <col min="11009" max="11009" width="16.00390625" style="73" customWidth="1"/>
    <col min="11010" max="11010" width="4.7109375" style="73" customWidth="1"/>
    <col min="11011" max="11011" width="2.7109375" style="73" customWidth="1"/>
    <col min="11012" max="11013" width="10.7109375" style="73" customWidth="1"/>
    <col min="11014" max="11014" width="20.7109375" style="73" customWidth="1"/>
    <col min="11015" max="11015" width="3.28125" style="73" customWidth="1"/>
    <col min="11016" max="11016" width="4.7109375" style="73" customWidth="1"/>
    <col min="11017" max="11017" width="2.7109375" style="73" customWidth="1"/>
    <col min="11018" max="11019" width="10.7109375" style="73" customWidth="1"/>
    <col min="11020" max="11020" width="20.7109375" style="73" customWidth="1"/>
    <col min="11021" max="11021" width="3.28125" style="73" customWidth="1"/>
    <col min="11022" max="11264" width="10.7109375" style="73" customWidth="1"/>
    <col min="11265" max="11265" width="16.00390625" style="73" customWidth="1"/>
    <col min="11266" max="11266" width="4.7109375" style="73" customWidth="1"/>
    <col min="11267" max="11267" width="2.7109375" style="73" customWidth="1"/>
    <col min="11268" max="11269" width="10.7109375" style="73" customWidth="1"/>
    <col min="11270" max="11270" width="20.7109375" style="73" customWidth="1"/>
    <col min="11271" max="11271" width="3.28125" style="73" customWidth="1"/>
    <col min="11272" max="11272" width="4.7109375" style="73" customWidth="1"/>
    <col min="11273" max="11273" width="2.7109375" style="73" customWidth="1"/>
    <col min="11274" max="11275" width="10.7109375" style="73" customWidth="1"/>
    <col min="11276" max="11276" width="20.7109375" style="73" customWidth="1"/>
    <col min="11277" max="11277" width="3.28125" style="73" customWidth="1"/>
    <col min="11278" max="11520" width="10.7109375" style="73" customWidth="1"/>
    <col min="11521" max="11521" width="16.00390625" style="73" customWidth="1"/>
    <col min="11522" max="11522" width="4.7109375" style="73" customWidth="1"/>
    <col min="11523" max="11523" width="2.7109375" style="73" customWidth="1"/>
    <col min="11524" max="11525" width="10.7109375" style="73" customWidth="1"/>
    <col min="11526" max="11526" width="20.7109375" style="73" customWidth="1"/>
    <col min="11527" max="11527" width="3.28125" style="73" customWidth="1"/>
    <col min="11528" max="11528" width="4.7109375" style="73" customWidth="1"/>
    <col min="11529" max="11529" width="2.7109375" style="73" customWidth="1"/>
    <col min="11530" max="11531" width="10.7109375" style="73" customWidth="1"/>
    <col min="11532" max="11532" width="20.7109375" style="73" customWidth="1"/>
    <col min="11533" max="11533" width="3.28125" style="73" customWidth="1"/>
    <col min="11534" max="11776" width="10.7109375" style="73" customWidth="1"/>
    <col min="11777" max="11777" width="16.00390625" style="73" customWidth="1"/>
    <col min="11778" max="11778" width="4.7109375" style="73" customWidth="1"/>
    <col min="11779" max="11779" width="2.7109375" style="73" customWidth="1"/>
    <col min="11780" max="11781" width="10.7109375" style="73" customWidth="1"/>
    <col min="11782" max="11782" width="20.7109375" style="73" customWidth="1"/>
    <col min="11783" max="11783" width="3.28125" style="73" customWidth="1"/>
    <col min="11784" max="11784" width="4.7109375" style="73" customWidth="1"/>
    <col min="11785" max="11785" width="2.7109375" style="73" customWidth="1"/>
    <col min="11786" max="11787" width="10.7109375" style="73" customWidth="1"/>
    <col min="11788" max="11788" width="20.7109375" style="73" customWidth="1"/>
    <col min="11789" max="11789" width="3.28125" style="73" customWidth="1"/>
    <col min="11790" max="12032" width="10.7109375" style="73" customWidth="1"/>
    <col min="12033" max="12033" width="16.00390625" style="73" customWidth="1"/>
    <col min="12034" max="12034" width="4.7109375" style="73" customWidth="1"/>
    <col min="12035" max="12035" width="2.7109375" style="73" customWidth="1"/>
    <col min="12036" max="12037" width="10.7109375" style="73" customWidth="1"/>
    <col min="12038" max="12038" width="20.7109375" style="73" customWidth="1"/>
    <col min="12039" max="12039" width="3.28125" style="73" customWidth="1"/>
    <col min="12040" max="12040" width="4.7109375" style="73" customWidth="1"/>
    <col min="12041" max="12041" width="2.7109375" style="73" customWidth="1"/>
    <col min="12042" max="12043" width="10.7109375" style="73" customWidth="1"/>
    <col min="12044" max="12044" width="20.7109375" style="73" customWidth="1"/>
    <col min="12045" max="12045" width="3.28125" style="73" customWidth="1"/>
    <col min="12046" max="12288" width="10.7109375" style="73" customWidth="1"/>
    <col min="12289" max="12289" width="16.00390625" style="73" customWidth="1"/>
    <col min="12290" max="12290" width="4.7109375" style="73" customWidth="1"/>
    <col min="12291" max="12291" width="2.7109375" style="73" customWidth="1"/>
    <col min="12292" max="12293" width="10.7109375" style="73" customWidth="1"/>
    <col min="12294" max="12294" width="20.7109375" style="73" customWidth="1"/>
    <col min="12295" max="12295" width="3.28125" style="73" customWidth="1"/>
    <col min="12296" max="12296" width="4.7109375" style="73" customWidth="1"/>
    <col min="12297" max="12297" width="2.7109375" style="73" customWidth="1"/>
    <col min="12298" max="12299" width="10.7109375" style="73" customWidth="1"/>
    <col min="12300" max="12300" width="20.7109375" style="73" customWidth="1"/>
    <col min="12301" max="12301" width="3.28125" style="73" customWidth="1"/>
    <col min="12302" max="12544" width="10.7109375" style="73" customWidth="1"/>
    <col min="12545" max="12545" width="16.00390625" style="73" customWidth="1"/>
    <col min="12546" max="12546" width="4.7109375" style="73" customWidth="1"/>
    <col min="12547" max="12547" width="2.7109375" style="73" customWidth="1"/>
    <col min="12548" max="12549" width="10.7109375" style="73" customWidth="1"/>
    <col min="12550" max="12550" width="20.7109375" style="73" customWidth="1"/>
    <col min="12551" max="12551" width="3.28125" style="73" customWidth="1"/>
    <col min="12552" max="12552" width="4.7109375" style="73" customWidth="1"/>
    <col min="12553" max="12553" width="2.7109375" style="73" customWidth="1"/>
    <col min="12554" max="12555" width="10.7109375" style="73" customWidth="1"/>
    <col min="12556" max="12556" width="20.7109375" style="73" customWidth="1"/>
    <col min="12557" max="12557" width="3.28125" style="73" customWidth="1"/>
    <col min="12558" max="12800" width="10.7109375" style="73" customWidth="1"/>
    <col min="12801" max="12801" width="16.00390625" style="73" customWidth="1"/>
    <col min="12802" max="12802" width="4.7109375" style="73" customWidth="1"/>
    <col min="12803" max="12803" width="2.7109375" style="73" customWidth="1"/>
    <col min="12804" max="12805" width="10.7109375" style="73" customWidth="1"/>
    <col min="12806" max="12806" width="20.7109375" style="73" customWidth="1"/>
    <col min="12807" max="12807" width="3.28125" style="73" customWidth="1"/>
    <col min="12808" max="12808" width="4.7109375" style="73" customWidth="1"/>
    <col min="12809" max="12809" width="2.7109375" style="73" customWidth="1"/>
    <col min="12810" max="12811" width="10.7109375" style="73" customWidth="1"/>
    <col min="12812" max="12812" width="20.7109375" style="73" customWidth="1"/>
    <col min="12813" max="12813" width="3.28125" style="73" customWidth="1"/>
    <col min="12814" max="13056" width="10.7109375" style="73" customWidth="1"/>
    <col min="13057" max="13057" width="16.00390625" style="73" customWidth="1"/>
    <col min="13058" max="13058" width="4.7109375" style="73" customWidth="1"/>
    <col min="13059" max="13059" width="2.7109375" style="73" customWidth="1"/>
    <col min="13060" max="13061" width="10.7109375" style="73" customWidth="1"/>
    <col min="13062" max="13062" width="20.7109375" style="73" customWidth="1"/>
    <col min="13063" max="13063" width="3.28125" style="73" customWidth="1"/>
    <col min="13064" max="13064" width="4.7109375" style="73" customWidth="1"/>
    <col min="13065" max="13065" width="2.7109375" style="73" customWidth="1"/>
    <col min="13066" max="13067" width="10.7109375" style="73" customWidth="1"/>
    <col min="13068" max="13068" width="20.7109375" style="73" customWidth="1"/>
    <col min="13069" max="13069" width="3.28125" style="73" customWidth="1"/>
    <col min="13070" max="13312" width="10.7109375" style="73" customWidth="1"/>
    <col min="13313" max="13313" width="16.00390625" style="73" customWidth="1"/>
    <col min="13314" max="13314" width="4.7109375" style="73" customWidth="1"/>
    <col min="13315" max="13315" width="2.7109375" style="73" customWidth="1"/>
    <col min="13316" max="13317" width="10.7109375" style="73" customWidth="1"/>
    <col min="13318" max="13318" width="20.7109375" style="73" customWidth="1"/>
    <col min="13319" max="13319" width="3.28125" style="73" customWidth="1"/>
    <col min="13320" max="13320" width="4.7109375" style="73" customWidth="1"/>
    <col min="13321" max="13321" width="2.7109375" style="73" customWidth="1"/>
    <col min="13322" max="13323" width="10.7109375" style="73" customWidth="1"/>
    <col min="13324" max="13324" width="20.7109375" style="73" customWidth="1"/>
    <col min="13325" max="13325" width="3.28125" style="73" customWidth="1"/>
    <col min="13326" max="13568" width="10.7109375" style="73" customWidth="1"/>
    <col min="13569" max="13569" width="16.00390625" style="73" customWidth="1"/>
    <col min="13570" max="13570" width="4.7109375" style="73" customWidth="1"/>
    <col min="13571" max="13571" width="2.7109375" style="73" customWidth="1"/>
    <col min="13572" max="13573" width="10.7109375" style="73" customWidth="1"/>
    <col min="13574" max="13574" width="20.7109375" style="73" customWidth="1"/>
    <col min="13575" max="13575" width="3.28125" style="73" customWidth="1"/>
    <col min="13576" max="13576" width="4.7109375" style="73" customWidth="1"/>
    <col min="13577" max="13577" width="2.7109375" style="73" customWidth="1"/>
    <col min="13578" max="13579" width="10.7109375" style="73" customWidth="1"/>
    <col min="13580" max="13580" width="20.7109375" style="73" customWidth="1"/>
    <col min="13581" max="13581" width="3.28125" style="73" customWidth="1"/>
    <col min="13582" max="13824" width="10.7109375" style="73" customWidth="1"/>
    <col min="13825" max="13825" width="16.00390625" style="73" customWidth="1"/>
    <col min="13826" max="13826" width="4.7109375" style="73" customWidth="1"/>
    <col min="13827" max="13827" width="2.7109375" style="73" customWidth="1"/>
    <col min="13828" max="13829" width="10.7109375" style="73" customWidth="1"/>
    <col min="13830" max="13830" width="20.7109375" style="73" customWidth="1"/>
    <col min="13831" max="13831" width="3.28125" style="73" customWidth="1"/>
    <col min="13832" max="13832" width="4.7109375" style="73" customWidth="1"/>
    <col min="13833" max="13833" width="2.7109375" style="73" customWidth="1"/>
    <col min="13834" max="13835" width="10.7109375" style="73" customWidth="1"/>
    <col min="13836" max="13836" width="20.7109375" style="73" customWidth="1"/>
    <col min="13837" max="13837" width="3.28125" style="73" customWidth="1"/>
    <col min="13838" max="14080" width="10.7109375" style="73" customWidth="1"/>
    <col min="14081" max="14081" width="16.00390625" style="73" customWidth="1"/>
    <col min="14082" max="14082" width="4.7109375" style="73" customWidth="1"/>
    <col min="14083" max="14083" width="2.7109375" style="73" customWidth="1"/>
    <col min="14084" max="14085" width="10.7109375" style="73" customWidth="1"/>
    <col min="14086" max="14086" width="20.7109375" style="73" customWidth="1"/>
    <col min="14087" max="14087" width="3.28125" style="73" customWidth="1"/>
    <col min="14088" max="14088" width="4.7109375" style="73" customWidth="1"/>
    <col min="14089" max="14089" width="2.7109375" style="73" customWidth="1"/>
    <col min="14090" max="14091" width="10.7109375" style="73" customWidth="1"/>
    <col min="14092" max="14092" width="20.7109375" style="73" customWidth="1"/>
    <col min="14093" max="14093" width="3.28125" style="73" customWidth="1"/>
    <col min="14094" max="14336" width="10.7109375" style="73" customWidth="1"/>
    <col min="14337" max="14337" width="16.00390625" style="73" customWidth="1"/>
    <col min="14338" max="14338" width="4.7109375" style="73" customWidth="1"/>
    <col min="14339" max="14339" width="2.7109375" style="73" customWidth="1"/>
    <col min="14340" max="14341" width="10.7109375" style="73" customWidth="1"/>
    <col min="14342" max="14342" width="20.7109375" style="73" customWidth="1"/>
    <col min="14343" max="14343" width="3.28125" style="73" customWidth="1"/>
    <col min="14344" max="14344" width="4.7109375" style="73" customWidth="1"/>
    <col min="14345" max="14345" width="2.7109375" style="73" customWidth="1"/>
    <col min="14346" max="14347" width="10.7109375" style="73" customWidth="1"/>
    <col min="14348" max="14348" width="20.7109375" style="73" customWidth="1"/>
    <col min="14349" max="14349" width="3.28125" style="73" customWidth="1"/>
    <col min="14350" max="14592" width="10.7109375" style="73" customWidth="1"/>
    <col min="14593" max="14593" width="16.00390625" style="73" customWidth="1"/>
    <col min="14594" max="14594" width="4.7109375" style="73" customWidth="1"/>
    <col min="14595" max="14595" width="2.7109375" style="73" customWidth="1"/>
    <col min="14596" max="14597" width="10.7109375" style="73" customWidth="1"/>
    <col min="14598" max="14598" width="20.7109375" style="73" customWidth="1"/>
    <col min="14599" max="14599" width="3.28125" style="73" customWidth="1"/>
    <col min="14600" max="14600" width="4.7109375" style="73" customWidth="1"/>
    <col min="14601" max="14601" width="2.7109375" style="73" customWidth="1"/>
    <col min="14602" max="14603" width="10.7109375" style="73" customWidth="1"/>
    <col min="14604" max="14604" width="20.7109375" style="73" customWidth="1"/>
    <col min="14605" max="14605" width="3.28125" style="73" customWidth="1"/>
    <col min="14606" max="14848" width="10.7109375" style="73" customWidth="1"/>
    <col min="14849" max="14849" width="16.00390625" style="73" customWidth="1"/>
    <col min="14850" max="14850" width="4.7109375" style="73" customWidth="1"/>
    <col min="14851" max="14851" width="2.7109375" style="73" customWidth="1"/>
    <col min="14852" max="14853" width="10.7109375" style="73" customWidth="1"/>
    <col min="14854" max="14854" width="20.7109375" style="73" customWidth="1"/>
    <col min="14855" max="14855" width="3.28125" style="73" customWidth="1"/>
    <col min="14856" max="14856" width="4.7109375" style="73" customWidth="1"/>
    <col min="14857" max="14857" width="2.7109375" style="73" customWidth="1"/>
    <col min="14858" max="14859" width="10.7109375" style="73" customWidth="1"/>
    <col min="14860" max="14860" width="20.7109375" style="73" customWidth="1"/>
    <col min="14861" max="14861" width="3.28125" style="73" customWidth="1"/>
    <col min="14862" max="15104" width="10.7109375" style="73" customWidth="1"/>
    <col min="15105" max="15105" width="16.00390625" style="73" customWidth="1"/>
    <col min="15106" max="15106" width="4.7109375" style="73" customWidth="1"/>
    <col min="15107" max="15107" width="2.7109375" style="73" customWidth="1"/>
    <col min="15108" max="15109" width="10.7109375" style="73" customWidth="1"/>
    <col min="15110" max="15110" width="20.7109375" style="73" customWidth="1"/>
    <col min="15111" max="15111" width="3.28125" style="73" customWidth="1"/>
    <col min="15112" max="15112" width="4.7109375" style="73" customWidth="1"/>
    <col min="15113" max="15113" width="2.7109375" style="73" customWidth="1"/>
    <col min="15114" max="15115" width="10.7109375" style="73" customWidth="1"/>
    <col min="15116" max="15116" width="20.7109375" style="73" customWidth="1"/>
    <col min="15117" max="15117" width="3.28125" style="73" customWidth="1"/>
    <col min="15118" max="15360" width="10.7109375" style="73" customWidth="1"/>
    <col min="15361" max="15361" width="16.00390625" style="73" customWidth="1"/>
    <col min="15362" max="15362" width="4.7109375" style="73" customWidth="1"/>
    <col min="15363" max="15363" width="2.7109375" style="73" customWidth="1"/>
    <col min="15364" max="15365" width="10.7109375" style="73" customWidth="1"/>
    <col min="15366" max="15366" width="20.7109375" style="73" customWidth="1"/>
    <col min="15367" max="15367" width="3.28125" style="73" customWidth="1"/>
    <col min="15368" max="15368" width="4.7109375" style="73" customWidth="1"/>
    <col min="15369" max="15369" width="2.7109375" style="73" customWidth="1"/>
    <col min="15370" max="15371" width="10.7109375" style="73" customWidth="1"/>
    <col min="15372" max="15372" width="20.7109375" style="73" customWidth="1"/>
    <col min="15373" max="15373" width="3.28125" style="73" customWidth="1"/>
    <col min="15374" max="15616" width="10.7109375" style="73" customWidth="1"/>
    <col min="15617" max="15617" width="16.00390625" style="73" customWidth="1"/>
    <col min="15618" max="15618" width="4.7109375" style="73" customWidth="1"/>
    <col min="15619" max="15619" width="2.7109375" style="73" customWidth="1"/>
    <col min="15620" max="15621" width="10.7109375" style="73" customWidth="1"/>
    <col min="15622" max="15622" width="20.7109375" style="73" customWidth="1"/>
    <col min="15623" max="15623" width="3.28125" style="73" customWidth="1"/>
    <col min="15624" max="15624" width="4.7109375" style="73" customWidth="1"/>
    <col min="15625" max="15625" width="2.7109375" style="73" customWidth="1"/>
    <col min="15626" max="15627" width="10.7109375" style="73" customWidth="1"/>
    <col min="15628" max="15628" width="20.7109375" style="73" customWidth="1"/>
    <col min="15629" max="15629" width="3.28125" style="73" customWidth="1"/>
    <col min="15630" max="15872" width="10.7109375" style="73" customWidth="1"/>
    <col min="15873" max="15873" width="16.00390625" style="73" customWidth="1"/>
    <col min="15874" max="15874" width="4.7109375" style="73" customWidth="1"/>
    <col min="15875" max="15875" width="2.7109375" style="73" customWidth="1"/>
    <col min="15876" max="15877" width="10.7109375" style="73" customWidth="1"/>
    <col min="15878" max="15878" width="20.7109375" style="73" customWidth="1"/>
    <col min="15879" max="15879" width="3.28125" style="73" customWidth="1"/>
    <col min="15880" max="15880" width="4.7109375" style="73" customWidth="1"/>
    <col min="15881" max="15881" width="2.7109375" style="73" customWidth="1"/>
    <col min="15882" max="15883" width="10.7109375" style="73" customWidth="1"/>
    <col min="15884" max="15884" width="20.7109375" style="73" customWidth="1"/>
    <col min="15885" max="15885" width="3.28125" style="73" customWidth="1"/>
    <col min="15886" max="16128" width="10.7109375" style="73" customWidth="1"/>
    <col min="16129" max="16129" width="16.00390625" style="73" customWidth="1"/>
    <col min="16130" max="16130" width="4.7109375" style="73" customWidth="1"/>
    <col min="16131" max="16131" width="2.7109375" style="73" customWidth="1"/>
    <col min="16132" max="16133" width="10.7109375" style="73" customWidth="1"/>
    <col min="16134" max="16134" width="20.7109375" style="73" customWidth="1"/>
    <col min="16135" max="16135" width="3.28125" style="73" customWidth="1"/>
    <col min="16136" max="16136" width="4.7109375" style="73" customWidth="1"/>
    <col min="16137" max="16137" width="2.7109375" style="73" customWidth="1"/>
    <col min="16138" max="16139" width="10.7109375" style="73" customWidth="1"/>
    <col min="16140" max="16140" width="20.7109375" style="73" customWidth="1"/>
    <col min="16141" max="16141" width="3.28125" style="73" customWidth="1"/>
    <col min="16142" max="16384" width="10.7109375" style="73" customWidth="1"/>
  </cols>
  <sheetData>
    <row r="1" spans="1:13" ht="12.75">
      <c r="A1" s="209" t="s">
        <v>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5.75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2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ht="12.75" customHeight="1"/>
    <row r="5" spans="1:13" ht="12.75">
      <c r="A5" s="75"/>
      <c r="B5" s="76"/>
      <c r="C5" s="77"/>
      <c r="D5" s="78" t="s">
        <v>41</v>
      </c>
      <c r="E5" s="77"/>
      <c r="F5" s="77"/>
      <c r="G5" s="75"/>
      <c r="H5" s="76"/>
      <c r="I5" s="77"/>
      <c r="J5" s="78" t="s">
        <v>42</v>
      </c>
      <c r="K5" s="77"/>
      <c r="L5" s="77"/>
      <c r="M5" s="75"/>
    </row>
    <row r="6" spans="1:13" ht="12.75">
      <c r="A6" s="75"/>
      <c r="B6" s="79"/>
      <c r="C6" s="75"/>
      <c r="D6" s="75"/>
      <c r="E6" s="75"/>
      <c r="F6" s="75"/>
      <c r="G6" s="75"/>
      <c r="H6" s="79"/>
      <c r="I6" s="75"/>
      <c r="J6" s="75"/>
      <c r="K6" s="75"/>
      <c r="L6" s="75"/>
      <c r="M6" s="75"/>
    </row>
    <row r="7" spans="1:13" ht="12.75">
      <c r="A7" s="117" t="s">
        <v>104</v>
      </c>
      <c r="B7" s="79"/>
      <c r="C7" s="75"/>
      <c r="D7" s="212" t="str">
        <f>"March 2011"</f>
        <v>March 2011</v>
      </c>
      <c r="E7" s="212"/>
      <c r="F7" s="212"/>
      <c r="G7" s="75"/>
      <c r="H7" s="79"/>
      <c r="I7" s="75"/>
      <c r="J7" s="212" t="str">
        <f>"March 2011"</f>
        <v>March 2011</v>
      </c>
      <c r="K7" s="212"/>
      <c r="L7" s="212"/>
      <c r="M7" s="75"/>
    </row>
    <row r="8" spans="1:13" ht="12.75">
      <c r="A8" s="75"/>
      <c r="B8" s="79"/>
      <c r="C8" s="75"/>
      <c r="D8" s="75"/>
      <c r="E8" s="75"/>
      <c r="F8" s="75"/>
      <c r="G8" s="75"/>
      <c r="H8" s="79"/>
      <c r="I8" s="75"/>
      <c r="J8" s="75"/>
      <c r="K8" s="75"/>
      <c r="L8" s="75"/>
      <c r="M8" s="75"/>
    </row>
    <row r="9" spans="1:13" ht="12.75">
      <c r="A9" s="80" t="s">
        <v>43</v>
      </c>
      <c r="B9" s="79"/>
      <c r="C9" s="75"/>
      <c r="D9" s="211" t="s">
        <v>147</v>
      </c>
      <c r="E9" s="211"/>
      <c r="F9" s="211"/>
      <c r="G9" s="75"/>
      <c r="H9" s="79"/>
      <c r="I9" s="75"/>
      <c r="J9" s="211" t="s">
        <v>147</v>
      </c>
      <c r="K9" s="211"/>
      <c r="L9" s="211"/>
      <c r="M9" s="75"/>
    </row>
    <row r="10" spans="1:13" ht="12.75">
      <c r="A10" s="75"/>
      <c r="B10" s="79"/>
      <c r="C10" s="75"/>
      <c r="D10" s="75"/>
      <c r="E10" s="75"/>
      <c r="F10" s="75"/>
      <c r="G10" s="75"/>
      <c r="H10" s="79"/>
      <c r="I10" s="75"/>
      <c r="J10" s="75"/>
      <c r="K10" s="75"/>
      <c r="L10" s="75"/>
      <c r="M10" s="75"/>
    </row>
    <row r="11" spans="1:13" ht="12.75" hidden="1">
      <c r="A11" s="75"/>
      <c r="B11" s="79" t="s">
        <v>44</v>
      </c>
      <c r="C11" s="75"/>
      <c r="D11" s="75"/>
      <c r="E11" s="75"/>
      <c r="F11" s="75"/>
      <c r="G11" s="75"/>
      <c r="H11" s="79" t="s">
        <v>45</v>
      </c>
      <c r="I11" s="75"/>
      <c r="J11" s="75"/>
      <c r="K11" s="75"/>
      <c r="L11" s="75"/>
      <c r="M11" s="75"/>
    </row>
    <row r="12" spans="1:13" ht="12.75" hidden="1">
      <c r="A12" s="75"/>
      <c r="B12" s="79"/>
      <c r="C12" s="75"/>
      <c r="D12" s="75"/>
      <c r="E12" s="75"/>
      <c r="F12" s="75"/>
      <c r="G12" s="75"/>
      <c r="H12" s="79"/>
      <c r="I12" s="75"/>
      <c r="J12" s="75"/>
      <c r="K12" s="75"/>
      <c r="L12" s="75"/>
      <c r="M12" s="75"/>
    </row>
    <row r="13" spans="1:13" ht="12.75" hidden="1">
      <c r="A13" s="75"/>
      <c r="B13" s="79" t="s">
        <v>46</v>
      </c>
      <c r="C13" s="75"/>
      <c r="D13" s="75"/>
      <c r="E13" s="75"/>
      <c r="F13" s="75"/>
      <c r="G13" s="75"/>
      <c r="H13" s="79" t="s">
        <v>47</v>
      </c>
      <c r="I13" s="75"/>
      <c r="J13" s="75"/>
      <c r="K13" s="75"/>
      <c r="L13" s="75"/>
      <c r="M13" s="75"/>
    </row>
    <row r="14" spans="1:13" ht="12.75" hidden="1">
      <c r="A14" s="75"/>
      <c r="B14" s="79"/>
      <c r="C14" s="75"/>
      <c r="D14" s="75"/>
      <c r="E14" s="75"/>
      <c r="F14" s="75"/>
      <c r="G14" s="75"/>
      <c r="H14" s="79"/>
      <c r="I14" s="75"/>
      <c r="J14" s="75"/>
      <c r="K14" s="75"/>
      <c r="L14" s="75"/>
      <c r="M14" s="75"/>
    </row>
    <row r="15" spans="1:13" ht="12.75" hidden="1">
      <c r="A15" s="75"/>
      <c r="B15" s="79" t="s">
        <v>48</v>
      </c>
      <c r="C15" s="75"/>
      <c r="D15" s="75"/>
      <c r="E15" s="75"/>
      <c r="F15" s="75"/>
      <c r="G15" s="75"/>
      <c r="H15" s="79" t="s">
        <v>49</v>
      </c>
      <c r="I15" s="75"/>
      <c r="J15" s="75"/>
      <c r="K15" s="75"/>
      <c r="L15" s="75"/>
      <c r="M15" s="75"/>
    </row>
    <row r="16" spans="1:13" ht="12.75" hidden="1">
      <c r="A16" s="75"/>
      <c r="B16" s="79"/>
      <c r="C16" s="75"/>
      <c r="D16" s="75"/>
      <c r="E16" s="75"/>
      <c r="F16" s="75"/>
      <c r="G16" s="75"/>
      <c r="H16" s="79"/>
      <c r="I16" s="75"/>
      <c r="J16" s="75"/>
      <c r="K16" s="75"/>
      <c r="L16" s="75"/>
      <c r="M16" s="75"/>
    </row>
    <row r="17" spans="1:13" ht="12.75" hidden="1">
      <c r="A17" s="75"/>
      <c r="B17" s="79" t="s">
        <v>50</v>
      </c>
      <c r="C17" s="75"/>
      <c r="D17" s="75"/>
      <c r="E17" s="75"/>
      <c r="F17" s="75"/>
      <c r="G17" s="75"/>
      <c r="H17" s="79" t="s">
        <v>51</v>
      </c>
      <c r="I17" s="75"/>
      <c r="J17" s="75"/>
      <c r="K17" s="75"/>
      <c r="L17" s="75"/>
      <c r="M17" s="75"/>
    </row>
    <row r="18" spans="1:13" ht="12.75" hidden="1">
      <c r="A18" s="75"/>
      <c r="B18" s="79"/>
      <c r="C18" s="75"/>
      <c r="D18" s="75"/>
      <c r="E18" s="75"/>
      <c r="F18" s="75"/>
      <c r="G18" s="75"/>
      <c r="H18" s="79"/>
      <c r="I18" s="75"/>
      <c r="J18" s="75"/>
      <c r="K18" s="75"/>
      <c r="L18" s="75"/>
      <c r="M18" s="75"/>
    </row>
    <row r="19" spans="1:13" ht="12.75">
      <c r="A19" s="75"/>
      <c r="B19" s="79" t="s">
        <v>52</v>
      </c>
      <c r="C19" s="75"/>
      <c r="D19" s="203"/>
      <c r="E19" s="75"/>
      <c r="F19" s="75"/>
      <c r="G19" s="75"/>
      <c r="H19" s="79" t="s">
        <v>53</v>
      </c>
      <c r="I19" s="75"/>
      <c r="J19" s="75"/>
      <c r="K19" s="75"/>
      <c r="L19" s="75"/>
      <c r="M19" s="75"/>
    </row>
    <row r="20" spans="1:13" ht="12.75">
      <c r="A20" s="75"/>
      <c r="B20" s="79"/>
      <c r="C20" s="75"/>
      <c r="D20" s="75"/>
      <c r="E20" s="75"/>
      <c r="F20" s="75"/>
      <c r="G20" s="75"/>
      <c r="H20" s="79"/>
      <c r="I20" s="75"/>
      <c r="J20" s="75"/>
      <c r="K20" s="75"/>
      <c r="L20" s="75"/>
      <c r="M20" s="75"/>
    </row>
    <row r="21" spans="1:13" ht="12.75">
      <c r="A21" s="75"/>
      <c r="B21" s="79" t="s">
        <v>54</v>
      </c>
      <c r="C21" s="75"/>
      <c r="D21" s="75"/>
      <c r="E21" s="75"/>
      <c r="F21" s="75"/>
      <c r="G21" s="75"/>
      <c r="H21" s="79" t="s">
        <v>55</v>
      </c>
      <c r="I21" s="75"/>
      <c r="J21" s="75"/>
      <c r="K21" s="75"/>
      <c r="L21" s="75"/>
      <c r="M21" s="75"/>
    </row>
    <row r="22" spans="1:13" ht="12.75">
      <c r="A22" s="75"/>
      <c r="B22" s="79"/>
      <c r="C22" s="75"/>
      <c r="D22" s="75"/>
      <c r="E22" s="75"/>
      <c r="F22" s="75"/>
      <c r="G22" s="75"/>
      <c r="H22" s="79"/>
      <c r="I22" s="75"/>
      <c r="J22" s="75"/>
      <c r="K22" s="75"/>
      <c r="L22" s="75"/>
      <c r="M22" s="75"/>
    </row>
    <row r="23" spans="1:13" ht="12.75">
      <c r="A23" s="75"/>
      <c r="B23" s="79"/>
      <c r="C23" s="75"/>
      <c r="D23" s="75"/>
      <c r="E23" s="75"/>
      <c r="F23" s="75"/>
      <c r="G23" s="75"/>
      <c r="H23" s="79"/>
      <c r="I23" s="75"/>
      <c r="J23" s="75"/>
      <c r="K23" s="75"/>
      <c r="L23" s="75"/>
      <c r="M23" s="75"/>
    </row>
    <row r="24" spans="1:13" ht="12.75">
      <c r="A24" s="75"/>
      <c r="B24" s="79" t="s">
        <v>56</v>
      </c>
      <c r="C24" s="75"/>
      <c r="D24" s="75"/>
      <c r="E24" s="75"/>
      <c r="F24" s="75"/>
      <c r="G24" s="75"/>
      <c r="H24" s="79" t="s">
        <v>57</v>
      </c>
      <c r="I24" s="75"/>
      <c r="J24" s="75" t="s">
        <v>59</v>
      </c>
      <c r="K24" s="75"/>
      <c r="L24" s="75"/>
      <c r="M24" s="75"/>
    </row>
    <row r="25" spans="1:13" ht="12.75">
      <c r="A25" s="75"/>
      <c r="B25" s="79"/>
      <c r="C25" s="75"/>
      <c r="D25" s="75"/>
      <c r="E25" s="75"/>
      <c r="F25" s="75"/>
      <c r="G25" s="75"/>
      <c r="H25" s="79"/>
      <c r="I25" s="75"/>
      <c r="J25" s="75" t="s">
        <v>61</v>
      </c>
      <c r="K25" s="75"/>
      <c r="L25" s="75"/>
      <c r="M25" s="75"/>
    </row>
    <row r="26" spans="1:13" ht="12.75">
      <c r="A26" s="75"/>
      <c r="B26" s="79"/>
      <c r="C26" s="75"/>
      <c r="D26" s="75"/>
      <c r="E26" s="75"/>
      <c r="F26" s="75"/>
      <c r="G26" s="75"/>
      <c r="H26" s="79"/>
      <c r="I26" s="75"/>
      <c r="J26" s="75"/>
      <c r="K26" s="75"/>
      <c r="L26" s="75"/>
      <c r="M26" s="75"/>
    </row>
    <row r="27" spans="1:13" ht="12.75">
      <c r="A27" s="75"/>
      <c r="B27" s="79"/>
      <c r="C27" s="75"/>
      <c r="D27" s="75"/>
      <c r="E27" s="75"/>
      <c r="F27" s="75"/>
      <c r="G27" s="75"/>
      <c r="H27" s="79"/>
      <c r="I27" s="75"/>
      <c r="J27" s="75"/>
      <c r="K27" s="75"/>
      <c r="L27" s="75"/>
      <c r="M27" s="75"/>
    </row>
    <row r="28" spans="1:13" ht="12.75">
      <c r="A28" s="75"/>
      <c r="B28" s="79" t="s">
        <v>58</v>
      </c>
      <c r="C28" s="75"/>
      <c r="D28" s="75" t="s">
        <v>59</v>
      </c>
      <c r="E28" s="75"/>
      <c r="F28" s="75"/>
      <c r="G28" s="75"/>
      <c r="H28" s="79" t="s">
        <v>60</v>
      </c>
      <c r="I28" s="75"/>
      <c r="J28" s="75"/>
      <c r="K28" s="75"/>
      <c r="L28" s="75"/>
      <c r="M28" s="75"/>
    </row>
    <row r="29" spans="1:13" ht="12.75">
      <c r="A29" s="75"/>
      <c r="B29" s="79"/>
      <c r="C29" s="75"/>
      <c r="D29" s="75" t="s">
        <v>61</v>
      </c>
      <c r="E29" s="75"/>
      <c r="F29" s="75"/>
      <c r="G29" s="75"/>
      <c r="H29" s="79"/>
      <c r="I29" s="75"/>
      <c r="J29" s="75"/>
      <c r="K29" s="75"/>
      <c r="L29" s="75"/>
      <c r="M29" s="75"/>
    </row>
    <row r="30" spans="1:13" ht="12.75">
      <c r="A30" s="75"/>
      <c r="B30" s="79"/>
      <c r="C30" s="75"/>
      <c r="D30" s="75"/>
      <c r="E30" s="75"/>
      <c r="F30" s="75"/>
      <c r="G30" s="75"/>
      <c r="H30" s="79"/>
      <c r="I30" s="75"/>
      <c r="J30" s="75"/>
      <c r="K30" s="75"/>
      <c r="L30" s="75"/>
      <c r="M30" s="75"/>
    </row>
    <row r="31" spans="1:13" ht="12.75">
      <c r="A31" s="75"/>
      <c r="B31" s="79" t="s">
        <v>62</v>
      </c>
      <c r="C31" s="75"/>
      <c r="D31" s="75" t="s">
        <v>65</v>
      </c>
      <c r="E31" s="75"/>
      <c r="F31" s="75"/>
      <c r="G31" s="75"/>
      <c r="H31" s="79" t="s">
        <v>63</v>
      </c>
      <c r="I31" s="75"/>
      <c r="J31" s="75" t="s">
        <v>67</v>
      </c>
      <c r="K31" s="75"/>
      <c r="L31" s="75"/>
      <c r="M31" s="75"/>
    </row>
    <row r="32" spans="1:13" ht="12.75">
      <c r="A32" s="75"/>
      <c r="B32" s="79"/>
      <c r="C32" s="75"/>
      <c r="D32" s="75"/>
      <c r="E32" s="75"/>
      <c r="F32" s="75"/>
      <c r="G32" s="75"/>
      <c r="H32" s="79"/>
      <c r="I32" s="75"/>
      <c r="K32" s="75"/>
      <c r="L32" s="75"/>
      <c r="M32" s="75"/>
    </row>
    <row r="33" spans="1:13" ht="12.75">
      <c r="A33" s="75"/>
      <c r="B33" s="79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75"/>
      <c r="B34" s="79" t="s">
        <v>64</v>
      </c>
      <c r="C34" s="75"/>
      <c r="D34" s="75"/>
      <c r="E34" s="75"/>
      <c r="F34" s="75"/>
      <c r="G34" s="75"/>
      <c r="H34" s="79" t="s">
        <v>66</v>
      </c>
      <c r="I34" s="75"/>
      <c r="J34" s="75"/>
      <c r="K34" s="75"/>
      <c r="L34" s="75"/>
      <c r="M34" s="75"/>
    </row>
    <row r="35" spans="1:13" ht="12.75">
      <c r="A35" s="75"/>
      <c r="B35" s="79"/>
      <c r="C35" s="75"/>
      <c r="D35" s="75"/>
      <c r="E35" s="75"/>
      <c r="F35" s="75"/>
      <c r="G35" s="75"/>
      <c r="H35" s="79"/>
      <c r="I35" s="75"/>
      <c r="J35" s="75"/>
      <c r="K35" s="75"/>
      <c r="L35" s="75"/>
      <c r="M35" s="75"/>
    </row>
    <row r="36" spans="1:13" ht="12.75">
      <c r="A36" s="75"/>
      <c r="B36" s="79"/>
      <c r="C36" s="75"/>
      <c r="D36" s="75"/>
      <c r="E36" s="75"/>
      <c r="F36" s="75"/>
      <c r="G36" s="75"/>
      <c r="H36" s="79"/>
      <c r="I36" s="75"/>
      <c r="J36" s="75"/>
      <c r="K36" s="75"/>
      <c r="L36" s="75"/>
      <c r="M36" s="75"/>
    </row>
    <row r="37" spans="1:13" ht="20.1" customHeight="1" thickBot="1">
      <c r="A37" s="81"/>
      <c r="B37" s="82"/>
      <c r="C37" s="81"/>
      <c r="D37" s="83" t="s">
        <v>68</v>
      </c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2.75">
      <c r="A38" s="75"/>
      <c r="B38" s="79" t="s">
        <v>69</v>
      </c>
      <c r="C38" s="75"/>
      <c r="D38" s="75" t="s">
        <v>71</v>
      </c>
      <c r="E38" s="75"/>
      <c r="F38" s="75"/>
      <c r="G38" s="75"/>
      <c r="H38" s="79" t="s">
        <v>70</v>
      </c>
      <c r="I38" s="75"/>
      <c r="J38" s="75" t="s">
        <v>71</v>
      </c>
      <c r="K38" s="75"/>
      <c r="L38" s="75"/>
      <c r="M38" s="75"/>
    </row>
    <row r="39" spans="1:13" ht="12.75">
      <c r="A39" s="75"/>
      <c r="B39" s="79"/>
      <c r="C39" s="75"/>
      <c r="D39" s="75"/>
      <c r="E39" s="75"/>
      <c r="F39" s="75"/>
      <c r="G39" s="75"/>
      <c r="H39" s="79"/>
      <c r="I39" s="75"/>
      <c r="J39" s="75"/>
      <c r="K39" s="75"/>
      <c r="L39" s="75"/>
      <c r="M39" s="75"/>
    </row>
    <row r="40" spans="1:13" ht="12.75">
      <c r="A40" s="75"/>
      <c r="B40" s="79"/>
      <c r="C40" s="75"/>
      <c r="D40" s="75"/>
      <c r="E40" s="75"/>
      <c r="F40" s="75"/>
      <c r="G40" s="75"/>
      <c r="H40" s="79"/>
      <c r="I40" s="75"/>
      <c r="J40" s="75"/>
      <c r="K40" s="75"/>
      <c r="L40" s="75"/>
      <c r="M40" s="75"/>
    </row>
    <row r="41" spans="1:13" ht="12.75">
      <c r="A41" s="75"/>
      <c r="B41" s="79"/>
      <c r="C41" s="75"/>
      <c r="D41" s="75"/>
      <c r="E41" s="75"/>
      <c r="F41" s="75"/>
      <c r="G41" s="75"/>
      <c r="H41" s="79"/>
      <c r="I41" s="75"/>
      <c r="J41" s="75"/>
      <c r="K41" s="75"/>
      <c r="L41" s="75"/>
      <c r="M41" s="75"/>
    </row>
    <row r="42" spans="1:13" ht="12.75">
      <c r="A42" s="75"/>
      <c r="B42" s="79" t="s">
        <v>72</v>
      </c>
      <c r="C42" s="75"/>
      <c r="D42" s="75"/>
      <c r="E42" s="75"/>
      <c r="F42" s="75"/>
      <c r="G42" s="75"/>
      <c r="H42" s="79" t="s">
        <v>73</v>
      </c>
      <c r="I42" s="75"/>
      <c r="J42" s="75"/>
      <c r="K42" s="75"/>
      <c r="L42" s="75"/>
      <c r="M42" s="75"/>
    </row>
    <row r="43" spans="1:13" ht="12.75">
      <c r="A43" s="75"/>
      <c r="B43" s="79"/>
      <c r="C43" s="75"/>
      <c r="D43" s="75"/>
      <c r="E43" s="75"/>
      <c r="F43" s="75"/>
      <c r="G43" s="75"/>
      <c r="H43" s="79"/>
      <c r="I43" s="75"/>
      <c r="J43" s="75"/>
      <c r="K43" s="75"/>
      <c r="L43" s="75"/>
      <c r="M43" s="75"/>
    </row>
    <row r="44" spans="1:13" ht="12.75">
      <c r="A44" s="75"/>
      <c r="B44" s="79"/>
      <c r="C44" s="75"/>
      <c r="D44" s="75"/>
      <c r="E44" s="75"/>
      <c r="F44" s="75"/>
      <c r="G44" s="75"/>
      <c r="H44" s="79"/>
      <c r="I44" s="75"/>
      <c r="J44" s="75"/>
      <c r="K44" s="75"/>
      <c r="L44" s="75"/>
      <c r="M44" s="75"/>
    </row>
    <row r="45" spans="1:13" ht="12.75">
      <c r="A45" s="75"/>
      <c r="B45" s="79" t="s">
        <v>74</v>
      </c>
      <c r="C45" s="75"/>
      <c r="D45" s="75"/>
      <c r="E45" s="75"/>
      <c r="F45" s="75"/>
      <c r="G45" s="75"/>
      <c r="H45" s="79" t="s">
        <v>75</v>
      </c>
      <c r="I45" s="75"/>
      <c r="J45" s="75"/>
      <c r="K45" s="75"/>
      <c r="L45" s="75"/>
      <c r="M45" s="75"/>
    </row>
    <row r="46" spans="1:13" ht="12.75">
      <c r="A46" s="75"/>
      <c r="B46" s="79"/>
      <c r="C46" s="75"/>
      <c r="D46" s="75"/>
      <c r="E46" s="75"/>
      <c r="F46" s="75"/>
      <c r="G46" s="75"/>
      <c r="H46" s="79"/>
      <c r="I46" s="75"/>
      <c r="J46" s="75"/>
      <c r="K46" s="75"/>
      <c r="L46" s="75"/>
      <c r="M46" s="75"/>
    </row>
    <row r="47" spans="1:13" ht="12.75">
      <c r="A47" s="75"/>
      <c r="B47" s="79"/>
      <c r="C47" s="75"/>
      <c r="D47" s="75"/>
      <c r="E47" s="75"/>
      <c r="F47" s="75"/>
      <c r="G47" s="75"/>
      <c r="H47" s="79"/>
      <c r="I47" s="75"/>
      <c r="J47" s="75"/>
      <c r="K47" s="75"/>
      <c r="L47" s="75"/>
      <c r="M47" s="75"/>
    </row>
    <row r="48" spans="1:13" ht="12.75">
      <c r="A48" s="75"/>
      <c r="B48" s="79"/>
      <c r="C48" s="75"/>
      <c r="D48" s="75"/>
      <c r="E48" s="75"/>
      <c r="F48" s="75"/>
      <c r="G48" s="75"/>
      <c r="H48" s="79"/>
      <c r="I48" s="75"/>
      <c r="J48" s="75"/>
      <c r="K48" s="75"/>
      <c r="L48" s="75"/>
      <c r="M48" s="75"/>
    </row>
    <row r="49" spans="1:13" ht="12.75">
      <c r="A49" s="75"/>
      <c r="B49" s="79"/>
      <c r="C49" s="75"/>
      <c r="D49" s="75"/>
      <c r="E49" s="75"/>
      <c r="F49" s="75"/>
      <c r="G49" s="75"/>
      <c r="H49" s="79"/>
      <c r="I49" s="75"/>
      <c r="J49" s="75"/>
      <c r="K49" s="75"/>
      <c r="L49" s="75"/>
      <c r="M49" s="75"/>
    </row>
    <row r="50" spans="1:13" ht="12.75">
      <c r="A50" s="75"/>
      <c r="B50" s="79"/>
      <c r="C50" s="75"/>
      <c r="D50" s="75"/>
      <c r="E50" s="75"/>
      <c r="F50" s="75"/>
      <c r="G50" s="75"/>
      <c r="H50" s="79"/>
      <c r="I50" s="75"/>
      <c r="J50" s="75"/>
      <c r="K50" s="75"/>
      <c r="L50" s="75"/>
      <c r="M50" s="75"/>
    </row>
    <row r="51" spans="1:13" ht="12.75">
      <c r="A51" s="75"/>
      <c r="B51" s="79"/>
      <c r="C51" s="75"/>
      <c r="D51" s="75"/>
      <c r="E51" s="75"/>
      <c r="F51" s="75"/>
      <c r="G51" s="75"/>
      <c r="H51" s="79"/>
      <c r="I51" s="75"/>
      <c r="J51" s="75"/>
      <c r="K51" s="75"/>
      <c r="L51" s="75"/>
      <c r="M51" s="75"/>
    </row>
    <row r="52" spans="1:13" ht="12.75">
      <c r="A52" s="75"/>
      <c r="B52" s="79"/>
      <c r="C52" s="75"/>
      <c r="D52" s="75"/>
      <c r="E52" s="75"/>
      <c r="F52" s="75"/>
      <c r="G52" s="75"/>
      <c r="H52" s="79"/>
      <c r="I52" s="75"/>
      <c r="J52" s="75"/>
      <c r="K52" s="75"/>
      <c r="L52" s="75"/>
      <c r="M52" s="75"/>
    </row>
    <row r="53" spans="1:13" ht="12.75">
      <c r="A53" s="75"/>
      <c r="B53" s="79"/>
      <c r="C53" s="75"/>
      <c r="D53" s="75"/>
      <c r="E53" s="75"/>
      <c r="F53" s="75"/>
      <c r="G53" s="75"/>
      <c r="H53" s="79"/>
      <c r="I53" s="75"/>
      <c r="J53" s="75"/>
      <c r="K53" s="75"/>
      <c r="L53" s="75"/>
      <c r="M53" s="75"/>
    </row>
  </sheetData>
  <mergeCells count="7">
    <mergeCell ref="A1:M1"/>
    <mergeCell ref="A2:M2"/>
    <mergeCell ref="A3:M3"/>
    <mergeCell ref="D9:F9"/>
    <mergeCell ref="J9:L9"/>
    <mergeCell ref="D7:F7"/>
    <mergeCell ref="J7:L7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&amp;RExhibit No.___(MTT-2)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.28125" style="0" customWidth="1"/>
    <col min="2" max="2" width="22.421875" style="0" bestFit="1" customWidth="1"/>
    <col min="3" max="3" width="16.00390625" style="0" bestFit="1" customWidth="1"/>
    <col min="4" max="4" width="3.7109375" style="0" customWidth="1"/>
    <col min="5" max="5" width="13.8515625" style="0" bestFit="1" customWidth="1"/>
    <col min="6" max="6" width="3.7109375" style="0" customWidth="1"/>
    <col min="7" max="7" width="11.7109375" style="0" bestFit="1" customWidth="1"/>
    <col min="8" max="8" width="3.28125" style="0" bestFit="1" customWidth="1"/>
    <col min="9" max="9" width="13.8515625" style="0" bestFit="1" customWidth="1"/>
    <col min="10" max="10" width="0.9921875" style="0" customWidth="1"/>
    <col min="12" max="14" width="17.7109375" style="0" bestFit="1" customWidth="1"/>
    <col min="15" max="15" width="15.00390625" style="0" bestFit="1" customWidth="1"/>
  </cols>
  <sheetData>
    <row r="1" spans="1:10" ht="12.75">
      <c r="A1" s="221" t="s">
        <v>31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ht="12.75">
      <c r="A2" s="218" t="s">
        <v>156</v>
      </c>
      <c r="B2" s="219"/>
      <c r="C2" s="219"/>
      <c r="D2" s="219"/>
      <c r="E2" s="219"/>
      <c r="F2" s="219"/>
      <c r="G2" s="219"/>
      <c r="H2" s="219"/>
      <c r="I2" s="219"/>
      <c r="J2" s="220"/>
    </row>
    <row r="3" spans="1:10" ht="13.5" thickBot="1">
      <c r="A3" s="215">
        <v>40908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4" ht="15.75" customHeight="1">
      <c r="A4" s="64"/>
      <c r="B4" s="54"/>
      <c r="C4" s="48"/>
      <c r="D4" s="48"/>
      <c r="E4" s="49" t="s">
        <v>32</v>
      </c>
      <c r="F4" s="48"/>
      <c r="G4" s="50"/>
      <c r="H4" s="48"/>
      <c r="I4" s="51"/>
      <c r="J4" s="66"/>
      <c r="L4" s="61"/>
      <c r="M4" s="61"/>
      <c r="N4" s="59"/>
    </row>
    <row r="5" spans="1:14" ht="14.25" customHeight="1">
      <c r="A5" s="64"/>
      <c r="B5" s="55"/>
      <c r="C5" s="31" t="s">
        <v>14</v>
      </c>
      <c r="D5" s="48"/>
      <c r="E5" s="32" t="s">
        <v>33</v>
      </c>
      <c r="F5" s="48"/>
      <c r="G5" s="33" t="s">
        <v>18</v>
      </c>
      <c r="H5" s="48"/>
      <c r="I5" s="119" t="s">
        <v>34</v>
      </c>
      <c r="J5" s="66"/>
      <c r="L5" s="61"/>
      <c r="M5" s="61"/>
      <c r="N5" s="59"/>
    </row>
    <row r="6" spans="1:14" ht="14.25">
      <c r="A6" s="64"/>
      <c r="B6" s="114" t="s">
        <v>111</v>
      </c>
      <c r="C6" s="196">
        <f>+'Exhibit No.  MTT-2 Page 3'!Y38</f>
        <v>1304517375</v>
      </c>
      <c r="D6" s="67"/>
      <c r="E6" s="49">
        <f>+C6/C10</f>
        <v>0.5196231834797514</v>
      </c>
      <c r="F6" s="52"/>
      <c r="G6" s="121">
        <f>'Exhibit No.  MTT-2 Page 3'!AA40</f>
        <v>0.05760550378173024</v>
      </c>
      <c r="H6" s="52"/>
      <c r="I6" s="121">
        <f>E6*G6</f>
        <v>0.029933155261017527</v>
      </c>
      <c r="J6" s="68"/>
      <c r="L6" s="116"/>
      <c r="M6" s="61"/>
      <c r="N6" s="59"/>
    </row>
    <row r="7" spans="1:14" ht="9.75" customHeight="1">
      <c r="A7" s="64"/>
      <c r="B7" s="51"/>
      <c r="C7" s="52"/>
      <c r="D7" s="52"/>
      <c r="E7" s="49"/>
      <c r="F7" s="52"/>
      <c r="G7" s="122"/>
      <c r="H7" s="52"/>
      <c r="I7" s="54"/>
      <c r="J7" s="66"/>
      <c r="L7" s="115"/>
      <c r="M7" s="61"/>
      <c r="N7" s="59"/>
    </row>
    <row r="8" spans="1:14" ht="15.75">
      <c r="A8" s="64"/>
      <c r="B8" s="51" t="s">
        <v>35</v>
      </c>
      <c r="C8" s="63">
        <v>1205989116</v>
      </c>
      <c r="D8" s="52"/>
      <c r="E8" s="32">
        <f>+C8/C10</f>
        <v>0.48037681652024855</v>
      </c>
      <c r="F8" s="53"/>
      <c r="G8" s="193">
        <v>0.109</v>
      </c>
      <c r="H8" s="126">
        <v>-2</v>
      </c>
      <c r="I8" s="123">
        <f>E8*G8</f>
        <v>0.052361073000707095</v>
      </c>
      <c r="J8" s="68"/>
      <c r="L8" s="116"/>
      <c r="N8" s="60"/>
    </row>
    <row r="9" spans="1:10" ht="9.75" customHeight="1">
      <c r="A9" s="64"/>
      <c r="B9" s="51"/>
      <c r="C9" s="52"/>
      <c r="D9" s="52"/>
      <c r="E9" s="49"/>
      <c r="F9" s="52"/>
      <c r="G9" s="53"/>
      <c r="H9" s="52"/>
      <c r="I9" s="54"/>
      <c r="J9" s="66"/>
    </row>
    <row r="10" spans="1:12" ht="13.5" thickBot="1">
      <c r="A10" s="64"/>
      <c r="B10" s="56" t="s">
        <v>109</v>
      </c>
      <c r="C10" s="152">
        <f>SUM(C6:C8)</f>
        <v>2510506491</v>
      </c>
      <c r="D10" s="52"/>
      <c r="E10" s="120">
        <f>SUM(E6:E8)</f>
        <v>1</v>
      </c>
      <c r="F10" s="52"/>
      <c r="G10" s="53"/>
      <c r="H10" s="52"/>
      <c r="I10" s="124">
        <f>SUM(I6:I8)</f>
        <v>0.08229422826172463</v>
      </c>
      <c r="J10" s="65"/>
      <c r="L10" s="115"/>
    </row>
    <row r="11" spans="1:10" ht="13.5" thickTop="1">
      <c r="A11" s="69"/>
      <c r="B11" s="34"/>
      <c r="C11" s="34"/>
      <c r="D11" s="34"/>
      <c r="E11" s="34"/>
      <c r="F11" s="34"/>
      <c r="G11" s="34"/>
      <c r="H11" s="34"/>
      <c r="I11" s="34"/>
      <c r="J11" s="70"/>
    </row>
    <row r="12" spans="5:9" ht="12.75">
      <c r="E12" s="57"/>
      <c r="G12" s="57"/>
      <c r="I12" s="47"/>
    </row>
    <row r="13" spans="1:10" ht="12.75">
      <c r="A13" s="205"/>
      <c r="B13" s="227" t="s">
        <v>31</v>
      </c>
      <c r="C13" s="227"/>
      <c r="D13" s="227"/>
      <c r="E13" s="227"/>
      <c r="F13" s="227"/>
      <c r="G13" s="227"/>
      <c r="H13" s="227"/>
      <c r="I13" s="227"/>
      <c r="J13" s="206"/>
    </row>
    <row r="14" spans="1:10" ht="12.75">
      <c r="A14" s="207"/>
      <c r="B14" s="226" t="s">
        <v>97</v>
      </c>
      <c r="C14" s="226"/>
      <c r="D14" s="226"/>
      <c r="E14" s="226"/>
      <c r="F14" s="226"/>
      <c r="G14" s="226"/>
      <c r="H14" s="226"/>
      <c r="I14" s="226"/>
      <c r="J14" s="208"/>
    </row>
    <row r="15" spans="1:10" ht="13.5" thickBot="1">
      <c r="A15" s="215">
        <v>40543</v>
      </c>
      <c r="B15" s="224"/>
      <c r="C15" s="224"/>
      <c r="D15" s="224"/>
      <c r="E15" s="224"/>
      <c r="F15" s="224"/>
      <c r="G15" s="224"/>
      <c r="H15" s="224"/>
      <c r="I15" s="224"/>
      <c r="J15" s="225"/>
    </row>
    <row r="16" spans="1:10" ht="15">
      <c r="A16" s="64"/>
      <c r="B16" s="140"/>
      <c r="C16" s="141"/>
      <c r="D16" s="141"/>
      <c r="E16" s="142" t="s">
        <v>32</v>
      </c>
      <c r="F16" s="141"/>
      <c r="G16" s="143"/>
      <c r="H16" s="141"/>
      <c r="I16" s="144"/>
      <c r="J16" s="66"/>
    </row>
    <row r="17" spans="1:10" ht="12.75">
      <c r="A17" s="64"/>
      <c r="B17" s="145"/>
      <c r="C17" s="146" t="s">
        <v>14</v>
      </c>
      <c r="D17" s="141"/>
      <c r="E17" s="147" t="s">
        <v>33</v>
      </c>
      <c r="F17" s="141"/>
      <c r="G17" s="148" t="s">
        <v>18</v>
      </c>
      <c r="H17" s="141"/>
      <c r="I17" s="149" t="s">
        <v>34</v>
      </c>
      <c r="J17" s="66"/>
    </row>
    <row r="18" spans="1:10" ht="14.25">
      <c r="A18" s="64"/>
      <c r="B18" s="114" t="s">
        <v>111</v>
      </c>
      <c r="C18" s="196">
        <v>1215191699</v>
      </c>
      <c r="D18" s="67"/>
      <c r="E18" s="49">
        <f>+C18/C22</f>
        <v>0.5150946768836681</v>
      </c>
      <c r="F18" s="52"/>
      <c r="G18" s="121">
        <v>0.056138530663525504</v>
      </c>
      <c r="H18" s="52"/>
      <c r="I18" s="121">
        <v>0.028898848236189757</v>
      </c>
      <c r="J18" s="66"/>
    </row>
    <row r="19" spans="1:10" ht="9.75" customHeight="1">
      <c r="A19" s="64"/>
      <c r="B19" s="150"/>
      <c r="C19" s="52"/>
      <c r="D19" s="52"/>
      <c r="E19" s="49"/>
      <c r="F19" s="52"/>
      <c r="G19" s="122"/>
      <c r="H19" s="52"/>
      <c r="I19" s="54"/>
      <c r="J19" s="66"/>
    </row>
    <row r="20" spans="1:10" ht="15.75">
      <c r="A20" s="64"/>
      <c r="B20" s="151" t="s">
        <v>35</v>
      </c>
      <c r="C20" s="63">
        <v>1143970128.01</v>
      </c>
      <c r="D20" s="52"/>
      <c r="E20" s="32">
        <f>+C20/C22</f>
        <v>0.4849053231163319</v>
      </c>
      <c r="F20" s="53"/>
      <c r="G20" s="193">
        <v>0.102</v>
      </c>
      <c r="H20" s="126"/>
      <c r="I20" s="123">
        <v>0.04949270269008781</v>
      </c>
      <c r="J20" s="66"/>
    </row>
    <row r="21" spans="1:12" ht="9.75" customHeight="1">
      <c r="A21" s="64"/>
      <c r="B21" s="151"/>
      <c r="C21" s="52"/>
      <c r="D21" s="52"/>
      <c r="E21" s="49"/>
      <c r="F21" s="52"/>
      <c r="G21" s="53"/>
      <c r="H21" s="52"/>
      <c r="I21" s="54"/>
      <c r="J21" s="66"/>
      <c r="L21" s="204"/>
    </row>
    <row r="22" spans="1:10" ht="13.5" thickBot="1">
      <c r="A22" s="64"/>
      <c r="B22" s="151" t="s">
        <v>118</v>
      </c>
      <c r="C22" s="152">
        <f>+C18+C20</f>
        <v>2359161827.01</v>
      </c>
      <c r="D22" s="52"/>
      <c r="E22" s="120">
        <f>+E18+E20</f>
        <v>1</v>
      </c>
      <c r="F22" s="52"/>
      <c r="G22" s="53"/>
      <c r="H22" s="52"/>
      <c r="I22" s="124">
        <f>+I18+I20</f>
        <v>0.07839155092627757</v>
      </c>
      <c r="J22" s="66"/>
    </row>
    <row r="23" spans="1:10" ht="13.5" thickTop="1">
      <c r="A23" s="69"/>
      <c r="B23" s="34"/>
      <c r="C23" s="34"/>
      <c r="D23" s="34"/>
      <c r="E23" s="34"/>
      <c r="F23" s="34"/>
      <c r="G23" s="34"/>
      <c r="H23" s="34"/>
      <c r="I23" s="34"/>
      <c r="J23" s="70"/>
    </row>
    <row r="24" spans="1:10" ht="12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ht="21">
      <c r="B25" s="75" t="s">
        <v>101</v>
      </c>
    </row>
    <row r="26" ht="21">
      <c r="B26" s="75" t="s">
        <v>102</v>
      </c>
    </row>
    <row r="27" ht="15.75">
      <c r="B27" s="75"/>
    </row>
    <row r="28" ht="15.75">
      <c r="B28" s="79" t="s">
        <v>103</v>
      </c>
    </row>
    <row r="29" spans="1:2" ht="15.75">
      <c r="A29" t="s">
        <v>54</v>
      </c>
      <c r="B29" s="75" t="s">
        <v>119</v>
      </c>
    </row>
    <row r="30" spans="1:2" ht="15.75">
      <c r="A30" t="s">
        <v>105</v>
      </c>
      <c r="B30" s="75" t="s">
        <v>120</v>
      </c>
    </row>
    <row r="31" spans="1:2" ht="15.75">
      <c r="A31" t="s">
        <v>106</v>
      </c>
      <c r="B31" s="102" t="s">
        <v>157</v>
      </c>
    </row>
    <row r="32" spans="1:9" ht="33.75" customHeight="1">
      <c r="A32" s="118" t="s">
        <v>107</v>
      </c>
      <c r="B32" s="213" t="s">
        <v>143</v>
      </c>
      <c r="C32" s="214"/>
      <c r="D32" s="214"/>
      <c r="E32" s="214"/>
      <c r="F32" s="214"/>
      <c r="G32" s="214"/>
      <c r="H32" s="214"/>
      <c r="I32" s="214"/>
    </row>
    <row r="33" spans="1:2" ht="15.75">
      <c r="A33" t="s">
        <v>108</v>
      </c>
      <c r="B33" s="102" t="s">
        <v>158</v>
      </c>
    </row>
  </sheetData>
  <mergeCells count="7">
    <mergeCell ref="B32:I32"/>
    <mergeCell ref="A3:J3"/>
    <mergeCell ref="A2:J2"/>
    <mergeCell ref="A1:J1"/>
    <mergeCell ref="A15:J15"/>
    <mergeCell ref="B14:I14"/>
    <mergeCell ref="B13:I13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&amp;RExhibit No.___(MTT-2)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7109375" style="1" customWidth="1"/>
    <col min="2" max="2" width="2.8515625" style="1" bestFit="1" customWidth="1"/>
    <col min="3" max="3" width="14.421875" style="1" customWidth="1"/>
    <col min="4" max="4" width="1.7109375" style="1" customWidth="1"/>
    <col min="5" max="5" width="12.421875" style="3" customWidth="1"/>
    <col min="6" max="6" width="1.7109375" style="1" customWidth="1"/>
    <col min="7" max="7" width="11.7109375" style="2" customWidth="1"/>
    <col min="8" max="8" width="1.7109375" style="1" customWidth="1"/>
    <col min="9" max="9" width="10.421875" style="3" customWidth="1"/>
    <col min="10" max="10" width="1.7109375" style="1" customWidth="1"/>
    <col min="11" max="11" width="10.7109375" style="3" customWidth="1"/>
    <col min="12" max="12" width="1.7109375" style="1" customWidth="1"/>
    <col min="13" max="13" width="9.8515625" style="3" customWidth="1"/>
    <col min="14" max="14" width="1.7109375" style="1" customWidth="1"/>
    <col min="15" max="15" width="10.421875" style="3" bestFit="1" customWidth="1"/>
    <col min="16" max="16" width="1.7109375" style="1" customWidth="1"/>
    <col min="17" max="17" width="16.00390625" style="3" customWidth="1"/>
    <col min="18" max="18" width="1.7109375" style="1" customWidth="1"/>
    <col min="19" max="19" width="9.7109375" style="3" customWidth="1"/>
    <col min="20" max="20" width="1.7109375" style="1" customWidth="1"/>
    <col min="21" max="21" width="11.7109375" style="3" customWidth="1"/>
    <col min="22" max="22" width="1.7109375" style="1" customWidth="1"/>
    <col min="23" max="23" width="8.7109375" style="4" customWidth="1"/>
    <col min="24" max="24" width="1.7109375" style="1" customWidth="1"/>
    <col min="25" max="25" width="11.7109375" style="3" customWidth="1"/>
    <col min="26" max="26" width="2.00390625" style="1" customWidth="1"/>
    <col min="27" max="27" width="10.7109375" style="3" customWidth="1"/>
    <col min="28" max="28" width="1.7109375" style="1" customWidth="1"/>
    <col min="29" max="29" width="4.8515625" style="1" bestFit="1" customWidth="1"/>
    <col min="30" max="30" width="12.7109375" style="1" bestFit="1" customWidth="1"/>
    <col min="31" max="16384" width="11.421875" style="1" customWidth="1"/>
  </cols>
  <sheetData>
    <row r="1" spans="1:29" ht="12.75">
      <c r="A1" s="228" t="s">
        <v>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2.75">
      <c r="A2" s="229" t="s">
        <v>159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</row>
    <row r="3" spans="1:29" ht="12.75" customHeight="1">
      <c r="A3" s="230">
        <f>+'Exhibit No.   MTT-2 Page 2'!A3:J3</f>
        <v>40908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1:19" ht="12.75">
      <c r="K4" s="1"/>
      <c r="M4" s="5"/>
      <c r="N4" s="5"/>
      <c r="O4" s="6"/>
      <c r="P4" s="5"/>
      <c r="Q4" s="6"/>
      <c r="R4" s="5"/>
      <c r="S4" s="6"/>
    </row>
    <row r="5" spans="5:27" s="7" customFormat="1" ht="12.75">
      <c r="E5" s="5"/>
      <c r="G5" s="8"/>
      <c r="I5" s="5"/>
      <c r="K5" s="5"/>
      <c r="M5" s="5"/>
      <c r="O5" s="5"/>
      <c r="Q5" s="5"/>
      <c r="S5" s="5"/>
      <c r="U5" s="5"/>
      <c r="W5" s="9"/>
      <c r="Y5" s="5" t="s">
        <v>0</v>
      </c>
      <c r="AA5" s="5"/>
    </row>
    <row r="6" spans="1:29" s="7" customFormat="1" ht="12.75">
      <c r="A6" s="7" t="s">
        <v>1</v>
      </c>
      <c r="E6" s="5" t="s">
        <v>2</v>
      </c>
      <c r="G6" s="8" t="s">
        <v>3</v>
      </c>
      <c r="I6" s="5" t="s">
        <v>4</v>
      </c>
      <c r="K6" s="5" t="s">
        <v>0</v>
      </c>
      <c r="M6" s="5" t="s">
        <v>5</v>
      </c>
      <c r="O6" s="7" t="s">
        <v>112</v>
      </c>
      <c r="Q6" s="7" t="s">
        <v>113</v>
      </c>
      <c r="S6" s="7" t="s">
        <v>6</v>
      </c>
      <c r="U6" s="5" t="s">
        <v>7</v>
      </c>
      <c r="W6" s="9" t="s">
        <v>8</v>
      </c>
      <c r="Y6" s="5" t="s">
        <v>9</v>
      </c>
      <c r="AA6" s="5" t="s">
        <v>10</v>
      </c>
      <c r="AC6" s="7" t="s">
        <v>1</v>
      </c>
    </row>
    <row r="7" spans="1:29" s="7" customFormat="1" ht="12.75">
      <c r="A7" s="10" t="s">
        <v>11</v>
      </c>
      <c r="C7" s="10" t="s">
        <v>38</v>
      </c>
      <c r="E7" s="11" t="s">
        <v>12</v>
      </c>
      <c r="F7" s="10"/>
      <c r="G7" s="12" t="s">
        <v>13</v>
      </c>
      <c r="I7" s="11" t="s">
        <v>13</v>
      </c>
      <c r="K7" s="11" t="s">
        <v>14</v>
      </c>
      <c r="M7" s="11" t="s">
        <v>15</v>
      </c>
      <c r="O7" s="10" t="s">
        <v>114</v>
      </c>
      <c r="Q7" s="10" t="s">
        <v>115</v>
      </c>
      <c r="S7" s="10" t="s">
        <v>16</v>
      </c>
      <c r="U7" s="11" t="s">
        <v>17</v>
      </c>
      <c r="W7" s="13" t="s">
        <v>3</v>
      </c>
      <c r="Y7" s="14">
        <f>+A3</f>
        <v>40908</v>
      </c>
      <c r="AA7" s="11" t="s">
        <v>18</v>
      </c>
      <c r="AC7" s="10" t="s">
        <v>11</v>
      </c>
    </row>
    <row r="8" spans="3:27" ht="12.75">
      <c r="C8" s="7" t="s">
        <v>20</v>
      </c>
      <c r="D8" s="7"/>
      <c r="E8" s="5" t="s">
        <v>21</v>
      </c>
      <c r="F8" s="7"/>
      <c r="G8" s="30" t="s">
        <v>30</v>
      </c>
      <c r="H8" s="7"/>
      <c r="I8" s="5" t="s">
        <v>22</v>
      </c>
      <c r="J8" s="7"/>
      <c r="K8" s="5" t="s">
        <v>23</v>
      </c>
      <c r="L8" s="7"/>
      <c r="M8" s="5" t="s">
        <v>24</v>
      </c>
      <c r="N8" s="7"/>
      <c r="O8" s="5" t="s">
        <v>25</v>
      </c>
      <c r="P8" s="7"/>
      <c r="Q8" s="5" t="s">
        <v>25</v>
      </c>
      <c r="R8" s="7"/>
      <c r="S8" s="5" t="s">
        <v>26</v>
      </c>
      <c r="T8" s="7"/>
      <c r="U8" s="9" t="s">
        <v>27</v>
      </c>
      <c r="V8" s="7"/>
      <c r="W8" s="5" t="s">
        <v>28</v>
      </c>
      <c r="X8" s="7"/>
      <c r="Y8" s="5" t="s">
        <v>29</v>
      </c>
      <c r="AA8" s="5" t="s">
        <v>92</v>
      </c>
    </row>
    <row r="9" spans="1:31" ht="12.75">
      <c r="A9" s="1">
        <v>1</v>
      </c>
      <c r="B9" s="15"/>
      <c r="C9" s="164" t="s">
        <v>121</v>
      </c>
      <c r="D9" s="163"/>
      <c r="E9" s="166">
        <v>0.0753</v>
      </c>
      <c r="F9" s="163"/>
      <c r="G9" s="167">
        <v>45051</v>
      </c>
      <c r="H9" s="168"/>
      <c r="I9" s="167">
        <v>34095</v>
      </c>
      <c r="J9" s="163"/>
      <c r="K9" s="169">
        <v>5500000</v>
      </c>
      <c r="L9" s="169"/>
      <c r="M9" s="169">
        <v>42711.86</v>
      </c>
      <c r="N9" s="169"/>
      <c r="O9" s="169">
        <v>0</v>
      </c>
      <c r="P9" s="165"/>
      <c r="Q9" s="169">
        <v>0</v>
      </c>
      <c r="R9" s="169"/>
      <c r="S9" s="169">
        <v>963011.1699999999</v>
      </c>
      <c r="U9" s="157">
        <f>+K9-SUM(M9,O9:S9:S9)</f>
        <v>4494276.97</v>
      </c>
      <c r="W9" s="128">
        <f>YIELD(I9,G9,E9,U9/K9*100,100,2,0)</f>
        <v>0.0935898708455077</v>
      </c>
      <c r="X9" s="156"/>
      <c r="Y9" s="162">
        <f>IF(AND($A$3&lt;G9,$A$3&gt;I9),K9,0)</f>
        <v>5500000</v>
      </c>
      <c r="Z9" s="130"/>
      <c r="AA9" s="162">
        <f aca="true" t="shared" si="0" ref="AA9:AA28">IF(AND($A$3&gt;I9,$A$3&lt;G9),W9*Y9,0)</f>
        <v>514744.2896502923</v>
      </c>
      <c r="AC9" s="1">
        <f>+A9</f>
        <v>1</v>
      </c>
      <c r="AD9" s="197"/>
      <c r="AE9" s="127"/>
    </row>
    <row r="10" spans="1:31" ht="12.75">
      <c r="A10" s="1">
        <f>+A9+1</f>
        <v>2</v>
      </c>
      <c r="C10" s="164" t="s">
        <v>121</v>
      </c>
      <c r="D10" s="163"/>
      <c r="E10" s="166">
        <v>0.0754</v>
      </c>
      <c r="F10" s="163"/>
      <c r="G10" s="167">
        <v>45051</v>
      </c>
      <c r="H10" s="168"/>
      <c r="I10" s="167">
        <v>34096</v>
      </c>
      <c r="J10" s="163"/>
      <c r="K10" s="169">
        <v>1000000</v>
      </c>
      <c r="L10" s="169"/>
      <c r="M10" s="169">
        <v>7766.28</v>
      </c>
      <c r="N10" s="169"/>
      <c r="O10" s="169">
        <v>0</v>
      </c>
      <c r="P10" s="165"/>
      <c r="Q10" s="169">
        <v>0</v>
      </c>
      <c r="R10" s="169"/>
      <c r="S10" s="169">
        <v>175411.87</v>
      </c>
      <c r="U10" s="3">
        <f>+K10-SUM(M10,O10:S10:S10)</f>
        <v>816821.85</v>
      </c>
      <c r="W10" s="128">
        <f aca="true" t="shared" si="1" ref="W10:W28">YIELD(I10,G10,E10,U10/K10*100,100,2,0)</f>
        <v>0.09374671847968906</v>
      </c>
      <c r="Y10" s="177">
        <f aca="true" t="shared" si="2" ref="Y10:Y28">IF(AND($A$3&lt;G10,$A$3&gt;I10),K10,0)</f>
        <v>1000000</v>
      </c>
      <c r="Z10" s="130"/>
      <c r="AA10" s="177">
        <f t="shared" si="0"/>
        <v>93746.71847968907</v>
      </c>
      <c r="AC10" s="1">
        <f aca="true" t="shared" si="3" ref="AC10:AC53">+A10</f>
        <v>2</v>
      </c>
      <c r="AD10" s="198"/>
      <c r="AE10" s="127"/>
    </row>
    <row r="11" spans="1:31" ht="12.75">
      <c r="A11" s="186">
        <f aca="true" t="shared" si="4" ref="A11:A53">+A10+1</f>
        <v>3</v>
      </c>
      <c r="C11" s="164" t="s">
        <v>121</v>
      </c>
      <c r="D11" s="163"/>
      <c r="E11" s="166">
        <v>0.0737</v>
      </c>
      <c r="F11" s="163"/>
      <c r="G11" s="167">
        <v>41039</v>
      </c>
      <c r="H11" s="168"/>
      <c r="I11" s="167">
        <v>34099</v>
      </c>
      <c r="J11" s="163"/>
      <c r="K11" s="169">
        <v>7000000</v>
      </c>
      <c r="L11" s="169"/>
      <c r="M11" s="169">
        <v>49113.94</v>
      </c>
      <c r="N11" s="169"/>
      <c r="O11" s="169">
        <v>0</v>
      </c>
      <c r="P11" s="165"/>
      <c r="Q11" s="169">
        <v>0</v>
      </c>
      <c r="R11" s="169"/>
      <c r="S11" s="169">
        <v>1227883.0999999999</v>
      </c>
      <c r="U11" s="3">
        <f>+K11-SUM(M11,O11:S11:S11)</f>
        <v>5723002.96</v>
      </c>
      <c r="W11" s="128">
        <f t="shared" si="1"/>
        <v>0.09455379063541773</v>
      </c>
      <c r="Y11" s="177">
        <f t="shared" si="2"/>
        <v>7000000</v>
      </c>
      <c r="Z11" s="22"/>
      <c r="AA11" s="177">
        <f t="shared" si="0"/>
        <v>661876.5344479241</v>
      </c>
      <c r="AC11" s="1">
        <f t="shared" si="3"/>
        <v>3</v>
      </c>
      <c r="AD11" s="198"/>
      <c r="AE11" s="127"/>
    </row>
    <row r="12" spans="1:31" ht="12.75">
      <c r="A12" s="186">
        <f t="shared" si="4"/>
        <v>4</v>
      </c>
      <c r="C12" s="164" t="s">
        <v>121</v>
      </c>
      <c r="D12" s="163"/>
      <c r="E12" s="166">
        <v>0.0739</v>
      </c>
      <c r="F12" s="163"/>
      <c r="G12" s="167">
        <v>43231</v>
      </c>
      <c r="H12" s="168"/>
      <c r="I12" s="167">
        <v>34100</v>
      </c>
      <c r="J12" s="163"/>
      <c r="K12" s="169">
        <v>7000000</v>
      </c>
      <c r="L12" s="169"/>
      <c r="M12" s="169">
        <v>54363.94</v>
      </c>
      <c r="N12" s="169"/>
      <c r="O12" s="169">
        <v>0</v>
      </c>
      <c r="P12" s="165"/>
      <c r="Q12" s="169">
        <v>0</v>
      </c>
      <c r="R12" s="169"/>
      <c r="S12" s="169">
        <v>1227883.09</v>
      </c>
      <c r="U12" s="3">
        <f>+K12-SUM(M12,O12:S12:S12)</f>
        <v>5717752.97</v>
      </c>
      <c r="W12" s="128">
        <f t="shared" si="1"/>
        <v>0.0928734856429236</v>
      </c>
      <c r="Y12" s="177">
        <f t="shared" si="2"/>
        <v>7000000</v>
      </c>
      <c r="AA12" s="177">
        <f t="shared" si="0"/>
        <v>650114.3995004651</v>
      </c>
      <c r="AC12" s="1">
        <f t="shared" si="3"/>
        <v>4</v>
      </c>
      <c r="AD12" s="198"/>
      <c r="AE12" s="127"/>
    </row>
    <row r="13" spans="1:31" ht="12.75">
      <c r="A13" s="186">
        <f t="shared" si="4"/>
        <v>5</v>
      </c>
      <c r="C13" s="164" t="s">
        <v>121</v>
      </c>
      <c r="D13" s="163"/>
      <c r="E13" s="166">
        <v>0.0745</v>
      </c>
      <c r="F13" s="163"/>
      <c r="G13" s="167">
        <v>43262</v>
      </c>
      <c r="H13" s="168"/>
      <c r="I13" s="167">
        <v>34129</v>
      </c>
      <c r="J13" s="163"/>
      <c r="K13" s="169">
        <v>15500000</v>
      </c>
      <c r="L13" s="169"/>
      <c r="M13" s="169">
        <v>120377.3</v>
      </c>
      <c r="N13" s="169"/>
      <c r="O13" s="169">
        <v>0</v>
      </c>
      <c r="P13" s="165"/>
      <c r="Q13" s="169">
        <v>50220</v>
      </c>
      <c r="R13" s="169"/>
      <c r="S13" s="169">
        <v>2140439.59</v>
      </c>
      <c r="U13" s="3">
        <f>+K13-SUM(M13,O13:S13:S13)</f>
        <v>13188963.11</v>
      </c>
      <c r="W13" s="128">
        <f t="shared" si="1"/>
        <v>0.08953000514345685</v>
      </c>
      <c r="Y13" s="177">
        <f t="shared" si="2"/>
        <v>15500000</v>
      </c>
      <c r="AA13" s="177">
        <f t="shared" si="0"/>
        <v>1387715.0797235812</v>
      </c>
      <c r="AC13" s="1">
        <f t="shared" si="3"/>
        <v>5</v>
      </c>
      <c r="AD13" s="198"/>
      <c r="AE13" s="127"/>
    </row>
    <row r="14" spans="1:31" ht="12.75">
      <c r="A14" s="186">
        <f t="shared" si="4"/>
        <v>6</v>
      </c>
      <c r="C14" s="164" t="s">
        <v>121</v>
      </c>
      <c r="D14" s="163"/>
      <c r="E14" s="166">
        <v>0.0718</v>
      </c>
      <c r="F14" s="163"/>
      <c r="G14" s="167">
        <v>45149</v>
      </c>
      <c r="H14" s="168"/>
      <c r="I14" s="167">
        <v>34193</v>
      </c>
      <c r="J14" s="163"/>
      <c r="K14" s="169">
        <v>7000000</v>
      </c>
      <c r="L14" s="169"/>
      <c r="M14" s="169">
        <v>54363.94</v>
      </c>
      <c r="N14" s="169"/>
      <c r="O14" s="169">
        <v>0</v>
      </c>
      <c r="P14" s="165"/>
      <c r="Q14" s="169">
        <v>0</v>
      </c>
      <c r="R14" s="169"/>
      <c r="S14" s="169">
        <v>0</v>
      </c>
      <c r="U14" s="3">
        <f>+K14-SUM(M14,O14:S14:S14)</f>
        <v>6945636.06</v>
      </c>
      <c r="W14" s="128">
        <f t="shared" si="1"/>
        <v>0.07243776749513334</v>
      </c>
      <c r="Y14" s="177">
        <f t="shared" si="2"/>
        <v>7000000</v>
      </c>
      <c r="Z14" s="22"/>
      <c r="AA14" s="177">
        <f t="shared" si="0"/>
        <v>507064.3724659334</v>
      </c>
      <c r="AC14" s="1">
        <f t="shared" si="3"/>
        <v>6</v>
      </c>
      <c r="AD14" s="198"/>
      <c r="AE14" s="127"/>
    </row>
    <row r="15" spans="1:31" ht="12.75">
      <c r="A15" s="186">
        <f t="shared" si="4"/>
        <v>7</v>
      </c>
      <c r="B15" s="15"/>
      <c r="C15" s="164" t="s">
        <v>122</v>
      </c>
      <c r="D15" s="170"/>
      <c r="E15" s="166">
        <v>0.06</v>
      </c>
      <c r="F15" s="163"/>
      <c r="G15" s="167">
        <v>45261</v>
      </c>
      <c r="H15" s="168"/>
      <c r="I15" s="167">
        <v>34179</v>
      </c>
      <c r="J15" s="163"/>
      <c r="K15" s="169">
        <v>4100000</v>
      </c>
      <c r="L15" s="169"/>
      <c r="M15" s="169">
        <v>115355.22</v>
      </c>
      <c r="N15" s="169"/>
      <c r="O15" s="169">
        <v>0</v>
      </c>
      <c r="P15" s="165"/>
      <c r="Q15" s="169">
        <v>20500</v>
      </c>
      <c r="R15" s="169"/>
      <c r="S15" s="169">
        <v>146393</v>
      </c>
      <c r="U15" s="3">
        <f>+K15-SUM(M15,O15:S15:S15)</f>
        <v>3817751.7800000003</v>
      </c>
      <c r="W15" s="128">
        <f t="shared" si="1"/>
        <v>0.0652295958386548</v>
      </c>
      <c r="Y15" s="177">
        <f t="shared" si="2"/>
        <v>4100000</v>
      </c>
      <c r="Z15" s="130"/>
      <c r="AA15" s="177">
        <f t="shared" si="0"/>
        <v>267441.3429384847</v>
      </c>
      <c r="AC15" s="1">
        <f t="shared" si="3"/>
        <v>7</v>
      </c>
      <c r="AD15" s="198"/>
      <c r="AE15" s="127"/>
    </row>
    <row r="16" spans="1:31" ht="12.75">
      <c r="A16" s="186">
        <f t="shared" si="4"/>
        <v>8</v>
      </c>
      <c r="C16" s="183" t="s">
        <v>136</v>
      </c>
      <c r="D16" s="190">
        <v>1</v>
      </c>
      <c r="E16" s="166">
        <f>+'Exhibit No.  MTT-2 Page 4 '!C17</f>
        <v>0.017253472222222222</v>
      </c>
      <c r="F16" s="190">
        <v>2</v>
      </c>
      <c r="G16" s="185">
        <f>+'Exhibit No.  MTT-2 Page 4 '!D17</f>
        <v>50192</v>
      </c>
      <c r="H16" s="184"/>
      <c r="I16" s="185">
        <f>+'Exhibit No.  MTT-2 Page 4 '!E17</f>
        <v>35584</v>
      </c>
      <c r="J16" s="46"/>
      <c r="K16" s="169">
        <f>+'Exhibit No.  MTT-2 Page 4 '!K17</f>
        <v>40000000</v>
      </c>
      <c r="L16" s="46"/>
      <c r="M16" s="169">
        <f>+'Exhibit No.  MTT-2 Page 4 '!G17</f>
        <v>1296086</v>
      </c>
      <c r="N16" s="3"/>
      <c r="P16" s="3"/>
      <c r="R16" s="3"/>
      <c r="S16" s="169">
        <f>+'Exhibit No.  MTT-2 Page 4 '!H17</f>
        <v>-1769125</v>
      </c>
      <c r="T16" s="46"/>
      <c r="U16" s="21">
        <f>+'Exhibit No.  MTT-2 Page 4 '!I17</f>
        <v>40473039</v>
      </c>
      <c r="V16" s="46"/>
      <c r="W16" s="25">
        <f>+'Exhibit No.  MTT-2 Page 4 '!J17</f>
        <v>0.016845859561960094</v>
      </c>
      <c r="X16" s="190">
        <v>2</v>
      </c>
      <c r="Y16" s="188">
        <f>IF(AND($A$3&lt;G16,$A$3&gt;I16),K16,0)</f>
        <v>40000000</v>
      </c>
      <c r="Z16" s="191"/>
      <c r="AA16" s="188">
        <f>IF(AND($A$3&gt;I16,$A$3&lt;G16),W16*Y16,0)</f>
        <v>673834.3824784037</v>
      </c>
      <c r="AC16" s="1">
        <f>+A16</f>
        <v>8</v>
      </c>
      <c r="AD16" s="198"/>
      <c r="AE16" s="127"/>
    </row>
    <row r="17" spans="1:31" ht="12.75">
      <c r="A17" s="186">
        <f t="shared" si="4"/>
        <v>9</v>
      </c>
      <c r="C17" s="164" t="s">
        <v>123</v>
      </c>
      <c r="D17" s="163"/>
      <c r="E17" s="166" t="s">
        <v>124</v>
      </c>
      <c r="F17" s="190"/>
      <c r="G17" s="167">
        <v>41440</v>
      </c>
      <c r="H17" s="168"/>
      <c r="I17" s="167">
        <v>35961</v>
      </c>
      <c r="J17" s="163"/>
      <c r="K17" s="169">
        <v>0</v>
      </c>
      <c r="L17" s="169"/>
      <c r="M17" s="169">
        <v>666169.06</v>
      </c>
      <c r="N17" s="169"/>
      <c r="O17" s="169">
        <v>0</v>
      </c>
      <c r="P17" s="165"/>
      <c r="Q17" s="169">
        <v>0</v>
      </c>
      <c r="R17" s="169"/>
      <c r="S17" s="169">
        <v>0</v>
      </c>
      <c r="V17" s="22"/>
      <c r="W17" s="128"/>
      <c r="X17" s="22"/>
      <c r="Y17" s="177"/>
      <c r="Z17" s="22"/>
      <c r="AA17" s="177">
        <f>IF(AND(G17&gt;$Y$7,K17&gt;0),Y17*W17,IF(G17&gt;$Y$7,M17/((YEAR(G17)-YEAR(I17))*12+MONTH(G17)-MONTH(I17))*12,0))</f>
        <v>44411.27066666667</v>
      </c>
      <c r="AC17" s="1">
        <f t="shared" si="3"/>
        <v>9</v>
      </c>
      <c r="AD17" s="198"/>
      <c r="AE17" s="127"/>
    </row>
    <row r="18" spans="1:31" ht="12.75">
      <c r="A18" s="186">
        <f t="shared" si="4"/>
        <v>10</v>
      </c>
      <c r="C18" s="164" t="s">
        <v>125</v>
      </c>
      <c r="D18" s="171"/>
      <c r="E18" s="166">
        <v>0.0637</v>
      </c>
      <c r="F18" s="172"/>
      <c r="G18" s="167">
        <v>46923</v>
      </c>
      <c r="H18" s="173"/>
      <c r="I18" s="167">
        <v>35965</v>
      </c>
      <c r="J18" s="170"/>
      <c r="K18" s="169">
        <v>25000000</v>
      </c>
      <c r="L18" s="174"/>
      <c r="M18" s="169">
        <v>158303.79</v>
      </c>
      <c r="N18" s="174"/>
      <c r="O18" s="169">
        <v>0</v>
      </c>
      <c r="P18" s="175"/>
      <c r="Q18" s="169">
        <v>0</v>
      </c>
      <c r="R18" s="174"/>
      <c r="S18" s="169">
        <v>188649</v>
      </c>
      <c r="U18" s="3">
        <f>+K18-SUM(M18,O18:S18:S18)</f>
        <v>24653047.21</v>
      </c>
      <c r="V18" s="22"/>
      <c r="W18" s="128">
        <f t="shared" si="1"/>
        <v>0.06475453851806513</v>
      </c>
      <c r="X18" s="22"/>
      <c r="Y18" s="177">
        <f t="shared" si="2"/>
        <v>25000000</v>
      </c>
      <c r="Z18" s="22"/>
      <c r="AA18" s="177">
        <f t="shared" si="0"/>
        <v>1618863.4629516283</v>
      </c>
      <c r="AC18" s="1">
        <f t="shared" si="3"/>
        <v>10</v>
      </c>
      <c r="AD18" s="198"/>
      <c r="AE18" s="127"/>
    </row>
    <row r="19" spans="1:31" ht="12.75">
      <c r="A19" s="186">
        <f t="shared" si="4"/>
        <v>11</v>
      </c>
      <c r="C19" s="164" t="s">
        <v>126</v>
      </c>
      <c r="D19" s="171"/>
      <c r="E19" s="166">
        <v>0.0545</v>
      </c>
      <c r="F19" s="172"/>
      <c r="G19" s="167">
        <v>43800</v>
      </c>
      <c r="H19" s="173"/>
      <c r="I19" s="167">
        <v>38309</v>
      </c>
      <c r="J19" s="170"/>
      <c r="K19" s="169">
        <v>90000000</v>
      </c>
      <c r="L19" s="174"/>
      <c r="M19" s="169">
        <v>1192681.1800000002</v>
      </c>
      <c r="N19" s="174"/>
      <c r="O19" s="169">
        <v>0</v>
      </c>
      <c r="P19" s="175"/>
      <c r="Q19" s="169">
        <v>239400</v>
      </c>
      <c r="R19" s="174"/>
      <c r="S19" s="169">
        <v>0</v>
      </c>
      <c r="U19" s="3">
        <f>+K19-SUM(M19,O19:S19:S19)</f>
        <v>88567918.82</v>
      </c>
      <c r="V19" s="22"/>
      <c r="W19" s="128">
        <f t="shared" si="1"/>
        <v>0.05607779408430488</v>
      </c>
      <c r="X19" s="22"/>
      <c r="Y19" s="177">
        <f t="shared" si="2"/>
        <v>90000000</v>
      </c>
      <c r="Z19" s="22"/>
      <c r="AA19" s="177">
        <f t="shared" si="0"/>
        <v>5047001.467587439</v>
      </c>
      <c r="AC19" s="1">
        <f t="shared" si="3"/>
        <v>11</v>
      </c>
      <c r="AD19" s="198"/>
      <c r="AE19" s="127"/>
    </row>
    <row r="20" spans="1:31" ht="12.75">
      <c r="A20" s="186">
        <f t="shared" si="4"/>
        <v>12</v>
      </c>
      <c r="C20" s="164" t="s">
        <v>127</v>
      </c>
      <c r="D20" s="171"/>
      <c r="E20" s="166">
        <v>0.0625</v>
      </c>
      <c r="F20" s="172"/>
      <c r="G20" s="167">
        <v>49644</v>
      </c>
      <c r="H20" s="173"/>
      <c r="I20" s="167">
        <v>38673</v>
      </c>
      <c r="J20" s="170"/>
      <c r="K20" s="169">
        <v>150000000</v>
      </c>
      <c r="L20" s="174"/>
      <c r="M20" s="169">
        <v>1812935.49</v>
      </c>
      <c r="N20" s="174"/>
      <c r="O20" s="169">
        <v>-4445000</v>
      </c>
      <c r="P20" s="175"/>
      <c r="Q20" s="169">
        <v>900500</v>
      </c>
      <c r="R20" s="174"/>
      <c r="S20" s="169">
        <v>1700376.3864715428</v>
      </c>
      <c r="T20" s="130"/>
      <c r="U20" s="3">
        <f>+K20-SUM(M20,O20:S20:S20)</f>
        <v>150031188.12352845</v>
      </c>
      <c r="V20" s="22"/>
      <c r="W20" s="128">
        <f t="shared" si="1"/>
        <v>0.06248201148823565</v>
      </c>
      <c r="X20" s="22"/>
      <c r="Y20" s="177">
        <f t="shared" si="2"/>
        <v>150000000</v>
      </c>
      <c r="Z20" s="22"/>
      <c r="AA20" s="177">
        <f t="shared" si="0"/>
        <v>9372301.723235348</v>
      </c>
      <c r="AC20" s="1">
        <f t="shared" si="3"/>
        <v>12</v>
      </c>
      <c r="AD20" s="198"/>
      <c r="AE20" s="127"/>
    </row>
    <row r="21" spans="1:31" ht="12.75">
      <c r="A21" s="186">
        <f t="shared" si="4"/>
        <v>13</v>
      </c>
      <c r="C21" s="164" t="s">
        <v>128</v>
      </c>
      <c r="D21" s="171"/>
      <c r="E21" s="166">
        <v>0.057</v>
      </c>
      <c r="F21" s="172"/>
      <c r="G21" s="167">
        <v>50222</v>
      </c>
      <c r="H21" s="173"/>
      <c r="I21" s="167">
        <v>39066</v>
      </c>
      <c r="J21" s="170"/>
      <c r="K21" s="169">
        <v>150000000</v>
      </c>
      <c r="L21" s="174"/>
      <c r="M21" s="169">
        <v>4702304.129999999</v>
      </c>
      <c r="N21" s="174"/>
      <c r="O21" s="169">
        <v>3738000</v>
      </c>
      <c r="P21" s="175"/>
      <c r="Q21" s="169">
        <v>222000</v>
      </c>
      <c r="R21" s="174"/>
      <c r="S21" s="169">
        <v>483583.1560279151</v>
      </c>
      <c r="U21" s="3">
        <f>+K21-SUM(M21,O21:S21:S21)</f>
        <v>140854112.7139721</v>
      </c>
      <c r="V21" s="22"/>
      <c r="W21" s="128">
        <f t="shared" si="1"/>
        <v>0.061444051057200494</v>
      </c>
      <c r="X21" s="22"/>
      <c r="Y21" s="177">
        <f t="shared" si="2"/>
        <v>150000000</v>
      </c>
      <c r="Z21" s="22"/>
      <c r="AA21" s="177">
        <f t="shared" si="0"/>
        <v>9216607.658580074</v>
      </c>
      <c r="AC21" s="1">
        <f t="shared" si="3"/>
        <v>13</v>
      </c>
      <c r="AD21" s="198"/>
      <c r="AE21" s="127"/>
    </row>
    <row r="22" spans="1:31" ht="12.75">
      <c r="A22" s="186">
        <f t="shared" si="4"/>
        <v>14</v>
      </c>
      <c r="C22" s="164" t="s">
        <v>129</v>
      </c>
      <c r="D22" s="171"/>
      <c r="E22" s="166">
        <v>0.059500000000000004</v>
      </c>
      <c r="F22" s="172"/>
      <c r="G22" s="167">
        <v>43252</v>
      </c>
      <c r="H22" s="173"/>
      <c r="I22" s="167">
        <v>39540</v>
      </c>
      <c r="J22" s="170"/>
      <c r="K22" s="169">
        <v>250000000</v>
      </c>
      <c r="L22" s="174"/>
      <c r="M22" s="169">
        <v>2246419.11</v>
      </c>
      <c r="N22" s="174"/>
      <c r="O22" s="169">
        <v>16395000</v>
      </c>
      <c r="P22" s="175"/>
      <c r="Q22" s="169">
        <v>835000</v>
      </c>
      <c r="R22" s="174"/>
      <c r="S22" s="169">
        <v>0</v>
      </c>
      <c r="U22" s="3">
        <f>+K22-SUM(M22,O22:S22:S22)</f>
        <v>230523580.89</v>
      </c>
      <c r="V22" s="22"/>
      <c r="W22" s="128">
        <f t="shared" si="1"/>
        <v>0.07034140953006324</v>
      </c>
      <c r="X22" s="22"/>
      <c r="Y22" s="177">
        <f t="shared" si="2"/>
        <v>250000000</v>
      </c>
      <c r="Z22" s="22"/>
      <c r="AA22" s="177">
        <f t="shared" si="0"/>
        <v>17585352.38251581</v>
      </c>
      <c r="AC22" s="1">
        <f t="shared" si="3"/>
        <v>14</v>
      </c>
      <c r="AD22" s="198"/>
      <c r="AE22" s="127"/>
    </row>
    <row r="23" spans="1:31" ht="12.75">
      <c r="A23" s="186">
        <f t="shared" si="4"/>
        <v>15</v>
      </c>
      <c r="C23" s="164" t="s">
        <v>130</v>
      </c>
      <c r="D23" s="171"/>
      <c r="E23" s="166">
        <v>0.05125</v>
      </c>
      <c r="F23" s="172"/>
      <c r="G23" s="167">
        <v>44652</v>
      </c>
      <c r="H23" s="173"/>
      <c r="I23" s="167">
        <v>40078</v>
      </c>
      <c r="J23" s="170"/>
      <c r="K23" s="169">
        <v>250000000</v>
      </c>
      <c r="L23" s="174"/>
      <c r="M23" s="169">
        <v>2284787.75</v>
      </c>
      <c r="N23" s="174"/>
      <c r="O23" s="169">
        <v>-10776222</v>
      </c>
      <c r="P23" s="175"/>
      <c r="Q23" s="169">
        <v>575000</v>
      </c>
      <c r="R23" s="174"/>
      <c r="S23" s="169">
        <v>2904144.0704456815</v>
      </c>
      <c r="U23" s="3">
        <f>+K23-SUM(M23,O23:S23:S23)</f>
        <v>255012290.1795543</v>
      </c>
      <c r="V23" s="22"/>
      <c r="W23" s="128">
        <f t="shared" si="1"/>
        <v>0.04908652636419937</v>
      </c>
      <c r="X23" s="22"/>
      <c r="Y23" s="177">
        <f t="shared" si="2"/>
        <v>250000000</v>
      </c>
      <c r="Z23" s="22"/>
      <c r="AA23" s="177">
        <f t="shared" si="0"/>
        <v>12271631.591049843</v>
      </c>
      <c r="AC23" s="1">
        <f t="shared" si="3"/>
        <v>15</v>
      </c>
      <c r="AD23" s="198"/>
      <c r="AE23" s="127"/>
    </row>
    <row r="24" spans="1:31" ht="12.75">
      <c r="A24" s="186">
        <f t="shared" si="4"/>
        <v>16</v>
      </c>
      <c r="C24" s="164" t="s">
        <v>131</v>
      </c>
      <c r="D24" s="172"/>
      <c r="E24" s="166">
        <v>0.0168</v>
      </c>
      <c r="F24" s="176"/>
      <c r="G24" s="167">
        <v>41638</v>
      </c>
      <c r="H24" s="168"/>
      <c r="I24" s="167">
        <v>40542</v>
      </c>
      <c r="J24" s="163"/>
      <c r="K24" s="169">
        <v>50000000</v>
      </c>
      <c r="L24" s="169"/>
      <c r="M24" s="169">
        <v>296371.8833939787</v>
      </c>
      <c r="N24" s="169"/>
      <c r="O24" s="169">
        <v>0</v>
      </c>
      <c r="P24" s="165"/>
      <c r="Q24" s="169">
        <v>0</v>
      </c>
      <c r="R24" s="169"/>
      <c r="S24" s="169">
        <v>0</v>
      </c>
      <c r="U24" s="3">
        <f>+K24-SUM(M24,O24:S24:S24)</f>
        <v>49703628.11660602</v>
      </c>
      <c r="W24" s="128">
        <f t="shared" si="1"/>
        <v>0.018841469202516142</v>
      </c>
      <c r="Y24" s="177">
        <f t="shared" si="2"/>
        <v>50000000</v>
      </c>
      <c r="AA24" s="177">
        <f t="shared" si="0"/>
        <v>942073.4601258071</v>
      </c>
      <c r="AC24" s="1">
        <f t="shared" si="3"/>
        <v>16</v>
      </c>
      <c r="AD24" s="198"/>
      <c r="AE24" s="127"/>
    </row>
    <row r="25" spans="1:31" ht="12.75">
      <c r="A25" s="186">
        <f t="shared" si="4"/>
        <v>17</v>
      </c>
      <c r="C25" s="164" t="s">
        <v>132</v>
      </c>
      <c r="D25" s="163"/>
      <c r="E25" s="166">
        <v>0.0389</v>
      </c>
      <c r="F25" s="163"/>
      <c r="G25" s="167">
        <v>44185</v>
      </c>
      <c r="H25" s="163"/>
      <c r="I25" s="167">
        <v>40532</v>
      </c>
      <c r="J25" s="163"/>
      <c r="K25" s="169">
        <v>52000000</v>
      </c>
      <c r="L25" s="169"/>
      <c r="M25" s="169">
        <v>375867.38256422064</v>
      </c>
      <c r="N25" s="169"/>
      <c r="O25" s="169">
        <v>0</v>
      </c>
      <c r="P25" s="163"/>
      <c r="Q25" s="169">
        <v>0</v>
      </c>
      <c r="R25" s="169"/>
      <c r="S25" s="169">
        <v>6273664.222152842</v>
      </c>
      <c r="U25" s="3">
        <f>+K25-SUM(M25,O25:S25:S25)</f>
        <v>45350468.39528294</v>
      </c>
      <c r="W25" s="128">
        <f t="shared" si="1"/>
        <v>0.05575492875994085</v>
      </c>
      <c r="Y25" s="177">
        <f t="shared" si="2"/>
        <v>52000000</v>
      </c>
      <c r="Z25" s="22"/>
      <c r="AA25" s="177">
        <f t="shared" si="0"/>
        <v>2899256.295516924</v>
      </c>
      <c r="AC25" s="1">
        <f t="shared" si="3"/>
        <v>17</v>
      </c>
      <c r="AD25" s="198"/>
      <c r="AE25" s="127"/>
    </row>
    <row r="26" spans="1:31" ht="12.75">
      <c r="A26" s="186">
        <f t="shared" si="4"/>
        <v>18</v>
      </c>
      <c r="C26" s="164" t="s">
        <v>133</v>
      </c>
      <c r="D26" s="163"/>
      <c r="E26" s="166">
        <v>0.0555</v>
      </c>
      <c r="F26" s="163"/>
      <c r="G26" s="167">
        <v>51490</v>
      </c>
      <c r="H26" s="163"/>
      <c r="I26" s="167">
        <v>40532</v>
      </c>
      <c r="J26" s="163"/>
      <c r="K26" s="169">
        <v>35000000</v>
      </c>
      <c r="L26" s="169"/>
      <c r="M26" s="169">
        <v>252987.66134130233</v>
      </c>
      <c r="N26" s="169"/>
      <c r="O26" s="169">
        <v>0</v>
      </c>
      <c r="P26" s="163"/>
      <c r="Q26" s="169">
        <v>0</v>
      </c>
      <c r="R26" s="169"/>
      <c r="S26" s="169">
        <v>5263821.649589837</v>
      </c>
      <c r="U26" s="3">
        <f>+K26-SUM(M26,O26:S26:S26)</f>
        <v>29483190.68906886</v>
      </c>
      <c r="V26" s="22"/>
      <c r="W26" s="128">
        <f t="shared" si="1"/>
        <v>0.06786749710969099</v>
      </c>
      <c r="X26" s="22"/>
      <c r="Y26" s="177">
        <f t="shared" si="2"/>
        <v>35000000</v>
      </c>
      <c r="Z26" s="130"/>
      <c r="AA26" s="177">
        <f t="shared" si="0"/>
        <v>2375362.3988391845</v>
      </c>
      <c r="AC26" s="1">
        <f t="shared" si="3"/>
        <v>18</v>
      </c>
      <c r="AD26" s="198"/>
      <c r="AE26" s="127"/>
    </row>
    <row r="27" spans="1:31" ht="12.75">
      <c r="A27" s="186">
        <f t="shared" si="4"/>
        <v>19</v>
      </c>
      <c r="C27" s="183" t="s">
        <v>134</v>
      </c>
      <c r="D27" s="190">
        <v>3</v>
      </c>
      <c r="E27" s="166">
        <v>0.0575</v>
      </c>
      <c r="F27" s="130">
        <v>4</v>
      </c>
      <c r="G27" s="18">
        <v>48488</v>
      </c>
      <c r="H27" s="130"/>
      <c r="I27" s="18">
        <v>40724</v>
      </c>
      <c r="K27" s="169">
        <v>66700000</v>
      </c>
      <c r="M27" s="169">
        <f>+K27*0.01</f>
        <v>667000</v>
      </c>
      <c r="N27" s="130">
        <v>5</v>
      </c>
      <c r="P27" s="3"/>
      <c r="S27" s="169">
        <v>3328417.01</v>
      </c>
      <c r="T27" s="190">
        <v>6</v>
      </c>
      <c r="U27" s="3">
        <f>+K27-SUM(M27,O27:S27:S27)</f>
        <v>62704582.99</v>
      </c>
      <c r="V27" s="22"/>
      <c r="W27" s="128">
        <f t="shared" si="1"/>
        <v>0.06262708738346641</v>
      </c>
      <c r="X27" s="22"/>
      <c r="Y27" s="177">
        <f t="shared" si="2"/>
        <v>66700000</v>
      </c>
      <c r="Z27" s="22"/>
      <c r="AA27" s="177">
        <f t="shared" si="0"/>
        <v>4177226.7284772093</v>
      </c>
      <c r="AC27" s="1">
        <f t="shared" si="3"/>
        <v>19</v>
      </c>
      <c r="AD27" s="27"/>
      <c r="AE27" s="129"/>
    </row>
    <row r="28" spans="1:31" ht="12.75">
      <c r="A28" s="186">
        <f t="shared" si="4"/>
        <v>20</v>
      </c>
      <c r="C28" s="183" t="s">
        <v>135</v>
      </c>
      <c r="D28" s="190">
        <v>3</v>
      </c>
      <c r="E28" s="166">
        <v>0.058</v>
      </c>
      <c r="F28" s="130">
        <v>4</v>
      </c>
      <c r="G28" s="181">
        <v>49004</v>
      </c>
      <c r="H28" s="130"/>
      <c r="I28" s="181">
        <v>40724</v>
      </c>
      <c r="K28" s="169">
        <v>17000000</v>
      </c>
      <c r="M28" s="169">
        <f>+K28*0.01</f>
        <v>170000</v>
      </c>
      <c r="N28" s="130">
        <v>5</v>
      </c>
      <c r="P28" s="3"/>
      <c r="S28" s="169">
        <v>1864244.39</v>
      </c>
      <c r="T28" s="190">
        <v>6</v>
      </c>
      <c r="U28" s="3">
        <f>+K28-SUM(M28,O28:S28:S28)</f>
        <v>14965755.61</v>
      </c>
      <c r="V28" s="22"/>
      <c r="W28" s="128">
        <f t="shared" si="1"/>
        <v>0.06845805141382652</v>
      </c>
      <c r="X28" s="22"/>
      <c r="Y28" s="189">
        <f t="shared" si="2"/>
        <v>17000000</v>
      </c>
      <c r="Z28" s="22"/>
      <c r="AA28" s="189">
        <f t="shared" si="0"/>
        <v>1163786.8740350509</v>
      </c>
      <c r="AC28" s="1">
        <f t="shared" si="3"/>
        <v>20</v>
      </c>
      <c r="AD28" s="27"/>
      <c r="AE28" s="129"/>
    </row>
    <row r="29" spans="1:29" ht="12.95" customHeight="1">
      <c r="A29" s="186">
        <f t="shared" si="4"/>
        <v>21</v>
      </c>
      <c r="H29" s="6"/>
      <c r="M29" s="169"/>
      <c r="S29" s="169"/>
      <c r="U29" s="21"/>
      <c r="W29" s="20">
        <f>AA29/Y29</f>
        <v>0.05844816195065893</v>
      </c>
      <c r="Y29" s="21">
        <f>+SUM(Y9:Y28)</f>
        <v>1222800000</v>
      </c>
      <c r="AA29" s="21">
        <f>SUM(AA9:AA28)</f>
        <v>71470412.43326575</v>
      </c>
      <c r="AC29" s="1">
        <f>+A29</f>
        <v>21</v>
      </c>
    </row>
    <row r="30" spans="1:29" ht="12.75">
      <c r="A30" s="186">
        <f t="shared" si="4"/>
        <v>22</v>
      </c>
      <c r="E30" s="23"/>
      <c r="G30" s="18"/>
      <c r="I30" s="18"/>
      <c r="W30" s="20"/>
      <c r="Y30" s="21"/>
      <c r="Z30" s="22"/>
      <c r="AA30" s="131"/>
      <c r="AC30" s="1">
        <f t="shared" si="3"/>
        <v>22</v>
      </c>
    </row>
    <row r="31" spans="1:31" ht="12.75">
      <c r="A31" s="186">
        <f t="shared" si="4"/>
        <v>23</v>
      </c>
      <c r="C31" s="156" t="s">
        <v>19</v>
      </c>
      <c r="D31" s="190">
        <v>7</v>
      </c>
      <c r="E31" s="161">
        <v>0.0885</v>
      </c>
      <c r="F31" s="155"/>
      <c r="G31" s="160">
        <v>46909</v>
      </c>
      <c r="H31" s="159"/>
      <c r="I31" s="158">
        <v>37400</v>
      </c>
      <c r="J31" s="155"/>
      <c r="K31" s="157">
        <v>10000000</v>
      </c>
      <c r="L31" s="155"/>
      <c r="M31" s="155"/>
      <c r="N31" s="155"/>
      <c r="O31" s="155"/>
      <c r="P31" s="155"/>
      <c r="Q31" s="155"/>
      <c r="R31" s="155"/>
      <c r="S31" s="169">
        <v>-2228153</v>
      </c>
      <c r="U31" s="21">
        <f>K31-M31-S31</f>
        <v>12228153</v>
      </c>
      <c r="V31" s="22"/>
      <c r="W31" s="25">
        <f>YIELD(I31,G31,E31,U31/K31*100,100,2,0)</f>
        <v>0.06980983104449971</v>
      </c>
      <c r="X31" s="190"/>
      <c r="Y31" s="21"/>
      <c r="Z31" s="45"/>
      <c r="AA31" s="169">
        <f>-PMT(W31,(YEAR(G31)-YEAR(I31)),S31)</f>
        <v>-188084.26632318582</v>
      </c>
      <c r="AB31" s="190">
        <v>8</v>
      </c>
      <c r="AC31" s="1">
        <f t="shared" si="3"/>
        <v>23</v>
      </c>
      <c r="AD31" s="23"/>
      <c r="AE31" s="3"/>
    </row>
    <row r="32" spans="1:31" ht="12.75">
      <c r="A32" s="186">
        <f t="shared" si="4"/>
        <v>24</v>
      </c>
      <c r="C32" s="156" t="s">
        <v>19</v>
      </c>
      <c r="D32" s="190">
        <v>7</v>
      </c>
      <c r="E32" s="161">
        <v>0.0883</v>
      </c>
      <c r="F32" s="155"/>
      <c r="G32" s="160">
        <v>46909</v>
      </c>
      <c r="H32" s="159"/>
      <c r="I32" s="158">
        <v>37714</v>
      </c>
      <c r="J32" s="155"/>
      <c r="K32" s="157">
        <v>10000000</v>
      </c>
      <c r="L32" s="155"/>
      <c r="M32" s="155"/>
      <c r="N32" s="155"/>
      <c r="O32" s="155"/>
      <c r="P32" s="155"/>
      <c r="Q32" s="155"/>
      <c r="R32" s="155"/>
      <c r="S32" s="169">
        <v>-407636.99999999994</v>
      </c>
      <c r="U32" s="21">
        <f>K32-M32-S32</f>
        <v>10407637</v>
      </c>
      <c r="V32" s="22"/>
      <c r="W32" s="25">
        <f>YIELD(I32,G32,E32,U32/K32*100,100,2,0)</f>
        <v>0.08435062511389356</v>
      </c>
      <c r="X32" s="190"/>
      <c r="Y32" s="21"/>
      <c r="Z32" s="45"/>
      <c r="AA32" s="169">
        <f aca="true" t="shared" si="5" ref="AA32:AA34">-PMT(W32,(YEAR(G32)-YEAR(I32)),S32)</f>
        <v>-39615.940419215534</v>
      </c>
      <c r="AB32" s="190">
        <v>8</v>
      </c>
      <c r="AC32" s="1">
        <f t="shared" si="3"/>
        <v>24</v>
      </c>
      <c r="AD32" s="23"/>
      <c r="AE32" s="3"/>
    </row>
    <row r="33" spans="1:32" ht="12.75">
      <c r="A33" s="186">
        <f t="shared" si="4"/>
        <v>25</v>
      </c>
      <c r="C33" s="156" t="s">
        <v>19</v>
      </c>
      <c r="D33" s="190">
        <v>7</v>
      </c>
      <c r="E33" s="161">
        <v>0.0883</v>
      </c>
      <c r="F33" s="155"/>
      <c r="G33" s="160">
        <v>44924</v>
      </c>
      <c r="H33" s="159"/>
      <c r="I33" s="158">
        <v>37691</v>
      </c>
      <c r="J33" s="155"/>
      <c r="K33" s="157">
        <v>5000000</v>
      </c>
      <c r="L33" s="155"/>
      <c r="M33" s="155"/>
      <c r="N33" s="155"/>
      <c r="O33" s="155"/>
      <c r="P33" s="155"/>
      <c r="Q33" s="155"/>
      <c r="R33" s="155"/>
      <c r="S33" s="169">
        <v>92363.00000000003</v>
      </c>
      <c r="U33" s="21">
        <f>K33-M33-S33</f>
        <v>4907637</v>
      </c>
      <c r="V33" s="22"/>
      <c r="W33" s="25">
        <f>YIELD(I33,G33,E33,U33/K33*100,100,2,0)</f>
        <v>0.09029381597952776</v>
      </c>
      <c r="X33" s="190"/>
      <c r="Y33" s="21"/>
      <c r="Z33" s="45"/>
      <c r="AA33" s="169">
        <f t="shared" si="5"/>
        <v>10340.69316564882</v>
      </c>
      <c r="AB33" s="190">
        <v>8</v>
      </c>
      <c r="AC33" s="1">
        <f t="shared" si="3"/>
        <v>25</v>
      </c>
      <c r="AD33" s="23"/>
      <c r="AE33" s="3"/>
      <c r="AF33" s="58"/>
    </row>
    <row r="34" spans="1:31" ht="12.75">
      <c r="A34" s="186">
        <f t="shared" si="4"/>
        <v>26</v>
      </c>
      <c r="C34" s="156" t="s">
        <v>19</v>
      </c>
      <c r="D34" s="190">
        <v>7</v>
      </c>
      <c r="E34" s="161">
        <v>0.0837</v>
      </c>
      <c r="F34" s="155"/>
      <c r="G34" s="160">
        <v>41162</v>
      </c>
      <c r="H34" s="159"/>
      <c r="I34" s="158">
        <v>37809</v>
      </c>
      <c r="J34" s="155"/>
      <c r="K34" s="157">
        <v>12000000</v>
      </c>
      <c r="L34" s="155"/>
      <c r="M34" s="155"/>
      <c r="N34" s="155"/>
      <c r="O34" s="155"/>
      <c r="P34" s="155"/>
      <c r="Q34" s="155"/>
      <c r="R34" s="155"/>
      <c r="S34" s="169">
        <v>357673.55</v>
      </c>
      <c r="U34" s="21">
        <f>K34-M34-S34</f>
        <v>11642326.45</v>
      </c>
      <c r="V34" s="22"/>
      <c r="W34" s="25">
        <f>YIELD(I34,G34,E34,U34/K34*100,100,2,0)</f>
        <v>0.08847798231923615</v>
      </c>
      <c r="X34" s="190"/>
      <c r="Y34" s="178"/>
      <c r="Z34" s="45"/>
      <c r="AA34" s="133">
        <f t="shared" si="5"/>
        <v>59290.883164628554</v>
      </c>
      <c r="AB34" s="190">
        <v>8</v>
      </c>
      <c r="AC34" s="1">
        <f t="shared" si="3"/>
        <v>26</v>
      </c>
      <c r="AD34" s="23"/>
      <c r="AE34" s="3"/>
    </row>
    <row r="35" spans="1:29" ht="12.75">
      <c r="A35" s="186">
        <f t="shared" si="4"/>
        <v>27</v>
      </c>
      <c r="E35" s="1"/>
      <c r="G35" s="1"/>
      <c r="I35" s="1"/>
      <c r="K35" s="1"/>
      <c r="S35" s="1"/>
      <c r="U35" s="1"/>
      <c r="W35" s="25"/>
      <c r="Y35" s="132">
        <f>+SUM(Y29:Y34)</f>
        <v>1222800000</v>
      </c>
      <c r="AA35" s="132">
        <f>+SUM(AA29:AA34)</f>
        <v>71312343.80285363</v>
      </c>
      <c r="AC35" s="1">
        <f t="shared" si="3"/>
        <v>27</v>
      </c>
    </row>
    <row r="36" spans="1:29" ht="12.75">
      <c r="A36" s="186">
        <f t="shared" si="4"/>
        <v>28</v>
      </c>
      <c r="E36" s="23"/>
      <c r="F36" s="15"/>
      <c r="AC36" s="1">
        <f t="shared" si="3"/>
        <v>28</v>
      </c>
    </row>
    <row r="37" spans="1:31" ht="12.75">
      <c r="A37" s="187">
        <f t="shared" si="4"/>
        <v>29</v>
      </c>
      <c r="D37" s="134">
        <v>8</v>
      </c>
      <c r="E37" s="3" t="s">
        <v>37</v>
      </c>
      <c r="K37" s="3">
        <f>+'Exhibit No.  MTT-2 Page 5'!P7</f>
        <v>81717375</v>
      </c>
      <c r="L37" s="182">
        <v>9</v>
      </c>
      <c r="U37" s="21"/>
      <c r="W37" s="20">
        <f>+'Exhibit No.  MTT-2 Page 5'!P20</f>
        <v>0.04693049398664197</v>
      </c>
      <c r="X37" s="190">
        <v>9</v>
      </c>
      <c r="Y37" s="3">
        <f>+K37</f>
        <v>81717375</v>
      </c>
      <c r="Z37" s="190">
        <v>10</v>
      </c>
      <c r="AA37" s="3">
        <f>+Y37*W37</f>
        <v>3835036.776041667</v>
      </c>
      <c r="AC37" s="1">
        <f t="shared" si="3"/>
        <v>29</v>
      </c>
      <c r="AE37" s="26"/>
    </row>
    <row r="38" spans="1:29" ht="12" thickBot="1">
      <c r="A38" s="187">
        <f t="shared" si="4"/>
        <v>30</v>
      </c>
      <c r="F38" s="135" t="str">
        <f>"WA TOTAL DEBT OUTSTANDING AND COST OF DEBT AT "&amp;TEXT(Y7,"mmmm d, yyyy")</f>
        <v>WA TOTAL DEBT OUTSTANDING AND COST OF DEBT AT December 31, 2011</v>
      </c>
      <c r="U38" s="29"/>
      <c r="W38" s="1"/>
      <c r="Y38" s="28">
        <f>SUM(Y35:Y37)</f>
        <v>1304517375</v>
      </c>
      <c r="AA38" s="28">
        <f>SUM(AA35:AA37)</f>
        <v>75147380.5788953</v>
      </c>
      <c r="AC38" s="1">
        <f t="shared" si="3"/>
        <v>30</v>
      </c>
    </row>
    <row r="39" spans="1:29" ht="12" thickTop="1">
      <c r="A39" s="187">
        <f t="shared" si="4"/>
        <v>31</v>
      </c>
      <c r="U39" s="17"/>
      <c r="AC39" s="1">
        <f t="shared" si="3"/>
        <v>31</v>
      </c>
    </row>
    <row r="40" spans="1:29" ht="12.75">
      <c r="A40" s="187">
        <f t="shared" si="4"/>
        <v>32</v>
      </c>
      <c r="U40" s="136" t="s">
        <v>117</v>
      </c>
      <c r="V40" s="137"/>
      <c r="W40" s="136"/>
      <c r="X40" s="137"/>
      <c r="Y40" s="24"/>
      <c r="Z40" s="137"/>
      <c r="AA40" s="136">
        <f>AA38/Y38</f>
        <v>0.05760550378173024</v>
      </c>
      <c r="AC40" s="1">
        <f t="shared" si="3"/>
        <v>32</v>
      </c>
    </row>
    <row r="41" spans="1:29" ht="12.75">
      <c r="A41" s="187">
        <f t="shared" si="4"/>
        <v>33</v>
      </c>
      <c r="B41" s="134">
        <v>1</v>
      </c>
      <c r="C41" s="3" t="s">
        <v>116</v>
      </c>
      <c r="U41" s="17"/>
      <c r="Y41" s="21"/>
      <c r="AA41" s="21"/>
      <c r="AC41" s="1">
        <f t="shared" si="3"/>
        <v>33</v>
      </c>
    </row>
    <row r="42" spans="1:29" ht="12.75">
      <c r="A42" s="187">
        <f t="shared" si="4"/>
        <v>34</v>
      </c>
      <c r="B42" s="190">
        <v>2</v>
      </c>
      <c r="C42" s="183" t="s">
        <v>140</v>
      </c>
      <c r="D42" s="15"/>
      <c r="E42" s="1"/>
      <c r="G42" s="1"/>
      <c r="U42" s="17"/>
      <c r="W42" s="27"/>
      <c r="Y42" s="21"/>
      <c r="AA42" s="21"/>
      <c r="AC42" s="1">
        <f t="shared" si="3"/>
        <v>34</v>
      </c>
    </row>
    <row r="43" spans="1:29" s="187" customFormat="1" ht="12.75">
      <c r="A43" s="187">
        <f t="shared" si="4"/>
        <v>35</v>
      </c>
      <c r="B43" s="134">
        <v>3</v>
      </c>
      <c r="C43" s="187" t="s">
        <v>155</v>
      </c>
      <c r="D43" s="170"/>
      <c r="I43" s="165"/>
      <c r="K43" s="165"/>
      <c r="M43" s="165"/>
      <c r="O43" s="165"/>
      <c r="Q43" s="165"/>
      <c r="S43" s="165"/>
      <c r="U43" s="17"/>
      <c r="W43" s="27"/>
      <c r="Y43" s="188"/>
      <c r="AA43" s="188"/>
      <c r="AC43" s="187">
        <f t="shared" si="3"/>
        <v>35</v>
      </c>
    </row>
    <row r="44" spans="1:29" ht="12.75">
      <c r="A44" s="187">
        <f t="shared" si="4"/>
        <v>36</v>
      </c>
      <c r="B44" s="190">
        <v>4</v>
      </c>
      <c r="C44" s="187" t="s">
        <v>154</v>
      </c>
      <c r="D44" s="15"/>
      <c r="I44" s="1"/>
      <c r="Q44" s="138"/>
      <c r="Y44" s="131"/>
      <c r="AA44" s="21"/>
      <c r="AC44" s="187">
        <f t="shared" si="3"/>
        <v>36</v>
      </c>
    </row>
    <row r="45" spans="1:29" ht="12.75">
      <c r="A45" s="187">
        <f t="shared" si="4"/>
        <v>37</v>
      </c>
      <c r="B45" s="134">
        <v>5</v>
      </c>
      <c r="C45" s="187" t="s">
        <v>146</v>
      </c>
      <c r="D45" s="15"/>
      <c r="K45" s="1"/>
      <c r="M45" s="1"/>
      <c r="O45" s="1"/>
      <c r="Q45" s="1"/>
      <c r="S45" s="1"/>
      <c r="U45" s="1"/>
      <c r="Y45" s="192"/>
      <c r="AA45" s="1"/>
      <c r="AC45" s="187">
        <f t="shared" si="3"/>
        <v>37</v>
      </c>
    </row>
    <row r="46" spans="1:29" ht="12.75">
      <c r="A46" s="187">
        <f t="shared" si="4"/>
        <v>38</v>
      </c>
      <c r="B46" s="190">
        <v>6</v>
      </c>
      <c r="C46" s="187" t="s">
        <v>139</v>
      </c>
      <c r="D46" s="15"/>
      <c r="Y46" s="192"/>
      <c r="AC46" s="187">
        <f t="shared" si="3"/>
        <v>38</v>
      </c>
    </row>
    <row r="47" spans="1:29" ht="12.75">
      <c r="A47" s="187">
        <f t="shared" si="4"/>
        <v>39</v>
      </c>
      <c r="B47" s="134">
        <v>7</v>
      </c>
      <c r="C47" s="187" t="s">
        <v>137</v>
      </c>
      <c r="D47" s="15"/>
      <c r="AC47" s="187">
        <f t="shared" si="3"/>
        <v>39</v>
      </c>
    </row>
    <row r="48" spans="1:29" ht="12.75">
      <c r="A48" s="187">
        <f t="shared" si="4"/>
        <v>40</v>
      </c>
      <c r="B48" s="190">
        <v>8</v>
      </c>
      <c r="C48" s="187" t="s">
        <v>138</v>
      </c>
      <c r="AC48" s="187">
        <f t="shared" si="3"/>
        <v>40</v>
      </c>
    </row>
    <row r="49" spans="1:29" ht="12.75">
      <c r="A49" s="187">
        <f t="shared" si="4"/>
        <v>41</v>
      </c>
      <c r="B49" s="134">
        <v>9</v>
      </c>
      <c r="C49" s="183" t="s">
        <v>141</v>
      </c>
      <c r="AC49" s="187">
        <f t="shared" si="3"/>
        <v>41</v>
      </c>
    </row>
    <row r="50" spans="1:29" ht="12.75">
      <c r="A50" s="187">
        <f t="shared" si="4"/>
        <v>42</v>
      </c>
      <c r="B50" s="190">
        <v>10</v>
      </c>
      <c r="C50" s="187" t="s">
        <v>142</v>
      </c>
      <c r="AC50" s="187">
        <f t="shared" si="3"/>
        <v>42</v>
      </c>
    </row>
    <row r="51" spans="1:29" ht="12.75">
      <c r="A51" s="187">
        <f t="shared" si="4"/>
        <v>43</v>
      </c>
      <c r="B51" s="139"/>
      <c r="AC51" s="187">
        <f t="shared" si="3"/>
        <v>43</v>
      </c>
    </row>
    <row r="52" spans="1:29" ht="12.75">
      <c r="A52" s="187">
        <f t="shared" si="4"/>
        <v>44</v>
      </c>
      <c r="B52" s="45"/>
      <c r="G52" s="3"/>
      <c r="AC52" s="187">
        <f t="shared" si="3"/>
        <v>44</v>
      </c>
    </row>
    <row r="53" spans="1:29" ht="12.75">
      <c r="A53" s="187">
        <f t="shared" si="4"/>
        <v>45</v>
      </c>
      <c r="B53" s="45"/>
      <c r="AC53" s="187">
        <f t="shared" si="3"/>
        <v>45</v>
      </c>
    </row>
    <row r="55" ht="12.75">
      <c r="G55" s="62"/>
    </row>
  </sheetData>
  <mergeCells count="3">
    <mergeCell ref="A1:AC1"/>
    <mergeCell ref="A2:AC2"/>
    <mergeCell ref="A3:AC3"/>
  </mergeCells>
  <conditionalFormatting sqref="I9:I28 G9:G28">
    <cfRule type="expression" priority="3" dxfId="0" stopIfTrue="1">
      <formula>(G9&lt;#REF!)</formula>
    </cfRule>
  </conditionalFormatting>
  <printOptions/>
  <pageMargins left="0.48" right="0.48" top="1.42" bottom="0.5" header="0.97" footer="0.5"/>
  <pageSetup fitToHeight="1" fitToWidth="1" horizontalDpi="600" verticalDpi="600" orientation="landscape" scale="63" r:id="rId1"/>
  <headerFooter alignWithMargins="0">
    <oddHeader>&amp;RExhibit No.___(MTT-2)</oddHead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 topLeftCell="A1">
      <selection activeCell="C4" sqref="C4"/>
    </sheetView>
  </sheetViews>
  <sheetFormatPr defaultColWidth="9.140625" defaultRowHeight="12.75"/>
  <cols>
    <col min="1" max="1" width="4.7109375" style="72" customWidth="1"/>
    <col min="2" max="2" width="24.28125" style="72" customWidth="1"/>
    <col min="3" max="3" width="10.140625" style="72" bestFit="1" customWidth="1"/>
    <col min="4" max="12" width="10.7109375" style="72" bestFit="1" customWidth="1"/>
    <col min="13" max="13" width="10.7109375" style="72" customWidth="1"/>
    <col min="14" max="14" width="10.7109375" style="72" bestFit="1" customWidth="1"/>
    <col min="15" max="15" width="10.7109375" style="72" customWidth="1"/>
    <col min="16" max="16" width="12.7109375" style="72" customWidth="1"/>
    <col min="17" max="256" width="9.140625" style="72" customWidth="1"/>
    <col min="257" max="257" width="4.7109375" style="72" customWidth="1"/>
    <col min="258" max="258" width="24.28125" style="72" customWidth="1"/>
    <col min="259" max="259" width="10.140625" style="72" bestFit="1" customWidth="1"/>
    <col min="260" max="268" width="10.7109375" style="72" bestFit="1" customWidth="1"/>
    <col min="269" max="269" width="10.7109375" style="72" customWidth="1"/>
    <col min="270" max="270" width="10.7109375" style="72" bestFit="1" customWidth="1"/>
    <col min="271" max="271" width="10.7109375" style="72" customWidth="1"/>
    <col min="272" max="272" width="12.7109375" style="72" customWidth="1"/>
    <col min="273" max="512" width="9.140625" style="72" customWidth="1"/>
    <col min="513" max="513" width="4.7109375" style="72" customWidth="1"/>
    <col min="514" max="514" width="24.28125" style="72" customWidth="1"/>
    <col min="515" max="515" width="10.140625" style="72" bestFit="1" customWidth="1"/>
    <col min="516" max="524" width="10.7109375" style="72" bestFit="1" customWidth="1"/>
    <col min="525" max="525" width="10.7109375" style="72" customWidth="1"/>
    <col min="526" max="526" width="10.7109375" style="72" bestFit="1" customWidth="1"/>
    <col min="527" max="527" width="10.7109375" style="72" customWidth="1"/>
    <col min="528" max="528" width="12.7109375" style="72" customWidth="1"/>
    <col min="529" max="768" width="9.140625" style="72" customWidth="1"/>
    <col min="769" max="769" width="4.7109375" style="72" customWidth="1"/>
    <col min="770" max="770" width="24.28125" style="72" customWidth="1"/>
    <col min="771" max="771" width="10.140625" style="72" bestFit="1" customWidth="1"/>
    <col min="772" max="780" width="10.7109375" style="72" bestFit="1" customWidth="1"/>
    <col min="781" max="781" width="10.7109375" style="72" customWidth="1"/>
    <col min="782" max="782" width="10.7109375" style="72" bestFit="1" customWidth="1"/>
    <col min="783" max="783" width="10.7109375" style="72" customWidth="1"/>
    <col min="784" max="784" width="12.7109375" style="72" customWidth="1"/>
    <col min="785" max="1024" width="9.140625" style="72" customWidth="1"/>
    <col min="1025" max="1025" width="4.7109375" style="72" customWidth="1"/>
    <col min="1026" max="1026" width="24.28125" style="72" customWidth="1"/>
    <col min="1027" max="1027" width="10.140625" style="72" bestFit="1" customWidth="1"/>
    <col min="1028" max="1036" width="10.7109375" style="72" bestFit="1" customWidth="1"/>
    <col min="1037" max="1037" width="10.7109375" style="72" customWidth="1"/>
    <col min="1038" max="1038" width="10.7109375" style="72" bestFit="1" customWidth="1"/>
    <col min="1039" max="1039" width="10.7109375" style="72" customWidth="1"/>
    <col min="1040" max="1040" width="12.7109375" style="72" customWidth="1"/>
    <col min="1041" max="1280" width="9.140625" style="72" customWidth="1"/>
    <col min="1281" max="1281" width="4.7109375" style="72" customWidth="1"/>
    <col min="1282" max="1282" width="24.28125" style="72" customWidth="1"/>
    <col min="1283" max="1283" width="10.140625" style="72" bestFit="1" customWidth="1"/>
    <col min="1284" max="1292" width="10.7109375" style="72" bestFit="1" customWidth="1"/>
    <col min="1293" max="1293" width="10.7109375" style="72" customWidth="1"/>
    <col min="1294" max="1294" width="10.7109375" style="72" bestFit="1" customWidth="1"/>
    <col min="1295" max="1295" width="10.7109375" style="72" customWidth="1"/>
    <col min="1296" max="1296" width="12.7109375" style="72" customWidth="1"/>
    <col min="1297" max="1536" width="9.140625" style="72" customWidth="1"/>
    <col min="1537" max="1537" width="4.7109375" style="72" customWidth="1"/>
    <col min="1538" max="1538" width="24.28125" style="72" customWidth="1"/>
    <col min="1539" max="1539" width="10.140625" style="72" bestFit="1" customWidth="1"/>
    <col min="1540" max="1548" width="10.7109375" style="72" bestFit="1" customWidth="1"/>
    <col min="1549" max="1549" width="10.7109375" style="72" customWidth="1"/>
    <col min="1550" max="1550" width="10.7109375" style="72" bestFit="1" customWidth="1"/>
    <col min="1551" max="1551" width="10.7109375" style="72" customWidth="1"/>
    <col min="1552" max="1552" width="12.7109375" style="72" customWidth="1"/>
    <col min="1553" max="1792" width="9.140625" style="72" customWidth="1"/>
    <col min="1793" max="1793" width="4.7109375" style="72" customWidth="1"/>
    <col min="1794" max="1794" width="24.28125" style="72" customWidth="1"/>
    <col min="1795" max="1795" width="10.140625" style="72" bestFit="1" customWidth="1"/>
    <col min="1796" max="1804" width="10.7109375" style="72" bestFit="1" customWidth="1"/>
    <col min="1805" max="1805" width="10.7109375" style="72" customWidth="1"/>
    <col min="1806" max="1806" width="10.7109375" style="72" bestFit="1" customWidth="1"/>
    <col min="1807" max="1807" width="10.7109375" style="72" customWidth="1"/>
    <col min="1808" max="1808" width="12.7109375" style="72" customWidth="1"/>
    <col min="1809" max="2048" width="9.140625" style="72" customWidth="1"/>
    <col min="2049" max="2049" width="4.7109375" style="72" customWidth="1"/>
    <col min="2050" max="2050" width="24.28125" style="72" customWidth="1"/>
    <col min="2051" max="2051" width="10.140625" style="72" bestFit="1" customWidth="1"/>
    <col min="2052" max="2060" width="10.7109375" style="72" bestFit="1" customWidth="1"/>
    <col min="2061" max="2061" width="10.7109375" style="72" customWidth="1"/>
    <col min="2062" max="2062" width="10.7109375" style="72" bestFit="1" customWidth="1"/>
    <col min="2063" max="2063" width="10.7109375" style="72" customWidth="1"/>
    <col min="2064" max="2064" width="12.7109375" style="72" customWidth="1"/>
    <col min="2065" max="2304" width="9.140625" style="72" customWidth="1"/>
    <col min="2305" max="2305" width="4.7109375" style="72" customWidth="1"/>
    <col min="2306" max="2306" width="24.28125" style="72" customWidth="1"/>
    <col min="2307" max="2307" width="10.140625" style="72" bestFit="1" customWidth="1"/>
    <col min="2308" max="2316" width="10.7109375" style="72" bestFit="1" customWidth="1"/>
    <col min="2317" max="2317" width="10.7109375" style="72" customWidth="1"/>
    <col min="2318" max="2318" width="10.7109375" style="72" bestFit="1" customWidth="1"/>
    <col min="2319" max="2319" width="10.7109375" style="72" customWidth="1"/>
    <col min="2320" max="2320" width="12.7109375" style="72" customWidth="1"/>
    <col min="2321" max="2560" width="9.140625" style="72" customWidth="1"/>
    <col min="2561" max="2561" width="4.7109375" style="72" customWidth="1"/>
    <col min="2562" max="2562" width="24.28125" style="72" customWidth="1"/>
    <col min="2563" max="2563" width="10.140625" style="72" bestFit="1" customWidth="1"/>
    <col min="2564" max="2572" width="10.7109375" style="72" bestFit="1" customWidth="1"/>
    <col min="2573" max="2573" width="10.7109375" style="72" customWidth="1"/>
    <col min="2574" max="2574" width="10.7109375" style="72" bestFit="1" customWidth="1"/>
    <col min="2575" max="2575" width="10.7109375" style="72" customWidth="1"/>
    <col min="2576" max="2576" width="12.7109375" style="72" customWidth="1"/>
    <col min="2577" max="2816" width="9.140625" style="72" customWidth="1"/>
    <col min="2817" max="2817" width="4.7109375" style="72" customWidth="1"/>
    <col min="2818" max="2818" width="24.28125" style="72" customWidth="1"/>
    <col min="2819" max="2819" width="10.140625" style="72" bestFit="1" customWidth="1"/>
    <col min="2820" max="2828" width="10.7109375" style="72" bestFit="1" customWidth="1"/>
    <col min="2829" max="2829" width="10.7109375" style="72" customWidth="1"/>
    <col min="2830" max="2830" width="10.7109375" style="72" bestFit="1" customWidth="1"/>
    <col min="2831" max="2831" width="10.7109375" style="72" customWidth="1"/>
    <col min="2832" max="2832" width="12.7109375" style="72" customWidth="1"/>
    <col min="2833" max="3072" width="9.140625" style="72" customWidth="1"/>
    <col min="3073" max="3073" width="4.7109375" style="72" customWidth="1"/>
    <col min="3074" max="3074" width="24.28125" style="72" customWidth="1"/>
    <col min="3075" max="3075" width="10.140625" style="72" bestFit="1" customWidth="1"/>
    <col min="3076" max="3084" width="10.7109375" style="72" bestFit="1" customWidth="1"/>
    <col min="3085" max="3085" width="10.7109375" style="72" customWidth="1"/>
    <col min="3086" max="3086" width="10.7109375" style="72" bestFit="1" customWidth="1"/>
    <col min="3087" max="3087" width="10.7109375" style="72" customWidth="1"/>
    <col min="3088" max="3088" width="12.7109375" style="72" customWidth="1"/>
    <col min="3089" max="3328" width="9.140625" style="72" customWidth="1"/>
    <col min="3329" max="3329" width="4.7109375" style="72" customWidth="1"/>
    <col min="3330" max="3330" width="24.28125" style="72" customWidth="1"/>
    <col min="3331" max="3331" width="10.140625" style="72" bestFit="1" customWidth="1"/>
    <col min="3332" max="3340" width="10.7109375" style="72" bestFit="1" customWidth="1"/>
    <col min="3341" max="3341" width="10.7109375" style="72" customWidth="1"/>
    <col min="3342" max="3342" width="10.7109375" style="72" bestFit="1" customWidth="1"/>
    <col min="3343" max="3343" width="10.7109375" style="72" customWidth="1"/>
    <col min="3344" max="3344" width="12.7109375" style="72" customWidth="1"/>
    <col min="3345" max="3584" width="9.140625" style="72" customWidth="1"/>
    <col min="3585" max="3585" width="4.7109375" style="72" customWidth="1"/>
    <col min="3586" max="3586" width="24.28125" style="72" customWidth="1"/>
    <col min="3587" max="3587" width="10.140625" style="72" bestFit="1" customWidth="1"/>
    <col min="3588" max="3596" width="10.7109375" style="72" bestFit="1" customWidth="1"/>
    <col min="3597" max="3597" width="10.7109375" style="72" customWidth="1"/>
    <col min="3598" max="3598" width="10.7109375" style="72" bestFit="1" customWidth="1"/>
    <col min="3599" max="3599" width="10.7109375" style="72" customWidth="1"/>
    <col min="3600" max="3600" width="12.7109375" style="72" customWidth="1"/>
    <col min="3601" max="3840" width="9.140625" style="72" customWidth="1"/>
    <col min="3841" max="3841" width="4.7109375" style="72" customWidth="1"/>
    <col min="3842" max="3842" width="24.28125" style="72" customWidth="1"/>
    <col min="3843" max="3843" width="10.140625" style="72" bestFit="1" customWidth="1"/>
    <col min="3844" max="3852" width="10.7109375" style="72" bestFit="1" customWidth="1"/>
    <col min="3853" max="3853" width="10.7109375" style="72" customWidth="1"/>
    <col min="3854" max="3854" width="10.7109375" style="72" bestFit="1" customWidth="1"/>
    <col min="3855" max="3855" width="10.7109375" style="72" customWidth="1"/>
    <col min="3856" max="3856" width="12.7109375" style="72" customWidth="1"/>
    <col min="3857" max="4096" width="9.140625" style="72" customWidth="1"/>
    <col min="4097" max="4097" width="4.7109375" style="72" customWidth="1"/>
    <col min="4098" max="4098" width="24.28125" style="72" customWidth="1"/>
    <col min="4099" max="4099" width="10.140625" style="72" bestFit="1" customWidth="1"/>
    <col min="4100" max="4108" width="10.7109375" style="72" bestFit="1" customWidth="1"/>
    <col min="4109" max="4109" width="10.7109375" style="72" customWidth="1"/>
    <col min="4110" max="4110" width="10.7109375" style="72" bestFit="1" customWidth="1"/>
    <col min="4111" max="4111" width="10.7109375" style="72" customWidth="1"/>
    <col min="4112" max="4112" width="12.7109375" style="72" customWidth="1"/>
    <col min="4113" max="4352" width="9.140625" style="72" customWidth="1"/>
    <col min="4353" max="4353" width="4.7109375" style="72" customWidth="1"/>
    <col min="4354" max="4354" width="24.28125" style="72" customWidth="1"/>
    <col min="4355" max="4355" width="10.140625" style="72" bestFit="1" customWidth="1"/>
    <col min="4356" max="4364" width="10.7109375" style="72" bestFit="1" customWidth="1"/>
    <col min="4365" max="4365" width="10.7109375" style="72" customWidth="1"/>
    <col min="4366" max="4366" width="10.7109375" style="72" bestFit="1" customWidth="1"/>
    <col min="4367" max="4367" width="10.7109375" style="72" customWidth="1"/>
    <col min="4368" max="4368" width="12.7109375" style="72" customWidth="1"/>
    <col min="4369" max="4608" width="9.140625" style="72" customWidth="1"/>
    <col min="4609" max="4609" width="4.7109375" style="72" customWidth="1"/>
    <col min="4610" max="4610" width="24.28125" style="72" customWidth="1"/>
    <col min="4611" max="4611" width="10.140625" style="72" bestFit="1" customWidth="1"/>
    <col min="4612" max="4620" width="10.7109375" style="72" bestFit="1" customWidth="1"/>
    <col min="4621" max="4621" width="10.7109375" style="72" customWidth="1"/>
    <col min="4622" max="4622" width="10.7109375" style="72" bestFit="1" customWidth="1"/>
    <col min="4623" max="4623" width="10.7109375" style="72" customWidth="1"/>
    <col min="4624" max="4624" width="12.7109375" style="72" customWidth="1"/>
    <col min="4625" max="4864" width="9.140625" style="72" customWidth="1"/>
    <col min="4865" max="4865" width="4.7109375" style="72" customWidth="1"/>
    <col min="4866" max="4866" width="24.28125" style="72" customWidth="1"/>
    <col min="4867" max="4867" width="10.140625" style="72" bestFit="1" customWidth="1"/>
    <col min="4868" max="4876" width="10.7109375" style="72" bestFit="1" customWidth="1"/>
    <col min="4877" max="4877" width="10.7109375" style="72" customWidth="1"/>
    <col min="4878" max="4878" width="10.7109375" style="72" bestFit="1" customWidth="1"/>
    <col min="4879" max="4879" width="10.7109375" style="72" customWidth="1"/>
    <col min="4880" max="4880" width="12.7109375" style="72" customWidth="1"/>
    <col min="4881" max="5120" width="9.140625" style="72" customWidth="1"/>
    <col min="5121" max="5121" width="4.7109375" style="72" customWidth="1"/>
    <col min="5122" max="5122" width="24.28125" style="72" customWidth="1"/>
    <col min="5123" max="5123" width="10.140625" style="72" bestFit="1" customWidth="1"/>
    <col min="5124" max="5132" width="10.7109375" style="72" bestFit="1" customWidth="1"/>
    <col min="5133" max="5133" width="10.7109375" style="72" customWidth="1"/>
    <col min="5134" max="5134" width="10.7109375" style="72" bestFit="1" customWidth="1"/>
    <col min="5135" max="5135" width="10.7109375" style="72" customWidth="1"/>
    <col min="5136" max="5136" width="12.7109375" style="72" customWidth="1"/>
    <col min="5137" max="5376" width="9.140625" style="72" customWidth="1"/>
    <col min="5377" max="5377" width="4.7109375" style="72" customWidth="1"/>
    <col min="5378" max="5378" width="24.28125" style="72" customWidth="1"/>
    <col min="5379" max="5379" width="10.140625" style="72" bestFit="1" customWidth="1"/>
    <col min="5380" max="5388" width="10.7109375" style="72" bestFit="1" customWidth="1"/>
    <col min="5389" max="5389" width="10.7109375" style="72" customWidth="1"/>
    <col min="5390" max="5390" width="10.7109375" style="72" bestFit="1" customWidth="1"/>
    <col min="5391" max="5391" width="10.7109375" style="72" customWidth="1"/>
    <col min="5392" max="5392" width="12.7109375" style="72" customWidth="1"/>
    <col min="5393" max="5632" width="9.140625" style="72" customWidth="1"/>
    <col min="5633" max="5633" width="4.7109375" style="72" customWidth="1"/>
    <col min="5634" max="5634" width="24.28125" style="72" customWidth="1"/>
    <col min="5635" max="5635" width="10.140625" style="72" bestFit="1" customWidth="1"/>
    <col min="5636" max="5644" width="10.7109375" style="72" bestFit="1" customWidth="1"/>
    <col min="5645" max="5645" width="10.7109375" style="72" customWidth="1"/>
    <col min="5646" max="5646" width="10.7109375" style="72" bestFit="1" customWidth="1"/>
    <col min="5647" max="5647" width="10.7109375" style="72" customWidth="1"/>
    <col min="5648" max="5648" width="12.7109375" style="72" customWidth="1"/>
    <col min="5649" max="5888" width="9.140625" style="72" customWidth="1"/>
    <col min="5889" max="5889" width="4.7109375" style="72" customWidth="1"/>
    <col min="5890" max="5890" width="24.28125" style="72" customWidth="1"/>
    <col min="5891" max="5891" width="10.140625" style="72" bestFit="1" customWidth="1"/>
    <col min="5892" max="5900" width="10.7109375" style="72" bestFit="1" customWidth="1"/>
    <col min="5901" max="5901" width="10.7109375" style="72" customWidth="1"/>
    <col min="5902" max="5902" width="10.7109375" style="72" bestFit="1" customWidth="1"/>
    <col min="5903" max="5903" width="10.7109375" style="72" customWidth="1"/>
    <col min="5904" max="5904" width="12.7109375" style="72" customWidth="1"/>
    <col min="5905" max="6144" width="9.140625" style="72" customWidth="1"/>
    <col min="6145" max="6145" width="4.7109375" style="72" customWidth="1"/>
    <col min="6146" max="6146" width="24.28125" style="72" customWidth="1"/>
    <col min="6147" max="6147" width="10.140625" style="72" bestFit="1" customWidth="1"/>
    <col min="6148" max="6156" width="10.7109375" style="72" bestFit="1" customWidth="1"/>
    <col min="6157" max="6157" width="10.7109375" style="72" customWidth="1"/>
    <col min="6158" max="6158" width="10.7109375" style="72" bestFit="1" customWidth="1"/>
    <col min="6159" max="6159" width="10.7109375" style="72" customWidth="1"/>
    <col min="6160" max="6160" width="12.7109375" style="72" customWidth="1"/>
    <col min="6161" max="6400" width="9.140625" style="72" customWidth="1"/>
    <col min="6401" max="6401" width="4.7109375" style="72" customWidth="1"/>
    <col min="6402" max="6402" width="24.28125" style="72" customWidth="1"/>
    <col min="6403" max="6403" width="10.140625" style="72" bestFit="1" customWidth="1"/>
    <col min="6404" max="6412" width="10.7109375" style="72" bestFit="1" customWidth="1"/>
    <col min="6413" max="6413" width="10.7109375" style="72" customWidth="1"/>
    <col min="6414" max="6414" width="10.7109375" style="72" bestFit="1" customWidth="1"/>
    <col min="6415" max="6415" width="10.7109375" style="72" customWidth="1"/>
    <col min="6416" max="6416" width="12.7109375" style="72" customWidth="1"/>
    <col min="6417" max="6656" width="9.140625" style="72" customWidth="1"/>
    <col min="6657" max="6657" width="4.7109375" style="72" customWidth="1"/>
    <col min="6658" max="6658" width="24.28125" style="72" customWidth="1"/>
    <col min="6659" max="6659" width="10.140625" style="72" bestFit="1" customWidth="1"/>
    <col min="6660" max="6668" width="10.7109375" style="72" bestFit="1" customWidth="1"/>
    <col min="6669" max="6669" width="10.7109375" style="72" customWidth="1"/>
    <col min="6670" max="6670" width="10.7109375" style="72" bestFit="1" customWidth="1"/>
    <col min="6671" max="6671" width="10.7109375" style="72" customWidth="1"/>
    <col min="6672" max="6672" width="12.7109375" style="72" customWidth="1"/>
    <col min="6673" max="6912" width="9.140625" style="72" customWidth="1"/>
    <col min="6913" max="6913" width="4.7109375" style="72" customWidth="1"/>
    <col min="6914" max="6914" width="24.28125" style="72" customWidth="1"/>
    <col min="6915" max="6915" width="10.140625" style="72" bestFit="1" customWidth="1"/>
    <col min="6916" max="6924" width="10.7109375" style="72" bestFit="1" customWidth="1"/>
    <col min="6925" max="6925" width="10.7109375" style="72" customWidth="1"/>
    <col min="6926" max="6926" width="10.7109375" style="72" bestFit="1" customWidth="1"/>
    <col min="6927" max="6927" width="10.7109375" style="72" customWidth="1"/>
    <col min="6928" max="6928" width="12.7109375" style="72" customWidth="1"/>
    <col min="6929" max="7168" width="9.140625" style="72" customWidth="1"/>
    <col min="7169" max="7169" width="4.7109375" style="72" customWidth="1"/>
    <col min="7170" max="7170" width="24.28125" style="72" customWidth="1"/>
    <col min="7171" max="7171" width="10.140625" style="72" bestFit="1" customWidth="1"/>
    <col min="7172" max="7180" width="10.7109375" style="72" bestFit="1" customWidth="1"/>
    <col min="7181" max="7181" width="10.7109375" style="72" customWidth="1"/>
    <col min="7182" max="7182" width="10.7109375" style="72" bestFit="1" customWidth="1"/>
    <col min="7183" max="7183" width="10.7109375" style="72" customWidth="1"/>
    <col min="7184" max="7184" width="12.7109375" style="72" customWidth="1"/>
    <col min="7185" max="7424" width="9.140625" style="72" customWidth="1"/>
    <col min="7425" max="7425" width="4.7109375" style="72" customWidth="1"/>
    <col min="7426" max="7426" width="24.28125" style="72" customWidth="1"/>
    <col min="7427" max="7427" width="10.140625" style="72" bestFit="1" customWidth="1"/>
    <col min="7428" max="7436" width="10.7109375" style="72" bestFit="1" customWidth="1"/>
    <col min="7437" max="7437" width="10.7109375" style="72" customWidth="1"/>
    <col min="7438" max="7438" width="10.7109375" style="72" bestFit="1" customWidth="1"/>
    <col min="7439" max="7439" width="10.7109375" style="72" customWidth="1"/>
    <col min="7440" max="7440" width="12.7109375" style="72" customWidth="1"/>
    <col min="7441" max="7680" width="9.140625" style="72" customWidth="1"/>
    <col min="7681" max="7681" width="4.7109375" style="72" customWidth="1"/>
    <col min="7682" max="7682" width="24.28125" style="72" customWidth="1"/>
    <col min="7683" max="7683" width="10.140625" style="72" bestFit="1" customWidth="1"/>
    <col min="7684" max="7692" width="10.7109375" style="72" bestFit="1" customWidth="1"/>
    <col min="7693" max="7693" width="10.7109375" style="72" customWidth="1"/>
    <col min="7694" max="7694" width="10.7109375" style="72" bestFit="1" customWidth="1"/>
    <col min="7695" max="7695" width="10.7109375" style="72" customWidth="1"/>
    <col min="7696" max="7696" width="12.7109375" style="72" customWidth="1"/>
    <col min="7697" max="7936" width="9.140625" style="72" customWidth="1"/>
    <col min="7937" max="7937" width="4.7109375" style="72" customWidth="1"/>
    <col min="7938" max="7938" width="24.28125" style="72" customWidth="1"/>
    <col min="7939" max="7939" width="10.140625" style="72" bestFit="1" customWidth="1"/>
    <col min="7940" max="7948" width="10.7109375" style="72" bestFit="1" customWidth="1"/>
    <col min="7949" max="7949" width="10.7109375" style="72" customWidth="1"/>
    <col min="7950" max="7950" width="10.7109375" style="72" bestFit="1" customWidth="1"/>
    <col min="7951" max="7951" width="10.7109375" style="72" customWidth="1"/>
    <col min="7952" max="7952" width="12.7109375" style="72" customWidth="1"/>
    <col min="7953" max="8192" width="9.140625" style="72" customWidth="1"/>
    <col min="8193" max="8193" width="4.7109375" style="72" customWidth="1"/>
    <col min="8194" max="8194" width="24.28125" style="72" customWidth="1"/>
    <col min="8195" max="8195" width="10.140625" style="72" bestFit="1" customWidth="1"/>
    <col min="8196" max="8204" width="10.7109375" style="72" bestFit="1" customWidth="1"/>
    <col min="8205" max="8205" width="10.7109375" style="72" customWidth="1"/>
    <col min="8206" max="8206" width="10.7109375" style="72" bestFit="1" customWidth="1"/>
    <col min="8207" max="8207" width="10.7109375" style="72" customWidth="1"/>
    <col min="8208" max="8208" width="12.7109375" style="72" customWidth="1"/>
    <col min="8209" max="8448" width="9.140625" style="72" customWidth="1"/>
    <col min="8449" max="8449" width="4.7109375" style="72" customWidth="1"/>
    <col min="8450" max="8450" width="24.28125" style="72" customWidth="1"/>
    <col min="8451" max="8451" width="10.140625" style="72" bestFit="1" customWidth="1"/>
    <col min="8452" max="8460" width="10.7109375" style="72" bestFit="1" customWidth="1"/>
    <col min="8461" max="8461" width="10.7109375" style="72" customWidth="1"/>
    <col min="8462" max="8462" width="10.7109375" style="72" bestFit="1" customWidth="1"/>
    <col min="8463" max="8463" width="10.7109375" style="72" customWidth="1"/>
    <col min="8464" max="8464" width="12.7109375" style="72" customWidth="1"/>
    <col min="8465" max="8704" width="9.140625" style="72" customWidth="1"/>
    <col min="8705" max="8705" width="4.7109375" style="72" customWidth="1"/>
    <col min="8706" max="8706" width="24.28125" style="72" customWidth="1"/>
    <col min="8707" max="8707" width="10.140625" style="72" bestFit="1" customWidth="1"/>
    <col min="8708" max="8716" width="10.7109375" style="72" bestFit="1" customWidth="1"/>
    <col min="8717" max="8717" width="10.7109375" style="72" customWidth="1"/>
    <col min="8718" max="8718" width="10.7109375" style="72" bestFit="1" customWidth="1"/>
    <col min="8719" max="8719" width="10.7109375" style="72" customWidth="1"/>
    <col min="8720" max="8720" width="12.7109375" style="72" customWidth="1"/>
    <col min="8721" max="8960" width="9.140625" style="72" customWidth="1"/>
    <col min="8961" max="8961" width="4.7109375" style="72" customWidth="1"/>
    <col min="8962" max="8962" width="24.28125" style="72" customWidth="1"/>
    <col min="8963" max="8963" width="10.140625" style="72" bestFit="1" customWidth="1"/>
    <col min="8964" max="8972" width="10.7109375" style="72" bestFit="1" customWidth="1"/>
    <col min="8973" max="8973" width="10.7109375" style="72" customWidth="1"/>
    <col min="8974" max="8974" width="10.7109375" style="72" bestFit="1" customWidth="1"/>
    <col min="8975" max="8975" width="10.7109375" style="72" customWidth="1"/>
    <col min="8976" max="8976" width="12.7109375" style="72" customWidth="1"/>
    <col min="8977" max="9216" width="9.140625" style="72" customWidth="1"/>
    <col min="9217" max="9217" width="4.7109375" style="72" customWidth="1"/>
    <col min="9218" max="9218" width="24.28125" style="72" customWidth="1"/>
    <col min="9219" max="9219" width="10.140625" style="72" bestFit="1" customWidth="1"/>
    <col min="9220" max="9228" width="10.7109375" style="72" bestFit="1" customWidth="1"/>
    <col min="9229" max="9229" width="10.7109375" style="72" customWidth="1"/>
    <col min="9230" max="9230" width="10.7109375" style="72" bestFit="1" customWidth="1"/>
    <col min="9231" max="9231" width="10.7109375" style="72" customWidth="1"/>
    <col min="9232" max="9232" width="12.7109375" style="72" customWidth="1"/>
    <col min="9233" max="9472" width="9.140625" style="72" customWidth="1"/>
    <col min="9473" max="9473" width="4.7109375" style="72" customWidth="1"/>
    <col min="9474" max="9474" width="24.28125" style="72" customWidth="1"/>
    <col min="9475" max="9475" width="10.140625" style="72" bestFit="1" customWidth="1"/>
    <col min="9476" max="9484" width="10.7109375" style="72" bestFit="1" customWidth="1"/>
    <col min="9485" max="9485" width="10.7109375" style="72" customWidth="1"/>
    <col min="9486" max="9486" width="10.7109375" style="72" bestFit="1" customWidth="1"/>
    <col min="9487" max="9487" width="10.7109375" style="72" customWidth="1"/>
    <col min="9488" max="9488" width="12.7109375" style="72" customWidth="1"/>
    <col min="9489" max="9728" width="9.140625" style="72" customWidth="1"/>
    <col min="9729" max="9729" width="4.7109375" style="72" customWidth="1"/>
    <col min="9730" max="9730" width="24.28125" style="72" customWidth="1"/>
    <col min="9731" max="9731" width="10.140625" style="72" bestFit="1" customWidth="1"/>
    <col min="9732" max="9740" width="10.7109375" style="72" bestFit="1" customWidth="1"/>
    <col min="9741" max="9741" width="10.7109375" style="72" customWidth="1"/>
    <col min="9742" max="9742" width="10.7109375" style="72" bestFit="1" customWidth="1"/>
    <col min="9743" max="9743" width="10.7109375" style="72" customWidth="1"/>
    <col min="9744" max="9744" width="12.7109375" style="72" customWidth="1"/>
    <col min="9745" max="9984" width="9.140625" style="72" customWidth="1"/>
    <col min="9985" max="9985" width="4.7109375" style="72" customWidth="1"/>
    <col min="9986" max="9986" width="24.28125" style="72" customWidth="1"/>
    <col min="9987" max="9987" width="10.140625" style="72" bestFit="1" customWidth="1"/>
    <col min="9988" max="9996" width="10.7109375" style="72" bestFit="1" customWidth="1"/>
    <col min="9997" max="9997" width="10.7109375" style="72" customWidth="1"/>
    <col min="9998" max="9998" width="10.7109375" style="72" bestFit="1" customWidth="1"/>
    <col min="9999" max="9999" width="10.7109375" style="72" customWidth="1"/>
    <col min="10000" max="10000" width="12.7109375" style="72" customWidth="1"/>
    <col min="10001" max="10240" width="9.140625" style="72" customWidth="1"/>
    <col min="10241" max="10241" width="4.7109375" style="72" customWidth="1"/>
    <col min="10242" max="10242" width="24.28125" style="72" customWidth="1"/>
    <col min="10243" max="10243" width="10.140625" style="72" bestFit="1" customWidth="1"/>
    <col min="10244" max="10252" width="10.7109375" style="72" bestFit="1" customWidth="1"/>
    <col min="10253" max="10253" width="10.7109375" style="72" customWidth="1"/>
    <col min="10254" max="10254" width="10.7109375" style="72" bestFit="1" customWidth="1"/>
    <col min="10255" max="10255" width="10.7109375" style="72" customWidth="1"/>
    <col min="10256" max="10256" width="12.7109375" style="72" customWidth="1"/>
    <col min="10257" max="10496" width="9.140625" style="72" customWidth="1"/>
    <col min="10497" max="10497" width="4.7109375" style="72" customWidth="1"/>
    <col min="10498" max="10498" width="24.28125" style="72" customWidth="1"/>
    <col min="10499" max="10499" width="10.140625" style="72" bestFit="1" customWidth="1"/>
    <col min="10500" max="10508" width="10.7109375" style="72" bestFit="1" customWidth="1"/>
    <col min="10509" max="10509" width="10.7109375" style="72" customWidth="1"/>
    <col min="10510" max="10510" width="10.7109375" style="72" bestFit="1" customWidth="1"/>
    <col min="10511" max="10511" width="10.7109375" style="72" customWidth="1"/>
    <col min="10512" max="10512" width="12.7109375" style="72" customWidth="1"/>
    <col min="10513" max="10752" width="9.140625" style="72" customWidth="1"/>
    <col min="10753" max="10753" width="4.7109375" style="72" customWidth="1"/>
    <col min="10754" max="10754" width="24.28125" style="72" customWidth="1"/>
    <col min="10755" max="10755" width="10.140625" style="72" bestFit="1" customWidth="1"/>
    <col min="10756" max="10764" width="10.7109375" style="72" bestFit="1" customWidth="1"/>
    <col min="10765" max="10765" width="10.7109375" style="72" customWidth="1"/>
    <col min="10766" max="10766" width="10.7109375" style="72" bestFit="1" customWidth="1"/>
    <col min="10767" max="10767" width="10.7109375" style="72" customWidth="1"/>
    <col min="10768" max="10768" width="12.7109375" style="72" customWidth="1"/>
    <col min="10769" max="11008" width="9.140625" style="72" customWidth="1"/>
    <col min="11009" max="11009" width="4.7109375" style="72" customWidth="1"/>
    <col min="11010" max="11010" width="24.28125" style="72" customWidth="1"/>
    <col min="11011" max="11011" width="10.140625" style="72" bestFit="1" customWidth="1"/>
    <col min="11012" max="11020" width="10.7109375" style="72" bestFit="1" customWidth="1"/>
    <col min="11021" max="11021" width="10.7109375" style="72" customWidth="1"/>
    <col min="11022" max="11022" width="10.7109375" style="72" bestFit="1" customWidth="1"/>
    <col min="11023" max="11023" width="10.7109375" style="72" customWidth="1"/>
    <col min="11024" max="11024" width="12.7109375" style="72" customWidth="1"/>
    <col min="11025" max="11264" width="9.140625" style="72" customWidth="1"/>
    <col min="11265" max="11265" width="4.7109375" style="72" customWidth="1"/>
    <col min="11266" max="11266" width="24.28125" style="72" customWidth="1"/>
    <col min="11267" max="11267" width="10.140625" style="72" bestFit="1" customWidth="1"/>
    <col min="11268" max="11276" width="10.7109375" style="72" bestFit="1" customWidth="1"/>
    <col min="11277" max="11277" width="10.7109375" style="72" customWidth="1"/>
    <col min="11278" max="11278" width="10.7109375" style="72" bestFit="1" customWidth="1"/>
    <col min="11279" max="11279" width="10.7109375" style="72" customWidth="1"/>
    <col min="11280" max="11280" width="12.7109375" style="72" customWidth="1"/>
    <col min="11281" max="11520" width="9.140625" style="72" customWidth="1"/>
    <col min="11521" max="11521" width="4.7109375" style="72" customWidth="1"/>
    <col min="11522" max="11522" width="24.28125" style="72" customWidth="1"/>
    <col min="11523" max="11523" width="10.140625" style="72" bestFit="1" customWidth="1"/>
    <col min="11524" max="11532" width="10.7109375" style="72" bestFit="1" customWidth="1"/>
    <col min="11533" max="11533" width="10.7109375" style="72" customWidth="1"/>
    <col min="11534" max="11534" width="10.7109375" style="72" bestFit="1" customWidth="1"/>
    <col min="11535" max="11535" width="10.7109375" style="72" customWidth="1"/>
    <col min="11536" max="11536" width="12.7109375" style="72" customWidth="1"/>
    <col min="11537" max="11776" width="9.140625" style="72" customWidth="1"/>
    <col min="11777" max="11777" width="4.7109375" style="72" customWidth="1"/>
    <col min="11778" max="11778" width="24.28125" style="72" customWidth="1"/>
    <col min="11779" max="11779" width="10.140625" style="72" bestFit="1" customWidth="1"/>
    <col min="11780" max="11788" width="10.7109375" style="72" bestFit="1" customWidth="1"/>
    <col min="11789" max="11789" width="10.7109375" style="72" customWidth="1"/>
    <col min="11790" max="11790" width="10.7109375" style="72" bestFit="1" customWidth="1"/>
    <col min="11791" max="11791" width="10.7109375" style="72" customWidth="1"/>
    <col min="11792" max="11792" width="12.7109375" style="72" customWidth="1"/>
    <col min="11793" max="12032" width="9.140625" style="72" customWidth="1"/>
    <col min="12033" max="12033" width="4.7109375" style="72" customWidth="1"/>
    <col min="12034" max="12034" width="24.28125" style="72" customWidth="1"/>
    <col min="12035" max="12035" width="10.140625" style="72" bestFit="1" customWidth="1"/>
    <col min="12036" max="12044" width="10.7109375" style="72" bestFit="1" customWidth="1"/>
    <col min="12045" max="12045" width="10.7109375" style="72" customWidth="1"/>
    <col min="12046" max="12046" width="10.7109375" style="72" bestFit="1" customWidth="1"/>
    <col min="12047" max="12047" width="10.7109375" style="72" customWidth="1"/>
    <col min="12048" max="12048" width="12.7109375" style="72" customWidth="1"/>
    <col min="12049" max="12288" width="9.140625" style="72" customWidth="1"/>
    <col min="12289" max="12289" width="4.7109375" style="72" customWidth="1"/>
    <col min="12290" max="12290" width="24.28125" style="72" customWidth="1"/>
    <col min="12291" max="12291" width="10.140625" style="72" bestFit="1" customWidth="1"/>
    <col min="12292" max="12300" width="10.7109375" style="72" bestFit="1" customWidth="1"/>
    <col min="12301" max="12301" width="10.7109375" style="72" customWidth="1"/>
    <col min="12302" max="12302" width="10.7109375" style="72" bestFit="1" customWidth="1"/>
    <col min="12303" max="12303" width="10.7109375" style="72" customWidth="1"/>
    <col min="12304" max="12304" width="12.7109375" style="72" customWidth="1"/>
    <col min="12305" max="12544" width="9.140625" style="72" customWidth="1"/>
    <col min="12545" max="12545" width="4.7109375" style="72" customWidth="1"/>
    <col min="12546" max="12546" width="24.28125" style="72" customWidth="1"/>
    <col min="12547" max="12547" width="10.140625" style="72" bestFit="1" customWidth="1"/>
    <col min="12548" max="12556" width="10.7109375" style="72" bestFit="1" customWidth="1"/>
    <col min="12557" max="12557" width="10.7109375" style="72" customWidth="1"/>
    <col min="12558" max="12558" width="10.7109375" style="72" bestFit="1" customWidth="1"/>
    <col min="12559" max="12559" width="10.7109375" style="72" customWidth="1"/>
    <col min="12560" max="12560" width="12.7109375" style="72" customWidth="1"/>
    <col min="12561" max="12800" width="9.140625" style="72" customWidth="1"/>
    <col min="12801" max="12801" width="4.7109375" style="72" customWidth="1"/>
    <col min="12802" max="12802" width="24.28125" style="72" customWidth="1"/>
    <col min="12803" max="12803" width="10.140625" style="72" bestFit="1" customWidth="1"/>
    <col min="12804" max="12812" width="10.7109375" style="72" bestFit="1" customWidth="1"/>
    <col min="12813" max="12813" width="10.7109375" style="72" customWidth="1"/>
    <col min="12814" max="12814" width="10.7109375" style="72" bestFit="1" customWidth="1"/>
    <col min="12815" max="12815" width="10.7109375" style="72" customWidth="1"/>
    <col min="12816" max="12816" width="12.7109375" style="72" customWidth="1"/>
    <col min="12817" max="13056" width="9.140625" style="72" customWidth="1"/>
    <col min="13057" max="13057" width="4.7109375" style="72" customWidth="1"/>
    <col min="13058" max="13058" width="24.28125" style="72" customWidth="1"/>
    <col min="13059" max="13059" width="10.140625" style="72" bestFit="1" customWidth="1"/>
    <col min="13060" max="13068" width="10.7109375" style="72" bestFit="1" customWidth="1"/>
    <col min="13069" max="13069" width="10.7109375" style="72" customWidth="1"/>
    <col min="13070" max="13070" width="10.7109375" style="72" bestFit="1" customWidth="1"/>
    <col min="13071" max="13071" width="10.7109375" style="72" customWidth="1"/>
    <col min="13072" max="13072" width="12.7109375" style="72" customWidth="1"/>
    <col min="13073" max="13312" width="9.140625" style="72" customWidth="1"/>
    <col min="13313" max="13313" width="4.7109375" style="72" customWidth="1"/>
    <col min="13314" max="13314" width="24.28125" style="72" customWidth="1"/>
    <col min="13315" max="13315" width="10.140625" style="72" bestFit="1" customWidth="1"/>
    <col min="13316" max="13324" width="10.7109375" style="72" bestFit="1" customWidth="1"/>
    <col min="13325" max="13325" width="10.7109375" style="72" customWidth="1"/>
    <col min="13326" max="13326" width="10.7109375" style="72" bestFit="1" customWidth="1"/>
    <col min="13327" max="13327" width="10.7109375" style="72" customWidth="1"/>
    <col min="13328" max="13328" width="12.7109375" style="72" customWidth="1"/>
    <col min="13329" max="13568" width="9.140625" style="72" customWidth="1"/>
    <col min="13569" max="13569" width="4.7109375" style="72" customWidth="1"/>
    <col min="13570" max="13570" width="24.28125" style="72" customWidth="1"/>
    <col min="13571" max="13571" width="10.140625" style="72" bestFit="1" customWidth="1"/>
    <col min="13572" max="13580" width="10.7109375" style="72" bestFit="1" customWidth="1"/>
    <col min="13581" max="13581" width="10.7109375" style="72" customWidth="1"/>
    <col min="13582" max="13582" width="10.7109375" style="72" bestFit="1" customWidth="1"/>
    <col min="13583" max="13583" width="10.7109375" style="72" customWidth="1"/>
    <col min="13584" max="13584" width="12.7109375" style="72" customWidth="1"/>
    <col min="13585" max="13824" width="9.140625" style="72" customWidth="1"/>
    <col min="13825" max="13825" width="4.7109375" style="72" customWidth="1"/>
    <col min="13826" max="13826" width="24.28125" style="72" customWidth="1"/>
    <col min="13827" max="13827" width="10.140625" style="72" bestFit="1" customWidth="1"/>
    <col min="13828" max="13836" width="10.7109375" style="72" bestFit="1" customWidth="1"/>
    <col min="13837" max="13837" width="10.7109375" style="72" customWidth="1"/>
    <col min="13838" max="13838" width="10.7109375" style="72" bestFit="1" customWidth="1"/>
    <col min="13839" max="13839" width="10.7109375" style="72" customWidth="1"/>
    <col min="13840" max="13840" width="12.7109375" style="72" customWidth="1"/>
    <col min="13841" max="14080" width="9.140625" style="72" customWidth="1"/>
    <col min="14081" max="14081" width="4.7109375" style="72" customWidth="1"/>
    <col min="14082" max="14082" width="24.28125" style="72" customWidth="1"/>
    <col min="14083" max="14083" width="10.140625" style="72" bestFit="1" customWidth="1"/>
    <col min="14084" max="14092" width="10.7109375" style="72" bestFit="1" customWidth="1"/>
    <col min="14093" max="14093" width="10.7109375" style="72" customWidth="1"/>
    <col min="14094" max="14094" width="10.7109375" style="72" bestFit="1" customWidth="1"/>
    <col min="14095" max="14095" width="10.7109375" style="72" customWidth="1"/>
    <col min="14096" max="14096" width="12.7109375" style="72" customWidth="1"/>
    <col min="14097" max="14336" width="9.140625" style="72" customWidth="1"/>
    <col min="14337" max="14337" width="4.7109375" style="72" customWidth="1"/>
    <col min="14338" max="14338" width="24.28125" style="72" customWidth="1"/>
    <col min="14339" max="14339" width="10.140625" style="72" bestFit="1" customWidth="1"/>
    <col min="14340" max="14348" width="10.7109375" style="72" bestFit="1" customWidth="1"/>
    <col min="14349" max="14349" width="10.7109375" style="72" customWidth="1"/>
    <col min="14350" max="14350" width="10.7109375" style="72" bestFit="1" customWidth="1"/>
    <col min="14351" max="14351" width="10.7109375" style="72" customWidth="1"/>
    <col min="14352" max="14352" width="12.7109375" style="72" customWidth="1"/>
    <col min="14353" max="14592" width="9.140625" style="72" customWidth="1"/>
    <col min="14593" max="14593" width="4.7109375" style="72" customWidth="1"/>
    <col min="14594" max="14594" width="24.28125" style="72" customWidth="1"/>
    <col min="14595" max="14595" width="10.140625" style="72" bestFit="1" customWidth="1"/>
    <col min="14596" max="14604" width="10.7109375" style="72" bestFit="1" customWidth="1"/>
    <col min="14605" max="14605" width="10.7109375" style="72" customWidth="1"/>
    <col min="14606" max="14606" width="10.7109375" style="72" bestFit="1" customWidth="1"/>
    <col min="14607" max="14607" width="10.7109375" style="72" customWidth="1"/>
    <col min="14608" max="14608" width="12.7109375" style="72" customWidth="1"/>
    <col min="14609" max="14848" width="9.140625" style="72" customWidth="1"/>
    <col min="14849" max="14849" width="4.7109375" style="72" customWidth="1"/>
    <col min="14850" max="14850" width="24.28125" style="72" customWidth="1"/>
    <col min="14851" max="14851" width="10.140625" style="72" bestFit="1" customWidth="1"/>
    <col min="14852" max="14860" width="10.7109375" style="72" bestFit="1" customWidth="1"/>
    <col min="14861" max="14861" width="10.7109375" style="72" customWidth="1"/>
    <col min="14862" max="14862" width="10.7109375" style="72" bestFit="1" customWidth="1"/>
    <col min="14863" max="14863" width="10.7109375" style="72" customWidth="1"/>
    <col min="14864" max="14864" width="12.7109375" style="72" customWidth="1"/>
    <col min="14865" max="15104" width="9.140625" style="72" customWidth="1"/>
    <col min="15105" max="15105" width="4.7109375" style="72" customWidth="1"/>
    <col min="15106" max="15106" width="24.28125" style="72" customWidth="1"/>
    <col min="15107" max="15107" width="10.140625" style="72" bestFit="1" customWidth="1"/>
    <col min="15108" max="15116" width="10.7109375" style="72" bestFit="1" customWidth="1"/>
    <col min="15117" max="15117" width="10.7109375" style="72" customWidth="1"/>
    <col min="15118" max="15118" width="10.7109375" style="72" bestFit="1" customWidth="1"/>
    <col min="15119" max="15119" width="10.7109375" style="72" customWidth="1"/>
    <col min="15120" max="15120" width="12.7109375" style="72" customWidth="1"/>
    <col min="15121" max="15360" width="9.140625" style="72" customWidth="1"/>
    <col min="15361" max="15361" width="4.7109375" style="72" customWidth="1"/>
    <col min="15362" max="15362" width="24.28125" style="72" customWidth="1"/>
    <col min="15363" max="15363" width="10.140625" style="72" bestFit="1" customWidth="1"/>
    <col min="15364" max="15372" width="10.7109375" style="72" bestFit="1" customWidth="1"/>
    <col min="15373" max="15373" width="10.7109375" style="72" customWidth="1"/>
    <col min="15374" max="15374" width="10.7109375" style="72" bestFit="1" customWidth="1"/>
    <col min="15375" max="15375" width="10.7109375" style="72" customWidth="1"/>
    <col min="15376" max="15376" width="12.7109375" style="72" customWidth="1"/>
    <col min="15377" max="15616" width="9.140625" style="72" customWidth="1"/>
    <col min="15617" max="15617" width="4.7109375" style="72" customWidth="1"/>
    <col min="15618" max="15618" width="24.28125" style="72" customWidth="1"/>
    <col min="15619" max="15619" width="10.140625" style="72" bestFit="1" customWidth="1"/>
    <col min="15620" max="15628" width="10.7109375" style="72" bestFit="1" customWidth="1"/>
    <col min="15629" max="15629" width="10.7109375" style="72" customWidth="1"/>
    <col min="15630" max="15630" width="10.7109375" style="72" bestFit="1" customWidth="1"/>
    <col min="15631" max="15631" width="10.7109375" style="72" customWidth="1"/>
    <col min="15632" max="15632" width="12.7109375" style="72" customWidth="1"/>
    <col min="15633" max="15872" width="9.140625" style="72" customWidth="1"/>
    <col min="15873" max="15873" width="4.7109375" style="72" customWidth="1"/>
    <col min="15874" max="15874" width="24.28125" style="72" customWidth="1"/>
    <col min="15875" max="15875" width="10.140625" style="72" bestFit="1" customWidth="1"/>
    <col min="15876" max="15884" width="10.7109375" style="72" bestFit="1" customWidth="1"/>
    <col min="15885" max="15885" width="10.7109375" style="72" customWidth="1"/>
    <col min="15886" max="15886" width="10.7109375" style="72" bestFit="1" customWidth="1"/>
    <col min="15887" max="15887" width="10.7109375" style="72" customWidth="1"/>
    <col min="15888" max="15888" width="12.7109375" style="72" customWidth="1"/>
    <col min="15889" max="16128" width="9.140625" style="72" customWidth="1"/>
    <col min="16129" max="16129" width="4.7109375" style="72" customWidth="1"/>
    <col min="16130" max="16130" width="24.28125" style="72" customWidth="1"/>
    <col min="16131" max="16131" width="10.140625" style="72" bestFit="1" customWidth="1"/>
    <col min="16132" max="16140" width="10.7109375" style="72" bestFit="1" customWidth="1"/>
    <col min="16141" max="16141" width="10.7109375" style="72" customWidth="1"/>
    <col min="16142" max="16142" width="10.7109375" style="72" bestFit="1" customWidth="1"/>
    <col min="16143" max="16143" width="10.7109375" style="72" customWidth="1"/>
    <col min="16144" max="16144" width="12.7109375" style="72" customWidth="1"/>
    <col min="16145" max="16384" width="9.140625" style="72" customWidth="1"/>
  </cols>
  <sheetData>
    <row r="1" spans="1:16" s="1" customFormat="1" ht="11.25">
      <c r="A1" s="228" t="s">
        <v>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" customFormat="1" ht="11.25">
      <c r="A2" s="229" t="s">
        <v>160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s="1" customFormat="1" ht="12.75" customHeight="1">
      <c r="A3" s="230">
        <f>+'Exhibit No.   MTT-2 Page 2'!A3:J3</f>
        <v>40908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12.75">
      <c r="A4" s="35"/>
      <c r="B4" s="84"/>
      <c r="C4" s="8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2.75">
      <c r="A5" s="86">
        <v>1</v>
      </c>
      <c r="B5" s="35"/>
      <c r="C5" s="37">
        <f>+A3-365</f>
        <v>40543</v>
      </c>
      <c r="D5" s="37">
        <f aca="true" t="shared" si="0" ref="D5:O5">EOMONTH(C5,1)</f>
        <v>40574</v>
      </c>
      <c r="E5" s="37">
        <f t="shared" si="0"/>
        <v>40602</v>
      </c>
      <c r="F5" s="37">
        <f t="shared" si="0"/>
        <v>40633</v>
      </c>
      <c r="G5" s="37">
        <f t="shared" si="0"/>
        <v>40663</v>
      </c>
      <c r="H5" s="37">
        <f t="shared" si="0"/>
        <v>40694</v>
      </c>
      <c r="I5" s="37">
        <f t="shared" si="0"/>
        <v>40724</v>
      </c>
      <c r="J5" s="37">
        <f t="shared" si="0"/>
        <v>40755</v>
      </c>
      <c r="K5" s="37">
        <f t="shared" si="0"/>
        <v>40786</v>
      </c>
      <c r="L5" s="37">
        <f t="shared" si="0"/>
        <v>40816</v>
      </c>
      <c r="M5" s="37">
        <f t="shared" si="0"/>
        <v>40847</v>
      </c>
      <c r="N5" s="37">
        <f t="shared" si="0"/>
        <v>40877</v>
      </c>
      <c r="O5" s="37">
        <f t="shared" si="0"/>
        <v>40908</v>
      </c>
      <c r="P5" s="87" t="s">
        <v>76</v>
      </c>
    </row>
    <row r="6" spans="1:16" ht="12.75">
      <c r="A6" s="86">
        <f>+A5+1</f>
        <v>2</v>
      </c>
      <c r="B6" s="7" t="s">
        <v>20</v>
      </c>
      <c r="C6" s="5" t="s">
        <v>21</v>
      </c>
      <c r="D6" s="30" t="s">
        <v>30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9" t="s">
        <v>27</v>
      </c>
      <c r="K6" s="5" t="s">
        <v>28</v>
      </c>
      <c r="L6" s="5" t="s">
        <v>29</v>
      </c>
      <c r="M6" s="71" t="s">
        <v>92</v>
      </c>
      <c r="N6" s="71" t="s">
        <v>93</v>
      </c>
      <c r="O6" s="71" t="s">
        <v>94</v>
      </c>
      <c r="P6" s="71" t="s">
        <v>95</v>
      </c>
    </row>
    <row r="7" spans="1:16" ht="12.75">
      <c r="A7" s="86">
        <f aca="true" t="shared" si="1" ref="A7:A17">+A6+1</f>
        <v>3</v>
      </c>
      <c r="B7" s="44" t="s">
        <v>96</v>
      </c>
      <c r="C7" s="38">
        <v>40000000</v>
      </c>
      <c r="D7" s="38">
        <v>40000000</v>
      </c>
      <c r="E7" s="38">
        <v>40000000</v>
      </c>
      <c r="F7" s="38">
        <v>40000000</v>
      </c>
      <c r="G7" s="38">
        <v>40000000</v>
      </c>
      <c r="H7" s="38">
        <v>40000000</v>
      </c>
      <c r="I7" s="38">
        <v>40000000</v>
      </c>
      <c r="J7" s="38">
        <v>40000000</v>
      </c>
      <c r="K7" s="38">
        <v>40000000</v>
      </c>
      <c r="L7" s="38">
        <v>40000000</v>
      </c>
      <c r="M7" s="38">
        <v>40000000</v>
      </c>
      <c r="N7" s="38">
        <v>40000000</v>
      </c>
      <c r="O7" s="38">
        <v>40000000</v>
      </c>
      <c r="P7" s="40">
        <f>ROUND(((C7+O7)+(SUM(D7:N7)*2))/24,3)</f>
        <v>40000000</v>
      </c>
    </row>
    <row r="8" spans="1:16" ht="12.75">
      <c r="A8" s="86">
        <f t="shared" si="1"/>
        <v>4</v>
      </c>
      <c r="B8" s="39"/>
      <c r="C8" s="97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1:16" ht="12.75">
      <c r="A9" s="86">
        <f t="shared" si="1"/>
        <v>5</v>
      </c>
      <c r="B9" s="39" t="s">
        <v>36</v>
      </c>
      <c r="C9" s="39"/>
      <c r="D9" s="39">
        <f aca="true" t="shared" si="2" ref="D9:O9">+D5-C5</f>
        <v>31</v>
      </c>
      <c r="E9" s="39">
        <f t="shared" si="2"/>
        <v>28</v>
      </c>
      <c r="F9" s="39">
        <f t="shared" si="2"/>
        <v>31</v>
      </c>
      <c r="G9" s="39">
        <f t="shared" si="2"/>
        <v>30</v>
      </c>
      <c r="H9" s="39">
        <f t="shared" si="2"/>
        <v>31</v>
      </c>
      <c r="I9" s="39">
        <f t="shared" si="2"/>
        <v>30</v>
      </c>
      <c r="J9" s="39">
        <f t="shared" si="2"/>
        <v>31</v>
      </c>
      <c r="K9" s="39">
        <f t="shared" si="2"/>
        <v>31</v>
      </c>
      <c r="L9" s="39">
        <f t="shared" si="2"/>
        <v>30</v>
      </c>
      <c r="M9" s="39">
        <f t="shared" si="2"/>
        <v>31</v>
      </c>
      <c r="N9" s="39">
        <f t="shared" si="2"/>
        <v>30</v>
      </c>
      <c r="O9" s="39">
        <f t="shared" si="2"/>
        <v>31</v>
      </c>
      <c r="P9" s="39"/>
    </row>
    <row r="10" spans="1:16" ht="12.75">
      <c r="A10" s="86">
        <f t="shared" si="1"/>
        <v>6</v>
      </c>
      <c r="B10" s="42" t="s">
        <v>152</v>
      </c>
      <c r="C10" s="43"/>
      <c r="D10" s="153">
        <v>0.0145</v>
      </c>
      <c r="E10" s="153">
        <v>0.0145</v>
      </c>
      <c r="F10" s="153">
        <v>0.0145</v>
      </c>
      <c r="G10" s="153">
        <v>0.01575</v>
      </c>
      <c r="H10" s="153">
        <v>0.01575</v>
      </c>
      <c r="I10" s="153">
        <v>0.01575</v>
      </c>
      <c r="J10" s="153">
        <v>0.01825</v>
      </c>
      <c r="K10" s="153">
        <v>0.01825</v>
      </c>
      <c r="L10" s="153">
        <v>0.01825</v>
      </c>
      <c r="M10" s="153">
        <v>0.0195</v>
      </c>
      <c r="N10" s="153">
        <v>0.0195</v>
      </c>
      <c r="O10" s="153">
        <v>0.0195</v>
      </c>
      <c r="P10" s="43"/>
    </row>
    <row r="11" spans="1:16" ht="12.75">
      <c r="A11" s="86">
        <f t="shared" si="1"/>
        <v>7</v>
      </c>
      <c r="B11" s="38" t="s">
        <v>39</v>
      </c>
      <c r="C11" s="39"/>
      <c r="D11" s="91">
        <f aca="true" t="shared" si="3" ref="D11:O11">AVERAGE(C7:D7)*(D10*D9/360)</f>
        <v>49944.444444444445</v>
      </c>
      <c r="E11" s="91">
        <f t="shared" si="3"/>
        <v>45111.11111111112</v>
      </c>
      <c r="F11" s="91">
        <f t="shared" si="3"/>
        <v>49944.444444444445</v>
      </c>
      <c r="G11" s="91">
        <f t="shared" si="3"/>
        <v>52500</v>
      </c>
      <c r="H11" s="91">
        <f t="shared" si="3"/>
        <v>54250</v>
      </c>
      <c r="I11" s="91">
        <f t="shared" si="3"/>
        <v>52500</v>
      </c>
      <c r="J11" s="91">
        <f t="shared" si="3"/>
        <v>62861.11111111111</v>
      </c>
      <c r="K11" s="91">
        <f t="shared" si="3"/>
        <v>62861.11111111111</v>
      </c>
      <c r="L11" s="91">
        <f t="shared" si="3"/>
        <v>60833.33333333333</v>
      </c>
      <c r="M11" s="91">
        <f t="shared" si="3"/>
        <v>67166.66666666667</v>
      </c>
      <c r="N11" s="91">
        <f t="shared" si="3"/>
        <v>65000</v>
      </c>
      <c r="O11" s="91">
        <f t="shared" si="3"/>
        <v>67166.66666666667</v>
      </c>
      <c r="P11" s="92">
        <f>SUM(C11:O11)</f>
        <v>690138.8888888889</v>
      </c>
    </row>
    <row r="12" spans="1:16" ht="12.75">
      <c r="A12" s="86">
        <f t="shared" si="1"/>
        <v>8</v>
      </c>
      <c r="B12" s="35"/>
      <c r="C12" s="35"/>
      <c r="D12" s="41"/>
      <c r="E12" s="41"/>
      <c r="F12" s="41"/>
      <c r="G12" s="41"/>
      <c r="H12" s="41"/>
      <c r="I12" s="41"/>
      <c r="J12" s="41"/>
      <c r="N12" s="35"/>
      <c r="O12" s="125" t="s">
        <v>110</v>
      </c>
      <c r="P12" s="41">
        <f>+P11/P7</f>
        <v>0.017253472222222222</v>
      </c>
    </row>
    <row r="13" spans="1:16" ht="12.75">
      <c r="A13" s="86">
        <f t="shared" si="1"/>
        <v>9</v>
      </c>
      <c r="B13" s="35"/>
      <c r="C13" s="3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5"/>
      <c r="O13" s="35"/>
      <c r="P13" s="41"/>
    </row>
    <row r="14" spans="1:13" ht="12.75">
      <c r="A14" s="86">
        <f t="shared" si="1"/>
        <v>10</v>
      </c>
      <c r="B14" s="7"/>
      <c r="C14" s="5" t="s">
        <v>2</v>
      </c>
      <c r="D14" s="8" t="s">
        <v>3</v>
      </c>
      <c r="E14" s="5" t="s">
        <v>4</v>
      </c>
      <c r="F14" s="5" t="s">
        <v>0</v>
      </c>
      <c r="G14" s="5" t="s">
        <v>5</v>
      </c>
      <c r="H14" s="7" t="s">
        <v>6</v>
      </c>
      <c r="I14" s="5" t="s">
        <v>7</v>
      </c>
      <c r="J14" s="9" t="s">
        <v>8</v>
      </c>
      <c r="K14" s="5" t="s">
        <v>9</v>
      </c>
      <c r="L14" s="5" t="s">
        <v>10</v>
      </c>
      <c r="M14" s="98"/>
    </row>
    <row r="15" spans="1:13" ht="12.75">
      <c r="A15" s="86">
        <f t="shared" si="1"/>
        <v>11</v>
      </c>
      <c r="B15" s="10" t="s">
        <v>38</v>
      </c>
      <c r="C15" s="11" t="s">
        <v>12</v>
      </c>
      <c r="D15" s="12" t="s">
        <v>13</v>
      </c>
      <c r="E15" s="11" t="s">
        <v>13</v>
      </c>
      <c r="F15" s="11" t="s">
        <v>14</v>
      </c>
      <c r="G15" s="11" t="s">
        <v>15</v>
      </c>
      <c r="H15" s="10" t="s">
        <v>16</v>
      </c>
      <c r="I15" s="11" t="s">
        <v>17</v>
      </c>
      <c r="J15" s="13" t="s">
        <v>3</v>
      </c>
      <c r="K15" s="14">
        <f>+A3</f>
        <v>40908</v>
      </c>
      <c r="L15" s="11" t="s">
        <v>18</v>
      </c>
      <c r="M15" s="98"/>
    </row>
    <row r="16" spans="1:13" ht="13.5" customHeight="1">
      <c r="A16" s="86">
        <f t="shared" si="1"/>
        <v>12</v>
      </c>
      <c r="B16" s="7" t="s">
        <v>20</v>
      </c>
      <c r="C16" s="5" t="s">
        <v>21</v>
      </c>
      <c r="D16" s="30" t="s">
        <v>30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  <c r="J16" s="9" t="s">
        <v>27</v>
      </c>
      <c r="K16" s="5" t="s">
        <v>28</v>
      </c>
      <c r="L16" s="5" t="s">
        <v>29</v>
      </c>
      <c r="M16" s="22"/>
    </row>
    <row r="17" spans="1:13" ht="12.75">
      <c r="A17" s="86">
        <f t="shared" si="1"/>
        <v>13</v>
      </c>
      <c r="B17" s="44" t="s">
        <v>96</v>
      </c>
      <c r="C17" s="19">
        <f>+P12</f>
        <v>0.017253472222222222</v>
      </c>
      <c r="D17" s="18">
        <v>50192</v>
      </c>
      <c r="E17" s="18">
        <v>35584</v>
      </c>
      <c r="F17" s="3">
        <v>40000000</v>
      </c>
      <c r="G17" s="3">
        <v>1296086</v>
      </c>
      <c r="H17" s="3">
        <v>-1769125</v>
      </c>
      <c r="I17" s="3">
        <f>F17-G17-H17</f>
        <v>40473039</v>
      </c>
      <c r="J17" s="99">
        <f>YIELD(E17,D17,C17,I17/F17*100,100,2,0)</f>
        <v>0.016845859561960094</v>
      </c>
      <c r="K17" s="21">
        <f>F17</f>
        <v>40000000</v>
      </c>
      <c r="L17" s="21">
        <f>J17*K17</f>
        <v>673834.3824784037</v>
      </c>
      <c r="M17" s="22"/>
    </row>
    <row r="18" spans="1:14" ht="12.75">
      <c r="A18" s="86"/>
      <c r="B18" s="43"/>
      <c r="C18" s="43"/>
      <c r="E18" s="16"/>
      <c r="F18" s="18"/>
      <c r="G18" s="35"/>
      <c r="H18" s="35"/>
      <c r="I18" s="35"/>
      <c r="J18" s="35"/>
      <c r="K18" s="35"/>
      <c r="L18" s="35"/>
      <c r="M18" s="35"/>
      <c r="N18" s="35"/>
    </row>
    <row r="19" spans="2:15" ht="12.75">
      <c r="B19" s="202" t="s">
        <v>153</v>
      </c>
      <c r="H19" s="3"/>
      <c r="I19" s="1"/>
      <c r="J19" s="3"/>
      <c r="O19" s="35"/>
    </row>
    <row r="20" spans="5:9" ht="12.75">
      <c r="E20" s="180"/>
      <c r="G20" s="100"/>
      <c r="H20" s="3"/>
      <c r="I20" s="3"/>
    </row>
    <row r="21" ht="12.75">
      <c r="G21" s="101"/>
    </row>
    <row r="22" ht="12.75">
      <c r="G22" s="101"/>
    </row>
  </sheetData>
  <mergeCells count="3">
    <mergeCell ref="A1:P1"/>
    <mergeCell ref="A2:P2"/>
    <mergeCell ref="A3:P3"/>
  </mergeCells>
  <conditionalFormatting sqref="D17 G12:G13 G8:G9">
    <cfRule type="expression" priority="1" dxfId="0" stopIfTrue="1">
      <formula>(D8&lt;#REF!)</formula>
    </cfRule>
  </conditionalFormatting>
  <printOptions/>
  <pageMargins left="0.5" right="0.5" top="1" bottom="1" header="0.5" footer="0.5"/>
  <pageSetup fitToHeight="1" fitToWidth="1" horizontalDpi="600" verticalDpi="600" orientation="landscape" scale="72" r:id="rId1"/>
  <headerFooter alignWithMargins="0">
    <oddHeader>&amp;RExhibit No.___(MTT-2)</oddHeader>
    <oddFooter>&amp;R&amp;8Page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28125" style="36" bestFit="1" customWidth="1"/>
    <col min="2" max="2" width="31.57421875" style="36" customWidth="1"/>
    <col min="3" max="3" width="11.00390625" style="36" bestFit="1" customWidth="1"/>
    <col min="4" max="4" width="12.00390625" style="36" bestFit="1" customWidth="1"/>
    <col min="5" max="11" width="10.8515625" style="36" bestFit="1" customWidth="1"/>
    <col min="12" max="12" width="11.28125" style="36" bestFit="1" customWidth="1"/>
    <col min="13" max="13" width="12.57421875" style="36" customWidth="1"/>
    <col min="14" max="14" width="12.7109375" style="36" bestFit="1" customWidth="1"/>
    <col min="15" max="15" width="13.00390625" style="36" bestFit="1" customWidth="1"/>
    <col min="16" max="16" width="13.28125" style="36" bestFit="1" customWidth="1"/>
    <col min="17" max="17" width="9.8515625" style="36" bestFit="1" customWidth="1"/>
    <col min="18" max="256" width="9.140625" style="36" customWidth="1"/>
    <col min="257" max="257" width="4.7109375" style="36" customWidth="1"/>
    <col min="258" max="258" width="24.28125" style="36" customWidth="1"/>
    <col min="259" max="259" width="8.00390625" style="36" customWidth="1"/>
    <col min="260" max="260" width="12.7109375" style="36" customWidth="1"/>
    <col min="261" max="261" width="10.140625" style="36" bestFit="1" customWidth="1"/>
    <col min="262" max="263" width="8.140625" style="36" customWidth="1"/>
    <col min="264" max="266" width="8.28125" style="36" customWidth="1"/>
    <col min="267" max="268" width="8.421875" style="36" customWidth="1"/>
    <col min="269" max="269" width="8.28125" style="36" customWidth="1"/>
    <col min="270" max="270" width="8.140625" style="36" customWidth="1"/>
    <col min="271" max="271" width="8.28125" style="36" customWidth="1"/>
    <col min="272" max="272" width="11.28125" style="36" customWidth="1"/>
    <col min="273" max="273" width="9.8515625" style="36" bestFit="1" customWidth="1"/>
    <col min="274" max="512" width="9.140625" style="36" customWidth="1"/>
    <col min="513" max="513" width="4.7109375" style="36" customWidth="1"/>
    <col min="514" max="514" width="24.28125" style="36" customWidth="1"/>
    <col min="515" max="515" width="8.00390625" style="36" customWidth="1"/>
    <col min="516" max="516" width="12.7109375" style="36" customWidth="1"/>
    <col min="517" max="517" width="10.140625" style="36" bestFit="1" customWidth="1"/>
    <col min="518" max="519" width="8.140625" style="36" customWidth="1"/>
    <col min="520" max="522" width="8.28125" style="36" customWidth="1"/>
    <col min="523" max="524" width="8.421875" style="36" customWidth="1"/>
    <col min="525" max="525" width="8.28125" style="36" customWidth="1"/>
    <col min="526" max="526" width="8.140625" style="36" customWidth="1"/>
    <col min="527" max="527" width="8.28125" style="36" customWidth="1"/>
    <col min="528" max="528" width="11.28125" style="36" customWidth="1"/>
    <col min="529" max="529" width="9.8515625" style="36" bestFit="1" customWidth="1"/>
    <col min="530" max="768" width="9.140625" style="36" customWidth="1"/>
    <col min="769" max="769" width="4.7109375" style="36" customWidth="1"/>
    <col min="770" max="770" width="24.28125" style="36" customWidth="1"/>
    <col min="771" max="771" width="8.00390625" style="36" customWidth="1"/>
    <col min="772" max="772" width="12.7109375" style="36" customWidth="1"/>
    <col min="773" max="773" width="10.140625" style="36" bestFit="1" customWidth="1"/>
    <col min="774" max="775" width="8.140625" style="36" customWidth="1"/>
    <col min="776" max="778" width="8.28125" style="36" customWidth="1"/>
    <col min="779" max="780" width="8.421875" style="36" customWidth="1"/>
    <col min="781" max="781" width="8.28125" style="36" customWidth="1"/>
    <col min="782" max="782" width="8.140625" style="36" customWidth="1"/>
    <col min="783" max="783" width="8.28125" style="36" customWidth="1"/>
    <col min="784" max="784" width="11.28125" style="36" customWidth="1"/>
    <col min="785" max="785" width="9.8515625" style="36" bestFit="1" customWidth="1"/>
    <col min="786" max="1024" width="9.140625" style="36" customWidth="1"/>
    <col min="1025" max="1025" width="4.7109375" style="36" customWidth="1"/>
    <col min="1026" max="1026" width="24.28125" style="36" customWidth="1"/>
    <col min="1027" max="1027" width="8.00390625" style="36" customWidth="1"/>
    <col min="1028" max="1028" width="12.7109375" style="36" customWidth="1"/>
    <col min="1029" max="1029" width="10.140625" style="36" bestFit="1" customWidth="1"/>
    <col min="1030" max="1031" width="8.140625" style="36" customWidth="1"/>
    <col min="1032" max="1034" width="8.28125" style="36" customWidth="1"/>
    <col min="1035" max="1036" width="8.421875" style="36" customWidth="1"/>
    <col min="1037" max="1037" width="8.28125" style="36" customWidth="1"/>
    <col min="1038" max="1038" width="8.140625" style="36" customWidth="1"/>
    <col min="1039" max="1039" width="8.28125" style="36" customWidth="1"/>
    <col min="1040" max="1040" width="11.28125" style="36" customWidth="1"/>
    <col min="1041" max="1041" width="9.8515625" style="36" bestFit="1" customWidth="1"/>
    <col min="1042" max="1280" width="9.140625" style="36" customWidth="1"/>
    <col min="1281" max="1281" width="4.7109375" style="36" customWidth="1"/>
    <col min="1282" max="1282" width="24.28125" style="36" customWidth="1"/>
    <col min="1283" max="1283" width="8.00390625" style="36" customWidth="1"/>
    <col min="1284" max="1284" width="12.7109375" style="36" customWidth="1"/>
    <col min="1285" max="1285" width="10.140625" style="36" bestFit="1" customWidth="1"/>
    <col min="1286" max="1287" width="8.140625" style="36" customWidth="1"/>
    <col min="1288" max="1290" width="8.28125" style="36" customWidth="1"/>
    <col min="1291" max="1292" width="8.421875" style="36" customWidth="1"/>
    <col min="1293" max="1293" width="8.28125" style="36" customWidth="1"/>
    <col min="1294" max="1294" width="8.140625" style="36" customWidth="1"/>
    <col min="1295" max="1295" width="8.28125" style="36" customWidth="1"/>
    <col min="1296" max="1296" width="11.28125" style="36" customWidth="1"/>
    <col min="1297" max="1297" width="9.8515625" style="36" bestFit="1" customWidth="1"/>
    <col min="1298" max="1536" width="9.140625" style="36" customWidth="1"/>
    <col min="1537" max="1537" width="4.7109375" style="36" customWidth="1"/>
    <col min="1538" max="1538" width="24.28125" style="36" customWidth="1"/>
    <col min="1539" max="1539" width="8.00390625" style="36" customWidth="1"/>
    <col min="1540" max="1540" width="12.7109375" style="36" customWidth="1"/>
    <col min="1541" max="1541" width="10.140625" style="36" bestFit="1" customWidth="1"/>
    <col min="1542" max="1543" width="8.140625" style="36" customWidth="1"/>
    <col min="1544" max="1546" width="8.28125" style="36" customWidth="1"/>
    <col min="1547" max="1548" width="8.421875" style="36" customWidth="1"/>
    <col min="1549" max="1549" width="8.28125" style="36" customWidth="1"/>
    <col min="1550" max="1550" width="8.140625" style="36" customWidth="1"/>
    <col min="1551" max="1551" width="8.28125" style="36" customWidth="1"/>
    <col min="1552" max="1552" width="11.28125" style="36" customWidth="1"/>
    <col min="1553" max="1553" width="9.8515625" style="36" bestFit="1" customWidth="1"/>
    <col min="1554" max="1792" width="9.140625" style="36" customWidth="1"/>
    <col min="1793" max="1793" width="4.7109375" style="36" customWidth="1"/>
    <col min="1794" max="1794" width="24.28125" style="36" customWidth="1"/>
    <col min="1795" max="1795" width="8.00390625" style="36" customWidth="1"/>
    <col min="1796" max="1796" width="12.7109375" style="36" customWidth="1"/>
    <col min="1797" max="1797" width="10.140625" style="36" bestFit="1" customWidth="1"/>
    <col min="1798" max="1799" width="8.140625" style="36" customWidth="1"/>
    <col min="1800" max="1802" width="8.28125" style="36" customWidth="1"/>
    <col min="1803" max="1804" width="8.421875" style="36" customWidth="1"/>
    <col min="1805" max="1805" width="8.28125" style="36" customWidth="1"/>
    <col min="1806" max="1806" width="8.140625" style="36" customWidth="1"/>
    <col min="1807" max="1807" width="8.28125" style="36" customWidth="1"/>
    <col min="1808" max="1808" width="11.28125" style="36" customWidth="1"/>
    <col min="1809" max="1809" width="9.8515625" style="36" bestFit="1" customWidth="1"/>
    <col min="1810" max="2048" width="9.140625" style="36" customWidth="1"/>
    <col min="2049" max="2049" width="4.7109375" style="36" customWidth="1"/>
    <col min="2050" max="2050" width="24.28125" style="36" customWidth="1"/>
    <col min="2051" max="2051" width="8.00390625" style="36" customWidth="1"/>
    <col min="2052" max="2052" width="12.7109375" style="36" customWidth="1"/>
    <col min="2053" max="2053" width="10.140625" style="36" bestFit="1" customWidth="1"/>
    <col min="2054" max="2055" width="8.140625" style="36" customWidth="1"/>
    <col min="2056" max="2058" width="8.28125" style="36" customWidth="1"/>
    <col min="2059" max="2060" width="8.421875" style="36" customWidth="1"/>
    <col min="2061" max="2061" width="8.28125" style="36" customWidth="1"/>
    <col min="2062" max="2062" width="8.140625" style="36" customWidth="1"/>
    <col min="2063" max="2063" width="8.28125" style="36" customWidth="1"/>
    <col min="2064" max="2064" width="11.28125" style="36" customWidth="1"/>
    <col min="2065" max="2065" width="9.8515625" style="36" bestFit="1" customWidth="1"/>
    <col min="2066" max="2304" width="9.140625" style="36" customWidth="1"/>
    <col min="2305" max="2305" width="4.7109375" style="36" customWidth="1"/>
    <col min="2306" max="2306" width="24.28125" style="36" customWidth="1"/>
    <col min="2307" max="2307" width="8.00390625" style="36" customWidth="1"/>
    <col min="2308" max="2308" width="12.7109375" style="36" customWidth="1"/>
    <col min="2309" max="2309" width="10.140625" style="36" bestFit="1" customWidth="1"/>
    <col min="2310" max="2311" width="8.140625" style="36" customWidth="1"/>
    <col min="2312" max="2314" width="8.28125" style="36" customWidth="1"/>
    <col min="2315" max="2316" width="8.421875" style="36" customWidth="1"/>
    <col min="2317" max="2317" width="8.28125" style="36" customWidth="1"/>
    <col min="2318" max="2318" width="8.140625" style="36" customWidth="1"/>
    <col min="2319" max="2319" width="8.28125" style="36" customWidth="1"/>
    <col min="2320" max="2320" width="11.28125" style="36" customWidth="1"/>
    <col min="2321" max="2321" width="9.8515625" style="36" bestFit="1" customWidth="1"/>
    <col min="2322" max="2560" width="9.140625" style="36" customWidth="1"/>
    <col min="2561" max="2561" width="4.7109375" style="36" customWidth="1"/>
    <col min="2562" max="2562" width="24.28125" style="36" customWidth="1"/>
    <col min="2563" max="2563" width="8.00390625" style="36" customWidth="1"/>
    <col min="2564" max="2564" width="12.7109375" style="36" customWidth="1"/>
    <col min="2565" max="2565" width="10.140625" style="36" bestFit="1" customWidth="1"/>
    <col min="2566" max="2567" width="8.140625" style="36" customWidth="1"/>
    <col min="2568" max="2570" width="8.28125" style="36" customWidth="1"/>
    <col min="2571" max="2572" width="8.421875" style="36" customWidth="1"/>
    <col min="2573" max="2573" width="8.28125" style="36" customWidth="1"/>
    <col min="2574" max="2574" width="8.140625" style="36" customWidth="1"/>
    <col min="2575" max="2575" width="8.28125" style="36" customWidth="1"/>
    <col min="2576" max="2576" width="11.28125" style="36" customWidth="1"/>
    <col min="2577" max="2577" width="9.8515625" style="36" bestFit="1" customWidth="1"/>
    <col min="2578" max="2816" width="9.140625" style="36" customWidth="1"/>
    <col min="2817" max="2817" width="4.7109375" style="36" customWidth="1"/>
    <col min="2818" max="2818" width="24.28125" style="36" customWidth="1"/>
    <col min="2819" max="2819" width="8.00390625" style="36" customWidth="1"/>
    <col min="2820" max="2820" width="12.7109375" style="36" customWidth="1"/>
    <col min="2821" max="2821" width="10.140625" style="36" bestFit="1" customWidth="1"/>
    <col min="2822" max="2823" width="8.140625" style="36" customWidth="1"/>
    <col min="2824" max="2826" width="8.28125" style="36" customWidth="1"/>
    <col min="2827" max="2828" width="8.421875" style="36" customWidth="1"/>
    <col min="2829" max="2829" width="8.28125" style="36" customWidth="1"/>
    <col min="2830" max="2830" width="8.140625" style="36" customWidth="1"/>
    <col min="2831" max="2831" width="8.28125" style="36" customWidth="1"/>
    <col min="2832" max="2832" width="11.28125" style="36" customWidth="1"/>
    <col min="2833" max="2833" width="9.8515625" style="36" bestFit="1" customWidth="1"/>
    <col min="2834" max="3072" width="9.140625" style="36" customWidth="1"/>
    <col min="3073" max="3073" width="4.7109375" style="36" customWidth="1"/>
    <col min="3074" max="3074" width="24.28125" style="36" customWidth="1"/>
    <col min="3075" max="3075" width="8.00390625" style="36" customWidth="1"/>
    <col min="3076" max="3076" width="12.7109375" style="36" customWidth="1"/>
    <col min="3077" max="3077" width="10.140625" style="36" bestFit="1" customWidth="1"/>
    <col min="3078" max="3079" width="8.140625" style="36" customWidth="1"/>
    <col min="3080" max="3082" width="8.28125" style="36" customWidth="1"/>
    <col min="3083" max="3084" width="8.421875" style="36" customWidth="1"/>
    <col min="3085" max="3085" width="8.28125" style="36" customWidth="1"/>
    <col min="3086" max="3086" width="8.140625" style="36" customWidth="1"/>
    <col min="3087" max="3087" width="8.28125" style="36" customWidth="1"/>
    <col min="3088" max="3088" width="11.28125" style="36" customWidth="1"/>
    <col min="3089" max="3089" width="9.8515625" style="36" bestFit="1" customWidth="1"/>
    <col min="3090" max="3328" width="9.140625" style="36" customWidth="1"/>
    <col min="3329" max="3329" width="4.7109375" style="36" customWidth="1"/>
    <col min="3330" max="3330" width="24.28125" style="36" customWidth="1"/>
    <col min="3331" max="3331" width="8.00390625" style="36" customWidth="1"/>
    <col min="3332" max="3332" width="12.7109375" style="36" customWidth="1"/>
    <col min="3333" max="3333" width="10.140625" style="36" bestFit="1" customWidth="1"/>
    <col min="3334" max="3335" width="8.140625" style="36" customWidth="1"/>
    <col min="3336" max="3338" width="8.28125" style="36" customWidth="1"/>
    <col min="3339" max="3340" width="8.421875" style="36" customWidth="1"/>
    <col min="3341" max="3341" width="8.28125" style="36" customWidth="1"/>
    <col min="3342" max="3342" width="8.140625" style="36" customWidth="1"/>
    <col min="3343" max="3343" width="8.28125" style="36" customWidth="1"/>
    <col min="3344" max="3344" width="11.28125" style="36" customWidth="1"/>
    <col min="3345" max="3345" width="9.8515625" style="36" bestFit="1" customWidth="1"/>
    <col min="3346" max="3584" width="9.140625" style="36" customWidth="1"/>
    <col min="3585" max="3585" width="4.7109375" style="36" customWidth="1"/>
    <col min="3586" max="3586" width="24.28125" style="36" customWidth="1"/>
    <col min="3587" max="3587" width="8.00390625" style="36" customWidth="1"/>
    <col min="3588" max="3588" width="12.7109375" style="36" customWidth="1"/>
    <col min="3589" max="3589" width="10.140625" style="36" bestFit="1" customWidth="1"/>
    <col min="3590" max="3591" width="8.140625" style="36" customWidth="1"/>
    <col min="3592" max="3594" width="8.28125" style="36" customWidth="1"/>
    <col min="3595" max="3596" width="8.421875" style="36" customWidth="1"/>
    <col min="3597" max="3597" width="8.28125" style="36" customWidth="1"/>
    <col min="3598" max="3598" width="8.140625" style="36" customWidth="1"/>
    <col min="3599" max="3599" width="8.28125" style="36" customWidth="1"/>
    <col min="3600" max="3600" width="11.28125" style="36" customWidth="1"/>
    <col min="3601" max="3601" width="9.8515625" style="36" bestFit="1" customWidth="1"/>
    <col min="3602" max="3840" width="9.140625" style="36" customWidth="1"/>
    <col min="3841" max="3841" width="4.7109375" style="36" customWidth="1"/>
    <col min="3842" max="3842" width="24.28125" style="36" customWidth="1"/>
    <col min="3843" max="3843" width="8.00390625" style="36" customWidth="1"/>
    <col min="3844" max="3844" width="12.7109375" style="36" customWidth="1"/>
    <col min="3845" max="3845" width="10.140625" style="36" bestFit="1" customWidth="1"/>
    <col min="3846" max="3847" width="8.140625" style="36" customWidth="1"/>
    <col min="3848" max="3850" width="8.28125" style="36" customWidth="1"/>
    <col min="3851" max="3852" width="8.421875" style="36" customWidth="1"/>
    <col min="3853" max="3853" width="8.28125" style="36" customWidth="1"/>
    <col min="3854" max="3854" width="8.140625" style="36" customWidth="1"/>
    <col min="3855" max="3855" width="8.28125" style="36" customWidth="1"/>
    <col min="3856" max="3856" width="11.28125" style="36" customWidth="1"/>
    <col min="3857" max="3857" width="9.8515625" style="36" bestFit="1" customWidth="1"/>
    <col min="3858" max="4096" width="9.140625" style="36" customWidth="1"/>
    <col min="4097" max="4097" width="4.7109375" style="36" customWidth="1"/>
    <col min="4098" max="4098" width="24.28125" style="36" customWidth="1"/>
    <col min="4099" max="4099" width="8.00390625" style="36" customWidth="1"/>
    <col min="4100" max="4100" width="12.7109375" style="36" customWidth="1"/>
    <col min="4101" max="4101" width="10.140625" style="36" bestFit="1" customWidth="1"/>
    <col min="4102" max="4103" width="8.140625" style="36" customWidth="1"/>
    <col min="4104" max="4106" width="8.28125" style="36" customWidth="1"/>
    <col min="4107" max="4108" width="8.421875" style="36" customWidth="1"/>
    <col min="4109" max="4109" width="8.28125" style="36" customWidth="1"/>
    <col min="4110" max="4110" width="8.140625" style="36" customWidth="1"/>
    <col min="4111" max="4111" width="8.28125" style="36" customWidth="1"/>
    <col min="4112" max="4112" width="11.28125" style="36" customWidth="1"/>
    <col min="4113" max="4113" width="9.8515625" style="36" bestFit="1" customWidth="1"/>
    <col min="4114" max="4352" width="9.140625" style="36" customWidth="1"/>
    <col min="4353" max="4353" width="4.7109375" style="36" customWidth="1"/>
    <col min="4354" max="4354" width="24.28125" style="36" customWidth="1"/>
    <col min="4355" max="4355" width="8.00390625" style="36" customWidth="1"/>
    <col min="4356" max="4356" width="12.7109375" style="36" customWidth="1"/>
    <col min="4357" max="4357" width="10.140625" style="36" bestFit="1" customWidth="1"/>
    <col min="4358" max="4359" width="8.140625" style="36" customWidth="1"/>
    <col min="4360" max="4362" width="8.28125" style="36" customWidth="1"/>
    <col min="4363" max="4364" width="8.421875" style="36" customWidth="1"/>
    <col min="4365" max="4365" width="8.28125" style="36" customWidth="1"/>
    <col min="4366" max="4366" width="8.140625" style="36" customWidth="1"/>
    <col min="4367" max="4367" width="8.28125" style="36" customWidth="1"/>
    <col min="4368" max="4368" width="11.28125" style="36" customWidth="1"/>
    <col min="4369" max="4369" width="9.8515625" style="36" bestFit="1" customWidth="1"/>
    <col min="4370" max="4608" width="9.140625" style="36" customWidth="1"/>
    <col min="4609" max="4609" width="4.7109375" style="36" customWidth="1"/>
    <col min="4610" max="4610" width="24.28125" style="36" customWidth="1"/>
    <col min="4611" max="4611" width="8.00390625" style="36" customWidth="1"/>
    <col min="4612" max="4612" width="12.7109375" style="36" customWidth="1"/>
    <col min="4613" max="4613" width="10.140625" style="36" bestFit="1" customWidth="1"/>
    <col min="4614" max="4615" width="8.140625" style="36" customWidth="1"/>
    <col min="4616" max="4618" width="8.28125" style="36" customWidth="1"/>
    <col min="4619" max="4620" width="8.421875" style="36" customWidth="1"/>
    <col min="4621" max="4621" width="8.28125" style="36" customWidth="1"/>
    <col min="4622" max="4622" width="8.140625" style="36" customWidth="1"/>
    <col min="4623" max="4623" width="8.28125" style="36" customWidth="1"/>
    <col min="4624" max="4624" width="11.28125" style="36" customWidth="1"/>
    <col min="4625" max="4625" width="9.8515625" style="36" bestFit="1" customWidth="1"/>
    <col min="4626" max="4864" width="9.140625" style="36" customWidth="1"/>
    <col min="4865" max="4865" width="4.7109375" style="36" customWidth="1"/>
    <col min="4866" max="4866" width="24.28125" style="36" customWidth="1"/>
    <col min="4867" max="4867" width="8.00390625" style="36" customWidth="1"/>
    <col min="4868" max="4868" width="12.7109375" style="36" customWidth="1"/>
    <col min="4869" max="4869" width="10.140625" style="36" bestFit="1" customWidth="1"/>
    <col min="4870" max="4871" width="8.140625" style="36" customWidth="1"/>
    <col min="4872" max="4874" width="8.28125" style="36" customWidth="1"/>
    <col min="4875" max="4876" width="8.421875" style="36" customWidth="1"/>
    <col min="4877" max="4877" width="8.28125" style="36" customWidth="1"/>
    <col min="4878" max="4878" width="8.140625" style="36" customWidth="1"/>
    <col min="4879" max="4879" width="8.28125" style="36" customWidth="1"/>
    <col min="4880" max="4880" width="11.28125" style="36" customWidth="1"/>
    <col min="4881" max="4881" width="9.8515625" style="36" bestFit="1" customWidth="1"/>
    <col min="4882" max="5120" width="9.140625" style="36" customWidth="1"/>
    <col min="5121" max="5121" width="4.7109375" style="36" customWidth="1"/>
    <col min="5122" max="5122" width="24.28125" style="36" customWidth="1"/>
    <col min="5123" max="5123" width="8.00390625" style="36" customWidth="1"/>
    <col min="5124" max="5124" width="12.7109375" style="36" customWidth="1"/>
    <col min="5125" max="5125" width="10.140625" style="36" bestFit="1" customWidth="1"/>
    <col min="5126" max="5127" width="8.140625" style="36" customWidth="1"/>
    <col min="5128" max="5130" width="8.28125" style="36" customWidth="1"/>
    <col min="5131" max="5132" width="8.421875" style="36" customWidth="1"/>
    <col min="5133" max="5133" width="8.28125" style="36" customWidth="1"/>
    <col min="5134" max="5134" width="8.140625" style="36" customWidth="1"/>
    <col min="5135" max="5135" width="8.28125" style="36" customWidth="1"/>
    <col min="5136" max="5136" width="11.28125" style="36" customWidth="1"/>
    <col min="5137" max="5137" width="9.8515625" style="36" bestFit="1" customWidth="1"/>
    <col min="5138" max="5376" width="9.140625" style="36" customWidth="1"/>
    <col min="5377" max="5377" width="4.7109375" style="36" customWidth="1"/>
    <col min="5378" max="5378" width="24.28125" style="36" customWidth="1"/>
    <col min="5379" max="5379" width="8.00390625" style="36" customWidth="1"/>
    <col min="5380" max="5380" width="12.7109375" style="36" customWidth="1"/>
    <col min="5381" max="5381" width="10.140625" style="36" bestFit="1" customWidth="1"/>
    <col min="5382" max="5383" width="8.140625" style="36" customWidth="1"/>
    <col min="5384" max="5386" width="8.28125" style="36" customWidth="1"/>
    <col min="5387" max="5388" width="8.421875" style="36" customWidth="1"/>
    <col min="5389" max="5389" width="8.28125" style="36" customWidth="1"/>
    <col min="5390" max="5390" width="8.140625" style="36" customWidth="1"/>
    <col min="5391" max="5391" width="8.28125" style="36" customWidth="1"/>
    <col min="5392" max="5392" width="11.28125" style="36" customWidth="1"/>
    <col min="5393" max="5393" width="9.8515625" style="36" bestFit="1" customWidth="1"/>
    <col min="5394" max="5632" width="9.140625" style="36" customWidth="1"/>
    <col min="5633" max="5633" width="4.7109375" style="36" customWidth="1"/>
    <col min="5634" max="5634" width="24.28125" style="36" customWidth="1"/>
    <col min="5635" max="5635" width="8.00390625" style="36" customWidth="1"/>
    <col min="5636" max="5636" width="12.7109375" style="36" customWidth="1"/>
    <col min="5637" max="5637" width="10.140625" style="36" bestFit="1" customWidth="1"/>
    <col min="5638" max="5639" width="8.140625" style="36" customWidth="1"/>
    <col min="5640" max="5642" width="8.28125" style="36" customWidth="1"/>
    <col min="5643" max="5644" width="8.421875" style="36" customWidth="1"/>
    <col min="5645" max="5645" width="8.28125" style="36" customWidth="1"/>
    <col min="5646" max="5646" width="8.140625" style="36" customWidth="1"/>
    <col min="5647" max="5647" width="8.28125" style="36" customWidth="1"/>
    <col min="5648" max="5648" width="11.28125" style="36" customWidth="1"/>
    <col min="5649" max="5649" width="9.8515625" style="36" bestFit="1" customWidth="1"/>
    <col min="5650" max="5888" width="9.140625" style="36" customWidth="1"/>
    <col min="5889" max="5889" width="4.7109375" style="36" customWidth="1"/>
    <col min="5890" max="5890" width="24.28125" style="36" customWidth="1"/>
    <col min="5891" max="5891" width="8.00390625" style="36" customWidth="1"/>
    <col min="5892" max="5892" width="12.7109375" style="36" customWidth="1"/>
    <col min="5893" max="5893" width="10.140625" style="36" bestFit="1" customWidth="1"/>
    <col min="5894" max="5895" width="8.140625" style="36" customWidth="1"/>
    <col min="5896" max="5898" width="8.28125" style="36" customWidth="1"/>
    <col min="5899" max="5900" width="8.421875" style="36" customWidth="1"/>
    <col min="5901" max="5901" width="8.28125" style="36" customWidth="1"/>
    <col min="5902" max="5902" width="8.140625" style="36" customWidth="1"/>
    <col min="5903" max="5903" width="8.28125" style="36" customWidth="1"/>
    <col min="5904" max="5904" width="11.28125" style="36" customWidth="1"/>
    <col min="5905" max="5905" width="9.8515625" style="36" bestFit="1" customWidth="1"/>
    <col min="5906" max="6144" width="9.140625" style="36" customWidth="1"/>
    <col min="6145" max="6145" width="4.7109375" style="36" customWidth="1"/>
    <col min="6146" max="6146" width="24.28125" style="36" customWidth="1"/>
    <col min="6147" max="6147" width="8.00390625" style="36" customWidth="1"/>
    <col min="6148" max="6148" width="12.7109375" style="36" customWidth="1"/>
    <col min="6149" max="6149" width="10.140625" style="36" bestFit="1" customWidth="1"/>
    <col min="6150" max="6151" width="8.140625" style="36" customWidth="1"/>
    <col min="6152" max="6154" width="8.28125" style="36" customWidth="1"/>
    <col min="6155" max="6156" width="8.421875" style="36" customWidth="1"/>
    <col min="6157" max="6157" width="8.28125" style="36" customWidth="1"/>
    <col min="6158" max="6158" width="8.140625" style="36" customWidth="1"/>
    <col min="6159" max="6159" width="8.28125" style="36" customWidth="1"/>
    <col min="6160" max="6160" width="11.28125" style="36" customWidth="1"/>
    <col min="6161" max="6161" width="9.8515625" style="36" bestFit="1" customWidth="1"/>
    <col min="6162" max="6400" width="9.140625" style="36" customWidth="1"/>
    <col min="6401" max="6401" width="4.7109375" style="36" customWidth="1"/>
    <col min="6402" max="6402" width="24.28125" style="36" customWidth="1"/>
    <col min="6403" max="6403" width="8.00390625" style="36" customWidth="1"/>
    <col min="6404" max="6404" width="12.7109375" style="36" customWidth="1"/>
    <col min="6405" max="6405" width="10.140625" style="36" bestFit="1" customWidth="1"/>
    <col min="6406" max="6407" width="8.140625" style="36" customWidth="1"/>
    <col min="6408" max="6410" width="8.28125" style="36" customWidth="1"/>
    <col min="6411" max="6412" width="8.421875" style="36" customWidth="1"/>
    <col min="6413" max="6413" width="8.28125" style="36" customWidth="1"/>
    <col min="6414" max="6414" width="8.140625" style="36" customWidth="1"/>
    <col min="6415" max="6415" width="8.28125" style="36" customWidth="1"/>
    <col min="6416" max="6416" width="11.28125" style="36" customWidth="1"/>
    <col min="6417" max="6417" width="9.8515625" style="36" bestFit="1" customWidth="1"/>
    <col min="6418" max="6656" width="9.140625" style="36" customWidth="1"/>
    <col min="6657" max="6657" width="4.7109375" style="36" customWidth="1"/>
    <col min="6658" max="6658" width="24.28125" style="36" customWidth="1"/>
    <col min="6659" max="6659" width="8.00390625" style="36" customWidth="1"/>
    <col min="6660" max="6660" width="12.7109375" style="36" customWidth="1"/>
    <col min="6661" max="6661" width="10.140625" style="36" bestFit="1" customWidth="1"/>
    <col min="6662" max="6663" width="8.140625" style="36" customWidth="1"/>
    <col min="6664" max="6666" width="8.28125" style="36" customWidth="1"/>
    <col min="6667" max="6668" width="8.421875" style="36" customWidth="1"/>
    <col min="6669" max="6669" width="8.28125" style="36" customWidth="1"/>
    <col min="6670" max="6670" width="8.140625" style="36" customWidth="1"/>
    <col min="6671" max="6671" width="8.28125" style="36" customWidth="1"/>
    <col min="6672" max="6672" width="11.28125" style="36" customWidth="1"/>
    <col min="6673" max="6673" width="9.8515625" style="36" bestFit="1" customWidth="1"/>
    <col min="6674" max="6912" width="9.140625" style="36" customWidth="1"/>
    <col min="6913" max="6913" width="4.7109375" style="36" customWidth="1"/>
    <col min="6914" max="6914" width="24.28125" style="36" customWidth="1"/>
    <col min="6915" max="6915" width="8.00390625" style="36" customWidth="1"/>
    <col min="6916" max="6916" width="12.7109375" style="36" customWidth="1"/>
    <col min="6917" max="6917" width="10.140625" style="36" bestFit="1" customWidth="1"/>
    <col min="6918" max="6919" width="8.140625" style="36" customWidth="1"/>
    <col min="6920" max="6922" width="8.28125" style="36" customWidth="1"/>
    <col min="6923" max="6924" width="8.421875" style="36" customWidth="1"/>
    <col min="6925" max="6925" width="8.28125" style="36" customWidth="1"/>
    <col min="6926" max="6926" width="8.140625" style="36" customWidth="1"/>
    <col min="6927" max="6927" width="8.28125" style="36" customWidth="1"/>
    <col min="6928" max="6928" width="11.28125" style="36" customWidth="1"/>
    <col min="6929" max="6929" width="9.8515625" style="36" bestFit="1" customWidth="1"/>
    <col min="6930" max="7168" width="9.140625" style="36" customWidth="1"/>
    <col min="7169" max="7169" width="4.7109375" style="36" customWidth="1"/>
    <col min="7170" max="7170" width="24.28125" style="36" customWidth="1"/>
    <col min="7171" max="7171" width="8.00390625" style="36" customWidth="1"/>
    <col min="7172" max="7172" width="12.7109375" style="36" customWidth="1"/>
    <col min="7173" max="7173" width="10.140625" style="36" bestFit="1" customWidth="1"/>
    <col min="7174" max="7175" width="8.140625" style="36" customWidth="1"/>
    <col min="7176" max="7178" width="8.28125" style="36" customWidth="1"/>
    <col min="7179" max="7180" width="8.421875" style="36" customWidth="1"/>
    <col min="7181" max="7181" width="8.28125" style="36" customWidth="1"/>
    <col min="7182" max="7182" width="8.140625" style="36" customWidth="1"/>
    <col min="7183" max="7183" width="8.28125" style="36" customWidth="1"/>
    <col min="7184" max="7184" width="11.28125" style="36" customWidth="1"/>
    <col min="7185" max="7185" width="9.8515625" style="36" bestFit="1" customWidth="1"/>
    <col min="7186" max="7424" width="9.140625" style="36" customWidth="1"/>
    <col min="7425" max="7425" width="4.7109375" style="36" customWidth="1"/>
    <col min="7426" max="7426" width="24.28125" style="36" customWidth="1"/>
    <col min="7427" max="7427" width="8.00390625" style="36" customWidth="1"/>
    <col min="7428" max="7428" width="12.7109375" style="36" customWidth="1"/>
    <col min="7429" max="7429" width="10.140625" style="36" bestFit="1" customWidth="1"/>
    <col min="7430" max="7431" width="8.140625" style="36" customWidth="1"/>
    <col min="7432" max="7434" width="8.28125" style="36" customWidth="1"/>
    <col min="7435" max="7436" width="8.421875" style="36" customWidth="1"/>
    <col min="7437" max="7437" width="8.28125" style="36" customWidth="1"/>
    <col min="7438" max="7438" width="8.140625" style="36" customWidth="1"/>
    <col min="7439" max="7439" width="8.28125" style="36" customWidth="1"/>
    <col min="7440" max="7440" width="11.28125" style="36" customWidth="1"/>
    <col min="7441" max="7441" width="9.8515625" style="36" bestFit="1" customWidth="1"/>
    <col min="7442" max="7680" width="9.140625" style="36" customWidth="1"/>
    <col min="7681" max="7681" width="4.7109375" style="36" customWidth="1"/>
    <col min="7682" max="7682" width="24.28125" style="36" customWidth="1"/>
    <col min="7683" max="7683" width="8.00390625" style="36" customWidth="1"/>
    <col min="7684" max="7684" width="12.7109375" style="36" customWidth="1"/>
    <col min="7685" max="7685" width="10.140625" style="36" bestFit="1" customWidth="1"/>
    <col min="7686" max="7687" width="8.140625" style="36" customWidth="1"/>
    <col min="7688" max="7690" width="8.28125" style="36" customWidth="1"/>
    <col min="7691" max="7692" width="8.421875" style="36" customWidth="1"/>
    <col min="7693" max="7693" width="8.28125" style="36" customWidth="1"/>
    <col min="7694" max="7694" width="8.140625" style="36" customWidth="1"/>
    <col min="7695" max="7695" width="8.28125" style="36" customWidth="1"/>
    <col min="7696" max="7696" width="11.28125" style="36" customWidth="1"/>
    <col min="7697" max="7697" width="9.8515625" style="36" bestFit="1" customWidth="1"/>
    <col min="7698" max="7936" width="9.140625" style="36" customWidth="1"/>
    <col min="7937" max="7937" width="4.7109375" style="36" customWidth="1"/>
    <col min="7938" max="7938" width="24.28125" style="36" customWidth="1"/>
    <col min="7939" max="7939" width="8.00390625" style="36" customWidth="1"/>
    <col min="7940" max="7940" width="12.7109375" style="36" customWidth="1"/>
    <col min="7941" max="7941" width="10.140625" style="36" bestFit="1" customWidth="1"/>
    <col min="7942" max="7943" width="8.140625" style="36" customWidth="1"/>
    <col min="7944" max="7946" width="8.28125" style="36" customWidth="1"/>
    <col min="7947" max="7948" width="8.421875" style="36" customWidth="1"/>
    <col min="7949" max="7949" width="8.28125" style="36" customWidth="1"/>
    <col min="7950" max="7950" width="8.140625" style="36" customWidth="1"/>
    <col min="7951" max="7951" width="8.28125" style="36" customWidth="1"/>
    <col min="7952" max="7952" width="11.28125" style="36" customWidth="1"/>
    <col min="7953" max="7953" width="9.8515625" style="36" bestFit="1" customWidth="1"/>
    <col min="7954" max="8192" width="9.140625" style="36" customWidth="1"/>
    <col min="8193" max="8193" width="4.7109375" style="36" customWidth="1"/>
    <col min="8194" max="8194" width="24.28125" style="36" customWidth="1"/>
    <col min="8195" max="8195" width="8.00390625" style="36" customWidth="1"/>
    <col min="8196" max="8196" width="12.7109375" style="36" customWidth="1"/>
    <col min="8197" max="8197" width="10.140625" style="36" bestFit="1" customWidth="1"/>
    <col min="8198" max="8199" width="8.140625" style="36" customWidth="1"/>
    <col min="8200" max="8202" width="8.28125" style="36" customWidth="1"/>
    <col min="8203" max="8204" width="8.421875" style="36" customWidth="1"/>
    <col min="8205" max="8205" width="8.28125" style="36" customWidth="1"/>
    <col min="8206" max="8206" width="8.140625" style="36" customWidth="1"/>
    <col min="8207" max="8207" width="8.28125" style="36" customWidth="1"/>
    <col min="8208" max="8208" width="11.28125" style="36" customWidth="1"/>
    <col min="8209" max="8209" width="9.8515625" style="36" bestFit="1" customWidth="1"/>
    <col min="8210" max="8448" width="9.140625" style="36" customWidth="1"/>
    <col min="8449" max="8449" width="4.7109375" style="36" customWidth="1"/>
    <col min="8450" max="8450" width="24.28125" style="36" customWidth="1"/>
    <col min="8451" max="8451" width="8.00390625" style="36" customWidth="1"/>
    <col min="8452" max="8452" width="12.7109375" style="36" customWidth="1"/>
    <col min="8453" max="8453" width="10.140625" style="36" bestFit="1" customWidth="1"/>
    <col min="8454" max="8455" width="8.140625" style="36" customWidth="1"/>
    <col min="8456" max="8458" width="8.28125" style="36" customWidth="1"/>
    <col min="8459" max="8460" width="8.421875" style="36" customWidth="1"/>
    <col min="8461" max="8461" width="8.28125" style="36" customWidth="1"/>
    <col min="8462" max="8462" width="8.140625" style="36" customWidth="1"/>
    <col min="8463" max="8463" width="8.28125" style="36" customWidth="1"/>
    <col min="8464" max="8464" width="11.28125" style="36" customWidth="1"/>
    <col min="8465" max="8465" width="9.8515625" style="36" bestFit="1" customWidth="1"/>
    <col min="8466" max="8704" width="9.140625" style="36" customWidth="1"/>
    <col min="8705" max="8705" width="4.7109375" style="36" customWidth="1"/>
    <col min="8706" max="8706" width="24.28125" style="36" customWidth="1"/>
    <col min="8707" max="8707" width="8.00390625" style="36" customWidth="1"/>
    <col min="8708" max="8708" width="12.7109375" style="36" customWidth="1"/>
    <col min="8709" max="8709" width="10.140625" style="36" bestFit="1" customWidth="1"/>
    <col min="8710" max="8711" width="8.140625" style="36" customWidth="1"/>
    <col min="8712" max="8714" width="8.28125" style="36" customWidth="1"/>
    <col min="8715" max="8716" width="8.421875" style="36" customWidth="1"/>
    <col min="8717" max="8717" width="8.28125" style="36" customWidth="1"/>
    <col min="8718" max="8718" width="8.140625" style="36" customWidth="1"/>
    <col min="8719" max="8719" width="8.28125" style="36" customWidth="1"/>
    <col min="8720" max="8720" width="11.28125" style="36" customWidth="1"/>
    <col min="8721" max="8721" width="9.8515625" style="36" bestFit="1" customWidth="1"/>
    <col min="8722" max="8960" width="9.140625" style="36" customWidth="1"/>
    <col min="8961" max="8961" width="4.7109375" style="36" customWidth="1"/>
    <col min="8962" max="8962" width="24.28125" style="36" customWidth="1"/>
    <col min="8963" max="8963" width="8.00390625" style="36" customWidth="1"/>
    <col min="8964" max="8964" width="12.7109375" style="36" customWidth="1"/>
    <col min="8965" max="8965" width="10.140625" style="36" bestFit="1" customWidth="1"/>
    <col min="8966" max="8967" width="8.140625" style="36" customWidth="1"/>
    <col min="8968" max="8970" width="8.28125" style="36" customWidth="1"/>
    <col min="8971" max="8972" width="8.421875" style="36" customWidth="1"/>
    <col min="8973" max="8973" width="8.28125" style="36" customWidth="1"/>
    <col min="8974" max="8974" width="8.140625" style="36" customWidth="1"/>
    <col min="8975" max="8975" width="8.28125" style="36" customWidth="1"/>
    <col min="8976" max="8976" width="11.28125" style="36" customWidth="1"/>
    <col min="8977" max="8977" width="9.8515625" style="36" bestFit="1" customWidth="1"/>
    <col min="8978" max="9216" width="9.140625" style="36" customWidth="1"/>
    <col min="9217" max="9217" width="4.7109375" style="36" customWidth="1"/>
    <col min="9218" max="9218" width="24.28125" style="36" customWidth="1"/>
    <col min="9219" max="9219" width="8.00390625" style="36" customWidth="1"/>
    <col min="9220" max="9220" width="12.7109375" style="36" customWidth="1"/>
    <col min="9221" max="9221" width="10.140625" style="36" bestFit="1" customWidth="1"/>
    <col min="9222" max="9223" width="8.140625" style="36" customWidth="1"/>
    <col min="9224" max="9226" width="8.28125" style="36" customWidth="1"/>
    <col min="9227" max="9228" width="8.421875" style="36" customWidth="1"/>
    <col min="9229" max="9229" width="8.28125" style="36" customWidth="1"/>
    <col min="9230" max="9230" width="8.140625" style="36" customWidth="1"/>
    <col min="9231" max="9231" width="8.28125" style="36" customWidth="1"/>
    <col min="9232" max="9232" width="11.28125" style="36" customWidth="1"/>
    <col min="9233" max="9233" width="9.8515625" style="36" bestFit="1" customWidth="1"/>
    <col min="9234" max="9472" width="9.140625" style="36" customWidth="1"/>
    <col min="9473" max="9473" width="4.7109375" style="36" customWidth="1"/>
    <col min="9474" max="9474" width="24.28125" style="36" customWidth="1"/>
    <col min="9475" max="9475" width="8.00390625" style="36" customWidth="1"/>
    <col min="9476" max="9476" width="12.7109375" style="36" customWidth="1"/>
    <col min="9477" max="9477" width="10.140625" style="36" bestFit="1" customWidth="1"/>
    <col min="9478" max="9479" width="8.140625" style="36" customWidth="1"/>
    <col min="9480" max="9482" width="8.28125" style="36" customWidth="1"/>
    <col min="9483" max="9484" width="8.421875" style="36" customWidth="1"/>
    <col min="9485" max="9485" width="8.28125" style="36" customWidth="1"/>
    <col min="9486" max="9486" width="8.140625" style="36" customWidth="1"/>
    <col min="9487" max="9487" width="8.28125" style="36" customWidth="1"/>
    <col min="9488" max="9488" width="11.28125" style="36" customWidth="1"/>
    <col min="9489" max="9489" width="9.8515625" style="36" bestFit="1" customWidth="1"/>
    <col min="9490" max="9728" width="9.140625" style="36" customWidth="1"/>
    <col min="9729" max="9729" width="4.7109375" style="36" customWidth="1"/>
    <col min="9730" max="9730" width="24.28125" style="36" customWidth="1"/>
    <col min="9731" max="9731" width="8.00390625" style="36" customWidth="1"/>
    <col min="9732" max="9732" width="12.7109375" style="36" customWidth="1"/>
    <col min="9733" max="9733" width="10.140625" style="36" bestFit="1" customWidth="1"/>
    <col min="9734" max="9735" width="8.140625" style="36" customWidth="1"/>
    <col min="9736" max="9738" width="8.28125" style="36" customWidth="1"/>
    <col min="9739" max="9740" width="8.421875" style="36" customWidth="1"/>
    <col min="9741" max="9741" width="8.28125" style="36" customWidth="1"/>
    <col min="9742" max="9742" width="8.140625" style="36" customWidth="1"/>
    <col min="9743" max="9743" width="8.28125" style="36" customWidth="1"/>
    <col min="9744" max="9744" width="11.28125" style="36" customWidth="1"/>
    <col min="9745" max="9745" width="9.8515625" style="36" bestFit="1" customWidth="1"/>
    <col min="9746" max="9984" width="9.140625" style="36" customWidth="1"/>
    <col min="9985" max="9985" width="4.7109375" style="36" customWidth="1"/>
    <col min="9986" max="9986" width="24.28125" style="36" customWidth="1"/>
    <col min="9987" max="9987" width="8.00390625" style="36" customWidth="1"/>
    <col min="9988" max="9988" width="12.7109375" style="36" customWidth="1"/>
    <col min="9989" max="9989" width="10.140625" style="36" bestFit="1" customWidth="1"/>
    <col min="9990" max="9991" width="8.140625" style="36" customWidth="1"/>
    <col min="9992" max="9994" width="8.28125" style="36" customWidth="1"/>
    <col min="9995" max="9996" width="8.421875" style="36" customWidth="1"/>
    <col min="9997" max="9997" width="8.28125" style="36" customWidth="1"/>
    <col min="9998" max="9998" width="8.140625" style="36" customWidth="1"/>
    <col min="9999" max="9999" width="8.28125" style="36" customWidth="1"/>
    <col min="10000" max="10000" width="11.28125" style="36" customWidth="1"/>
    <col min="10001" max="10001" width="9.8515625" style="36" bestFit="1" customWidth="1"/>
    <col min="10002" max="10240" width="9.140625" style="36" customWidth="1"/>
    <col min="10241" max="10241" width="4.7109375" style="36" customWidth="1"/>
    <col min="10242" max="10242" width="24.28125" style="36" customWidth="1"/>
    <col min="10243" max="10243" width="8.00390625" style="36" customWidth="1"/>
    <col min="10244" max="10244" width="12.7109375" style="36" customWidth="1"/>
    <col min="10245" max="10245" width="10.140625" style="36" bestFit="1" customWidth="1"/>
    <col min="10246" max="10247" width="8.140625" style="36" customWidth="1"/>
    <col min="10248" max="10250" width="8.28125" style="36" customWidth="1"/>
    <col min="10251" max="10252" width="8.421875" style="36" customWidth="1"/>
    <col min="10253" max="10253" width="8.28125" style="36" customWidth="1"/>
    <col min="10254" max="10254" width="8.140625" style="36" customWidth="1"/>
    <col min="10255" max="10255" width="8.28125" style="36" customWidth="1"/>
    <col min="10256" max="10256" width="11.28125" style="36" customWidth="1"/>
    <col min="10257" max="10257" width="9.8515625" style="36" bestFit="1" customWidth="1"/>
    <col min="10258" max="10496" width="9.140625" style="36" customWidth="1"/>
    <col min="10497" max="10497" width="4.7109375" style="36" customWidth="1"/>
    <col min="10498" max="10498" width="24.28125" style="36" customWidth="1"/>
    <col min="10499" max="10499" width="8.00390625" style="36" customWidth="1"/>
    <col min="10500" max="10500" width="12.7109375" style="36" customWidth="1"/>
    <col min="10501" max="10501" width="10.140625" style="36" bestFit="1" customWidth="1"/>
    <col min="10502" max="10503" width="8.140625" style="36" customWidth="1"/>
    <col min="10504" max="10506" width="8.28125" style="36" customWidth="1"/>
    <col min="10507" max="10508" width="8.421875" style="36" customWidth="1"/>
    <col min="10509" max="10509" width="8.28125" style="36" customWidth="1"/>
    <col min="10510" max="10510" width="8.140625" style="36" customWidth="1"/>
    <col min="10511" max="10511" width="8.28125" style="36" customWidth="1"/>
    <col min="10512" max="10512" width="11.28125" style="36" customWidth="1"/>
    <col min="10513" max="10513" width="9.8515625" style="36" bestFit="1" customWidth="1"/>
    <col min="10514" max="10752" width="9.140625" style="36" customWidth="1"/>
    <col min="10753" max="10753" width="4.7109375" style="36" customWidth="1"/>
    <col min="10754" max="10754" width="24.28125" style="36" customWidth="1"/>
    <col min="10755" max="10755" width="8.00390625" style="36" customWidth="1"/>
    <col min="10756" max="10756" width="12.7109375" style="36" customWidth="1"/>
    <col min="10757" max="10757" width="10.140625" style="36" bestFit="1" customWidth="1"/>
    <col min="10758" max="10759" width="8.140625" style="36" customWidth="1"/>
    <col min="10760" max="10762" width="8.28125" style="36" customWidth="1"/>
    <col min="10763" max="10764" width="8.421875" style="36" customWidth="1"/>
    <col min="10765" max="10765" width="8.28125" style="36" customWidth="1"/>
    <col min="10766" max="10766" width="8.140625" style="36" customWidth="1"/>
    <col min="10767" max="10767" width="8.28125" style="36" customWidth="1"/>
    <col min="10768" max="10768" width="11.28125" style="36" customWidth="1"/>
    <col min="10769" max="10769" width="9.8515625" style="36" bestFit="1" customWidth="1"/>
    <col min="10770" max="11008" width="9.140625" style="36" customWidth="1"/>
    <col min="11009" max="11009" width="4.7109375" style="36" customWidth="1"/>
    <col min="11010" max="11010" width="24.28125" style="36" customWidth="1"/>
    <col min="11011" max="11011" width="8.00390625" style="36" customWidth="1"/>
    <col min="11012" max="11012" width="12.7109375" style="36" customWidth="1"/>
    <col min="11013" max="11013" width="10.140625" style="36" bestFit="1" customWidth="1"/>
    <col min="11014" max="11015" width="8.140625" style="36" customWidth="1"/>
    <col min="11016" max="11018" width="8.28125" style="36" customWidth="1"/>
    <col min="11019" max="11020" width="8.421875" style="36" customWidth="1"/>
    <col min="11021" max="11021" width="8.28125" style="36" customWidth="1"/>
    <col min="11022" max="11022" width="8.140625" style="36" customWidth="1"/>
    <col min="11023" max="11023" width="8.28125" style="36" customWidth="1"/>
    <col min="11024" max="11024" width="11.28125" style="36" customWidth="1"/>
    <col min="11025" max="11025" width="9.8515625" style="36" bestFit="1" customWidth="1"/>
    <col min="11026" max="11264" width="9.140625" style="36" customWidth="1"/>
    <col min="11265" max="11265" width="4.7109375" style="36" customWidth="1"/>
    <col min="11266" max="11266" width="24.28125" style="36" customWidth="1"/>
    <col min="11267" max="11267" width="8.00390625" style="36" customWidth="1"/>
    <col min="11268" max="11268" width="12.7109375" style="36" customWidth="1"/>
    <col min="11269" max="11269" width="10.140625" style="36" bestFit="1" customWidth="1"/>
    <col min="11270" max="11271" width="8.140625" style="36" customWidth="1"/>
    <col min="11272" max="11274" width="8.28125" style="36" customWidth="1"/>
    <col min="11275" max="11276" width="8.421875" style="36" customWidth="1"/>
    <col min="11277" max="11277" width="8.28125" style="36" customWidth="1"/>
    <col min="11278" max="11278" width="8.140625" style="36" customWidth="1"/>
    <col min="11279" max="11279" width="8.28125" style="36" customWidth="1"/>
    <col min="11280" max="11280" width="11.28125" style="36" customWidth="1"/>
    <col min="11281" max="11281" width="9.8515625" style="36" bestFit="1" customWidth="1"/>
    <col min="11282" max="11520" width="9.140625" style="36" customWidth="1"/>
    <col min="11521" max="11521" width="4.7109375" style="36" customWidth="1"/>
    <col min="11522" max="11522" width="24.28125" style="36" customWidth="1"/>
    <col min="11523" max="11523" width="8.00390625" style="36" customWidth="1"/>
    <col min="11524" max="11524" width="12.7109375" style="36" customWidth="1"/>
    <col min="11525" max="11525" width="10.140625" style="36" bestFit="1" customWidth="1"/>
    <col min="11526" max="11527" width="8.140625" style="36" customWidth="1"/>
    <col min="11528" max="11530" width="8.28125" style="36" customWidth="1"/>
    <col min="11531" max="11532" width="8.421875" style="36" customWidth="1"/>
    <col min="11533" max="11533" width="8.28125" style="36" customWidth="1"/>
    <col min="11534" max="11534" width="8.140625" style="36" customWidth="1"/>
    <col min="11535" max="11535" width="8.28125" style="36" customWidth="1"/>
    <col min="11536" max="11536" width="11.28125" style="36" customWidth="1"/>
    <col min="11537" max="11537" width="9.8515625" style="36" bestFit="1" customWidth="1"/>
    <col min="11538" max="11776" width="9.140625" style="36" customWidth="1"/>
    <col min="11777" max="11777" width="4.7109375" style="36" customWidth="1"/>
    <col min="11778" max="11778" width="24.28125" style="36" customWidth="1"/>
    <col min="11779" max="11779" width="8.00390625" style="36" customWidth="1"/>
    <col min="11780" max="11780" width="12.7109375" style="36" customWidth="1"/>
    <col min="11781" max="11781" width="10.140625" style="36" bestFit="1" customWidth="1"/>
    <col min="11782" max="11783" width="8.140625" style="36" customWidth="1"/>
    <col min="11784" max="11786" width="8.28125" style="36" customWidth="1"/>
    <col min="11787" max="11788" width="8.421875" style="36" customWidth="1"/>
    <col min="11789" max="11789" width="8.28125" style="36" customWidth="1"/>
    <col min="11790" max="11790" width="8.140625" style="36" customWidth="1"/>
    <col min="11791" max="11791" width="8.28125" style="36" customWidth="1"/>
    <col min="11792" max="11792" width="11.28125" style="36" customWidth="1"/>
    <col min="11793" max="11793" width="9.8515625" style="36" bestFit="1" customWidth="1"/>
    <col min="11794" max="12032" width="9.140625" style="36" customWidth="1"/>
    <col min="12033" max="12033" width="4.7109375" style="36" customWidth="1"/>
    <col min="12034" max="12034" width="24.28125" style="36" customWidth="1"/>
    <col min="12035" max="12035" width="8.00390625" style="36" customWidth="1"/>
    <col min="12036" max="12036" width="12.7109375" style="36" customWidth="1"/>
    <col min="12037" max="12037" width="10.140625" style="36" bestFit="1" customWidth="1"/>
    <col min="12038" max="12039" width="8.140625" style="36" customWidth="1"/>
    <col min="12040" max="12042" width="8.28125" style="36" customWidth="1"/>
    <col min="12043" max="12044" width="8.421875" style="36" customWidth="1"/>
    <col min="12045" max="12045" width="8.28125" style="36" customWidth="1"/>
    <col min="12046" max="12046" width="8.140625" style="36" customWidth="1"/>
    <col min="12047" max="12047" width="8.28125" style="36" customWidth="1"/>
    <col min="12048" max="12048" width="11.28125" style="36" customWidth="1"/>
    <col min="12049" max="12049" width="9.8515625" style="36" bestFit="1" customWidth="1"/>
    <col min="12050" max="12288" width="9.140625" style="36" customWidth="1"/>
    <col min="12289" max="12289" width="4.7109375" style="36" customWidth="1"/>
    <col min="12290" max="12290" width="24.28125" style="36" customWidth="1"/>
    <col min="12291" max="12291" width="8.00390625" style="36" customWidth="1"/>
    <col min="12292" max="12292" width="12.7109375" style="36" customWidth="1"/>
    <col min="12293" max="12293" width="10.140625" style="36" bestFit="1" customWidth="1"/>
    <col min="12294" max="12295" width="8.140625" style="36" customWidth="1"/>
    <col min="12296" max="12298" width="8.28125" style="36" customWidth="1"/>
    <col min="12299" max="12300" width="8.421875" style="36" customWidth="1"/>
    <col min="12301" max="12301" width="8.28125" style="36" customWidth="1"/>
    <col min="12302" max="12302" width="8.140625" style="36" customWidth="1"/>
    <col min="12303" max="12303" width="8.28125" style="36" customWidth="1"/>
    <col min="12304" max="12304" width="11.28125" style="36" customWidth="1"/>
    <col min="12305" max="12305" width="9.8515625" style="36" bestFit="1" customWidth="1"/>
    <col min="12306" max="12544" width="9.140625" style="36" customWidth="1"/>
    <col min="12545" max="12545" width="4.7109375" style="36" customWidth="1"/>
    <col min="12546" max="12546" width="24.28125" style="36" customWidth="1"/>
    <col min="12547" max="12547" width="8.00390625" style="36" customWidth="1"/>
    <col min="12548" max="12548" width="12.7109375" style="36" customWidth="1"/>
    <col min="12549" max="12549" width="10.140625" style="36" bestFit="1" customWidth="1"/>
    <col min="12550" max="12551" width="8.140625" style="36" customWidth="1"/>
    <col min="12552" max="12554" width="8.28125" style="36" customWidth="1"/>
    <col min="12555" max="12556" width="8.421875" style="36" customWidth="1"/>
    <col min="12557" max="12557" width="8.28125" style="36" customWidth="1"/>
    <col min="12558" max="12558" width="8.140625" style="36" customWidth="1"/>
    <col min="12559" max="12559" width="8.28125" style="36" customWidth="1"/>
    <col min="12560" max="12560" width="11.28125" style="36" customWidth="1"/>
    <col min="12561" max="12561" width="9.8515625" style="36" bestFit="1" customWidth="1"/>
    <col min="12562" max="12800" width="9.140625" style="36" customWidth="1"/>
    <col min="12801" max="12801" width="4.7109375" style="36" customWidth="1"/>
    <col min="12802" max="12802" width="24.28125" style="36" customWidth="1"/>
    <col min="12803" max="12803" width="8.00390625" style="36" customWidth="1"/>
    <col min="12804" max="12804" width="12.7109375" style="36" customWidth="1"/>
    <col min="12805" max="12805" width="10.140625" style="36" bestFit="1" customWidth="1"/>
    <col min="12806" max="12807" width="8.140625" style="36" customWidth="1"/>
    <col min="12808" max="12810" width="8.28125" style="36" customWidth="1"/>
    <col min="12811" max="12812" width="8.421875" style="36" customWidth="1"/>
    <col min="12813" max="12813" width="8.28125" style="36" customWidth="1"/>
    <col min="12814" max="12814" width="8.140625" style="36" customWidth="1"/>
    <col min="12815" max="12815" width="8.28125" style="36" customWidth="1"/>
    <col min="12816" max="12816" width="11.28125" style="36" customWidth="1"/>
    <col min="12817" max="12817" width="9.8515625" style="36" bestFit="1" customWidth="1"/>
    <col min="12818" max="13056" width="9.140625" style="36" customWidth="1"/>
    <col min="13057" max="13057" width="4.7109375" style="36" customWidth="1"/>
    <col min="13058" max="13058" width="24.28125" style="36" customWidth="1"/>
    <col min="13059" max="13059" width="8.00390625" style="36" customWidth="1"/>
    <col min="13060" max="13060" width="12.7109375" style="36" customWidth="1"/>
    <col min="13061" max="13061" width="10.140625" style="36" bestFit="1" customWidth="1"/>
    <col min="13062" max="13063" width="8.140625" style="36" customWidth="1"/>
    <col min="13064" max="13066" width="8.28125" style="36" customWidth="1"/>
    <col min="13067" max="13068" width="8.421875" style="36" customWidth="1"/>
    <col min="13069" max="13069" width="8.28125" style="36" customWidth="1"/>
    <col min="13070" max="13070" width="8.140625" style="36" customWidth="1"/>
    <col min="13071" max="13071" width="8.28125" style="36" customWidth="1"/>
    <col min="13072" max="13072" width="11.28125" style="36" customWidth="1"/>
    <col min="13073" max="13073" width="9.8515625" style="36" bestFit="1" customWidth="1"/>
    <col min="13074" max="13312" width="9.140625" style="36" customWidth="1"/>
    <col min="13313" max="13313" width="4.7109375" style="36" customWidth="1"/>
    <col min="13314" max="13314" width="24.28125" style="36" customWidth="1"/>
    <col min="13315" max="13315" width="8.00390625" style="36" customWidth="1"/>
    <col min="13316" max="13316" width="12.7109375" style="36" customWidth="1"/>
    <col min="13317" max="13317" width="10.140625" style="36" bestFit="1" customWidth="1"/>
    <col min="13318" max="13319" width="8.140625" style="36" customWidth="1"/>
    <col min="13320" max="13322" width="8.28125" style="36" customWidth="1"/>
    <col min="13323" max="13324" width="8.421875" style="36" customWidth="1"/>
    <col min="13325" max="13325" width="8.28125" style="36" customWidth="1"/>
    <col min="13326" max="13326" width="8.140625" style="36" customWidth="1"/>
    <col min="13327" max="13327" width="8.28125" style="36" customWidth="1"/>
    <col min="13328" max="13328" width="11.28125" style="36" customWidth="1"/>
    <col min="13329" max="13329" width="9.8515625" style="36" bestFit="1" customWidth="1"/>
    <col min="13330" max="13568" width="9.140625" style="36" customWidth="1"/>
    <col min="13569" max="13569" width="4.7109375" style="36" customWidth="1"/>
    <col min="13570" max="13570" width="24.28125" style="36" customWidth="1"/>
    <col min="13571" max="13571" width="8.00390625" style="36" customWidth="1"/>
    <col min="13572" max="13572" width="12.7109375" style="36" customWidth="1"/>
    <col min="13573" max="13573" width="10.140625" style="36" bestFit="1" customWidth="1"/>
    <col min="13574" max="13575" width="8.140625" style="36" customWidth="1"/>
    <col min="13576" max="13578" width="8.28125" style="36" customWidth="1"/>
    <col min="13579" max="13580" width="8.421875" style="36" customWidth="1"/>
    <col min="13581" max="13581" width="8.28125" style="36" customWidth="1"/>
    <col min="13582" max="13582" width="8.140625" style="36" customWidth="1"/>
    <col min="13583" max="13583" width="8.28125" style="36" customWidth="1"/>
    <col min="13584" max="13584" width="11.28125" style="36" customWidth="1"/>
    <col min="13585" max="13585" width="9.8515625" style="36" bestFit="1" customWidth="1"/>
    <col min="13586" max="13824" width="9.140625" style="36" customWidth="1"/>
    <col min="13825" max="13825" width="4.7109375" style="36" customWidth="1"/>
    <col min="13826" max="13826" width="24.28125" style="36" customWidth="1"/>
    <col min="13827" max="13827" width="8.00390625" style="36" customWidth="1"/>
    <col min="13828" max="13828" width="12.7109375" style="36" customWidth="1"/>
    <col min="13829" max="13829" width="10.140625" style="36" bestFit="1" customWidth="1"/>
    <col min="13830" max="13831" width="8.140625" style="36" customWidth="1"/>
    <col min="13832" max="13834" width="8.28125" style="36" customWidth="1"/>
    <col min="13835" max="13836" width="8.421875" style="36" customWidth="1"/>
    <col min="13837" max="13837" width="8.28125" style="36" customWidth="1"/>
    <col min="13838" max="13838" width="8.140625" style="36" customWidth="1"/>
    <col min="13839" max="13839" width="8.28125" style="36" customWidth="1"/>
    <col min="13840" max="13840" width="11.28125" style="36" customWidth="1"/>
    <col min="13841" max="13841" width="9.8515625" style="36" bestFit="1" customWidth="1"/>
    <col min="13842" max="14080" width="9.140625" style="36" customWidth="1"/>
    <col min="14081" max="14081" width="4.7109375" style="36" customWidth="1"/>
    <col min="14082" max="14082" width="24.28125" style="36" customWidth="1"/>
    <col min="14083" max="14083" width="8.00390625" style="36" customWidth="1"/>
    <col min="14084" max="14084" width="12.7109375" style="36" customWidth="1"/>
    <col min="14085" max="14085" width="10.140625" style="36" bestFit="1" customWidth="1"/>
    <col min="14086" max="14087" width="8.140625" style="36" customWidth="1"/>
    <col min="14088" max="14090" width="8.28125" style="36" customWidth="1"/>
    <col min="14091" max="14092" width="8.421875" style="36" customWidth="1"/>
    <col min="14093" max="14093" width="8.28125" style="36" customWidth="1"/>
    <col min="14094" max="14094" width="8.140625" style="36" customWidth="1"/>
    <col min="14095" max="14095" width="8.28125" style="36" customWidth="1"/>
    <col min="14096" max="14096" width="11.28125" style="36" customWidth="1"/>
    <col min="14097" max="14097" width="9.8515625" style="36" bestFit="1" customWidth="1"/>
    <col min="14098" max="14336" width="9.140625" style="36" customWidth="1"/>
    <col min="14337" max="14337" width="4.7109375" style="36" customWidth="1"/>
    <col min="14338" max="14338" width="24.28125" style="36" customWidth="1"/>
    <col min="14339" max="14339" width="8.00390625" style="36" customWidth="1"/>
    <col min="14340" max="14340" width="12.7109375" style="36" customWidth="1"/>
    <col min="14341" max="14341" width="10.140625" style="36" bestFit="1" customWidth="1"/>
    <col min="14342" max="14343" width="8.140625" style="36" customWidth="1"/>
    <col min="14344" max="14346" width="8.28125" style="36" customWidth="1"/>
    <col min="14347" max="14348" width="8.421875" style="36" customWidth="1"/>
    <col min="14349" max="14349" width="8.28125" style="36" customWidth="1"/>
    <col min="14350" max="14350" width="8.140625" style="36" customWidth="1"/>
    <col min="14351" max="14351" width="8.28125" style="36" customWidth="1"/>
    <col min="14352" max="14352" width="11.28125" style="36" customWidth="1"/>
    <col min="14353" max="14353" width="9.8515625" style="36" bestFit="1" customWidth="1"/>
    <col min="14354" max="14592" width="9.140625" style="36" customWidth="1"/>
    <col min="14593" max="14593" width="4.7109375" style="36" customWidth="1"/>
    <col min="14594" max="14594" width="24.28125" style="36" customWidth="1"/>
    <col min="14595" max="14595" width="8.00390625" style="36" customWidth="1"/>
    <col min="14596" max="14596" width="12.7109375" style="36" customWidth="1"/>
    <col min="14597" max="14597" width="10.140625" style="36" bestFit="1" customWidth="1"/>
    <col min="14598" max="14599" width="8.140625" style="36" customWidth="1"/>
    <col min="14600" max="14602" width="8.28125" style="36" customWidth="1"/>
    <col min="14603" max="14604" width="8.421875" style="36" customWidth="1"/>
    <col min="14605" max="14605" width="8.28125" style="36" customWidth="1"/>
    <col min="14606" max="14606" width="8.140625" style="36" customWidth="1"/>
    <col min="14607" max="14607" width="8.28125" style="36" customWidth="1"/>
    <col min="14608" max="14608" width="11.28125" style="36" customWidth="1"/>
    <col min="14609" max="14609" width="9.8515625" style="36" bestFit="1" customWidth="1"/>
    <col min="14610" max="14848" width="9.140625" style="36" customWidth="1"/>
    <col min="14849" max="14849" width="4.7109375" style="36" customWidth="1"/>
    <col min="14850" max="14850" width="24.28125" style="36" customWidth="1"/>
    <col min="14851" max="14851" width="8.00390625" style="36" customWidth="1"/>
    <col min="14852" max="14852" width="12.7109375" style="36" customWidth="1"/>
    <col min="14853" max="14853" width="10.140625" style="36" bestFit="1" customWidth="1"/>
    <col min="14854" max="14855" width="8.140625" style="36" customWidth="1"/>
    <col min="14856" max="14858" width="8.28125" style="36" customWidth="1"/>
    <col min="14859" max="14860" width="8.421875" style="36" customWidth="1"/>
    <col min="14861" max="14861" width="8.28125" style="36" customWidth="1"/>
    <col min="14862" max="14862" width="8.140625" style="36" customWidth="1"/>
    <col min="14863" max="14863" width="8.28125" style="36" customWidth="1"/>
    <col min="14864" max="14864" width="11.28125" style="36" customWidth="1"/>
    <col min="14865" max="14865" width="9.8515625" style="36" bestFit="1" customWidth="1"/>
    <col min="14866" max="15104" width="9.140625" style="36" customWidth="1"/>
    <col min="15105" max="15105" width="4.7109375" style="36" customWidth="1"/>
    <col min="15106" max="15106" width="24.28125" style="36" customWidth="1"/>
    <col min="15107" max="15107" width="8.00390625" style="36" customWidth="1"/>
    <col min="15108" max="15108" width="12.7109375" style="36" customWidth="1"/>
    <col min="15109" max="15109" width="10.140625" style="36" bestFit="1" customWidth="1"/>
    <col min="15110" max="15111" width="8.140625" style="36" customWidth="1"/>
    <col min="15112" max="15114" width="8.28125" style="36" customWidth="1"/>
    <col min="15115" max="15116" width="8.421875" style="36" customWidth="1"/>
    <col min="15117" max="15117" width="8.28125" style="36" customWidth="1"/>
    <col min="15118" max="15118" width="8.140625" style="36" customWidth="1"/>
    <col min="15119" max="15119" width="8.28125" style="36" customWidth="1"/>
    <col min="15120" max="15120" width="11.28125" style="36" customWidth="1"/>
    <col min="15121" max="15121" width="9.8515625" style="36" bestFit="1" customWidth="1"/>
    <col min="15122" max="15360" width="9.140625" style="36" customWidth="1"/>
    <col min="15361" max="15361" width="4.7109375" style="36" customWidth="1"/>
    <col min="15362" max="15362" width="24.28125" style="36" customWidth="1"/>
    <col min="15363" max="15363" width="8.00390625" style="36" customWidth="1"/>
    <col min="15364" max="15364" width="12.7109375" style="36" customWidth="1"/>
    <col min="15365" max="15365" width="10.140625" style="36" bestFit="1" customWidth="1"/>
    <col min="15366" max="15367" width="8.140625" style="36" customWidth="1"/>
    <col min="15368" max="15370" width="8.28125" style="36" customWidth="1"/>
    <col min="15371" max="15372" width="8.421875" style="36" customWidth="1"/>
    <col min="15373" max="15373" width="8.28125" style="36" customWidth="1"/>
    <col min="15374" max="15374" width="8.140625" style="36" customWidth="1"/>
    <col min="15375" max="15375" width="8.28125" style="36" customWidth="1"/>
    <col min="15376" max="15376" width="11.28125" style="36" customWidth="1"/>
    <col min="15377" max="15377" width="9.8515625" style="36" bestFit="1" customWidth="1"/>
    <col min="15378" max="15616" width="9.140625" style="36" customWidth="1"/>
    <col min="15617" max="15617" width="4.7109375" style="36" customWidth="1"/>
    <col min="15618" max="15618" width="24.28125" style="36" customWidth="1"/>
    <col min="15619" max="15619" width="8.00390625" style="36" customWidth="1"/>
    <col min="15620" max="15620" width="12.7109375" style="36" customWidth="1"/>
    <col min="15621" max="15621" width="10.140625" style="36" bestFit="1" customWidth="1"/>
    <col min="15622" max="15623" width="8.140625" style="36" customWidth="1"/>
    <col min="15624" max="15626" width="8.28125" style="36" customWidth="1"/>
    <col min="15627" max="15628" width="8.421875" style="36" customWidth="1"/>
    <col min="15629" max="15629" width="8.28125" style="36" customWidth="1"/>
    <col min="15630" max="15630" width="8.140625" style="36" customWidth="1"/>
    <col min="15631" max="15631" width="8.28125" style="36" customWidth="1"/>
    <col min="15632" max="15632" width="11.28125" style="36" customWidth="1"/>
    <col min="15633" max="15633" width="9.8515625" style="36" bestFit="1" customWidth="1"/>
    <col min="15634" max="15872" width="9.140625" style="36" customWidth="1"/>
    <col min="15873" max="15873" width="4.7109375" style="36" customWidth="1"/>
    <col min="15874" max="15874" width="24.28125" style="36" customWidth="1"/>
    <col min="15875" max="15875" width="8.00390625" style="36" customWidth="1"/>
    <col min="15876" max="15876" width="12.7109375" style="36" customWidth="1"/>
    <col min="15877" max="15877" width="10.140625" style="36" bestFit="1" customWidth="1"/>
    <col min="15878" max="15879" width="8.140625" style="36" customWidth="1"/>
    <col min="15880" max="15882" width="8.28125" style="36" customWidth="1"/>
    <col min="15883" max="15884" width="8.421875" style="36" customWidth="1"/>
    <col min="15885" max="15885" width="8.28125" style="36" customWidth="1"/>
    <col min="15886" max="15886" width="8.140625" style="36" customWidth="1"/>
    <col min="15887" max="15887" width="8.28125" style="36" customWidth="1"/>
    <col min="15888" max="15888" width="11.28125" style="36" customWidth="1"/>
    <col min="15889" max="15889" width="9.8515625" style="36" bestFit="1" customWidth="1"/>
    <col min="15890" max="16128" width="9.140625" style="36" customWidth="1"/>
    <col min="16129" max="16129" width="4.7109375" style="36" customWidth="1"/>
    <col min="16130" max="16130" width="24.28125" style="36" customWidth="1"/>
    <col min="16131" max="16131" width="8.00390625" style="36" customWidth="1"/>
    <col min="16132" max="16132" width="12.7109375" style="36" customWidth="1"/>
    <col min="16133" max="16133" width="10.140625" style="36" bestFit="1" customWidth="1"/>
    <col min="16134" max="16135" width="8.140625" style="36" customWidth="1"/>
    <col min="16136" max="16138" width="8.28125" style="36" customWidth="1"/>
    <col min="16139" max="16140" width="8.421875" style="36" customWidth="1"/>
    <col min="16141" max="16141" width="8.28125" style="36" customWidth="1"/>
    <col min="16142" max="16142" width="8.140625" style="36" customWidth="1"/>
    <col min="16143" max="16143" width="8.28125" style="36" customWidth="1"/>
    <col min="16144" max="16144" width="11.28125" style="36" customWidth="1"/>
    <col min="16145" max="16145" width="9.8515625" style="36" bestFit="1" customWidth="1"/>
    <col min="16146" max="16384" width="9.140625" style="36" customWidth="1"/>
  </cols>
  <sheetData>
    <row r="1" spans="1:16" s="1" customFormat="1" ht="11.25">
      <c r="A1" s="228" t="s">
        <v>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s="1" customFormat="1" ht="11.25">
      <c r="A2" s="229" t="s">
        <v>161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s="1" customFormat="1" ht="12.75" customHeight="1">
      <c r="A3" s="230">
        <f>+'Exhibit No.   MTT-2 Page 2'!A3:J3</f>
        <v>40908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12.75">
      <c r="A4" s="35"/>
      <c r="B4" s="84"/>
      <c r="C4" s="8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2.75">
      <c r="A5" s="86">
        <v>1</v>
      </c>
      <c r="B5" s="35"/>
      <c r="C5" s="37">
        <f>+EOMONTH(A3,-12)</f>
        <v>40543</v>
      </c>
      <c r="D5" s="37">
        <f aca="true" t="shared" si="0" ref="D5:O5">EOMONTH(C5,1)</f>
        <v>40574</v>
      </c>
      <c r="E5" s="37">
        <f t="shared" si="0"/>
        <v>40602</v>
      </c>
      <c r="F5" s="37">
        <f t="shared" si="0"/>
        <v>40633</v>
      </c>
      <c r="G5" s="37">
        <f t="shared" si="0"/>
        <v>40663</v>
      </c>
      <c r="H5" s="37">
        <f t="shared" si="0"/>
        <v>40694</v>
      </c>
      <c r="I5" s="37">
        <f t="shared" si="0"/>
        <v>40724</v>
      </c>
      <c r="J5" s="37">
        <f t="shared" si="0"/>
        <v>40755</v>
      </c>
      <c r="K5" s="37">
        <f t="shared" si="0"/>
        <v>40786</v>
      </c>
      <c r="L5" s="37">
        <f t="shared" si="0"/>
        <v>40816</v>
      </c>
      <c r="M5" s="37">
        <f t="shared" si="0"/>
        <v>40847</v>
      </c>
      <c r="N5" s="37">
        <f t="shared" si="0"/>
        <v>40877</v>
      </c>
      <c r="O5" s="37">
        <f t="shared" si="0"/>
        <v>40908</v>
      </c>
      <c r="P5" s="87" t="s">
        <v>76</v>
      </c>
    </row>
    <row r="6" spans="1:16" s="72" customFormat="1" ht="12.75">
      <c r="A6" s="86">
        <f>+A5+1</f>
        <v>2</v>
      </c>
      <c r="B6" s="86" t="s">
        <v>77</v>
      </c>
      <c r="C6" s="71" t="s">
        <v>78</v>
      </c>
      <c r="D6" s="71" t="s">
        <v>79</v>
      </c>
      <c r="E6" s="71" t="s">
        <v>80</v>
      </c>
      <c r="F6" s="71" t="s">
        <v>81</v>
      </c>
      <c r="G6" s="71" t="s">
        <v>82</v>
      </c>
      <c r="H6" s="71" t="s">
        <v>83</v>
      </c>
      <c r="I6" s="71" t="s">
        <v>84</v>
      </c>
      <c r="J6" s="71" t="s">
        <v>85</v>
      </c>
      <c r="K6" s="71" t="s">
        <v>86</v>
      </c>
      <c r="L6" s="71" t="s">
        <v>87</v>
      </c>
      <c r="M6" s="71" t="s">
        <v>88</v>
      </c>
      <c r="N6" s="71" t="s">
        <v>89</v>
      </c>
      <c r="O6" s="71" t="s">
        <v>90</v>
      </c>
      <c r="P6" s="71" t="s">
        <v>91</v>
      </c>
    </row>
    <row r="7" spans="1:17" ht="12.75">
      <c r="A7" s="86">
        <f aca="true" t="shared" si="1" ref="A7:A20">+A6+1</f>
        <v>3</v>
      </c>
      <c r="B7" s="44" t="s">
        <v>145</v>
      </c>
      <c r="C7" s="179">
        <v>110000000</v>
      </c>
      <c r="D7" s="179">
        <v>92144000</v>
      </c>
      <c r="E7" s="179">
        <v>67413000</v>
      </c>
      <c r="F7" s="179">
        <v>73029000</v>
      </c>
      <c r="G7" s="179">
        <v>95600000</v>
      </c>
      <c r="H7" s="179">
        <v>87094000</v>
      </c>
      <c r="I7" s="179">
        <v>42252000</v>
      </c>
      <c r="J7" s="179">
        <v>45347000</v>
      </c>
      <c r="K7" s="179">
        <v>46651000</v>
      </c>
      <c r="L7" s="179">
        <v>91250000</v>
      </c>
      <c r="M7" s="179">
        <v>100865000</v>
      </c>
      <c r="N7" s="179">
        <v>108622000</v>
      </c>
      <c r="O7" s="179">
        <v>150683000</v>
      </c>
      <c r="P7" s="40">
        <f>ROUND(((C7+O7)+(SUM(D7:N7)*2))/24,3)</f>
        <v>81717375</v>
      </c>
      <c r="Q7" s="194"/>
    </row>
    <row r="8" spans="1:16" ht="12.75">
      <c r="A8" s="86">
        <f t="shared" si="1"/>
        <v>4</v>
      </c>
      <c r="B8" s="39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1:16" ht="12.75">
      <c r="A9" s="86">
        <f t="shared" si="1"/>
        <v>5</v>
      </c>
      <c r="B9" s="39" t="s">
        <v>36</v>
      </c>
      <c r="C9" s="39"/>
      <c r="D9" s="39">
        <f aca="true" t="shared" si="2" ref="D9:O9">+D5-C5</f>
        <v>31</v>
      </c>
      <c r="E9" s="39">
        <f t="shared" si="2"/>
        <v>28</v>
      </c>
      <c r="F9" s="39">
        <f t="shared" si="2"/>
        <v>31</v>
      </c>
      <c r="G9" s="39">
        <f t="shared" si="2"/>
        <v>30</v>
      </c>
      <c r="H9" s="39">
        <f t="shared" si="2"/>
        <v>31</v>
      </c>
      <c r="I9" s="39">
        <f t="shared" si="2"/>
        <v>30</v>
      </c>
      <c r="J9" s="39">
        <f t="shared" si="2"/>
        <v>31</v>
      </c>
      <c r="K9" s="39">
        <f t="shared" si="2"/>
        <v>31</v>
      </c>
      <c r="L9" s="39">
        <f t="shared" si="2"/>
        <v>30</v>
      </c>
      <c r="M9" s="39">
        <f t="shared" si="2"/>
        <v>31</v>
      </c>
      <c r="N9" s="39">
        <f t="shared" si="2"/>
        <v>30</v>
      </c>
      <c r="O9" s="39">
        <f t="shared" si="2"/>
        <v>31</v>
      </c>
      <c r="P9" s="39">
        <f>SUM(C9:O9)</f>
        <v>365</v>
      </c>
    </row>
    <row r="10" spans="1:16" ht="12.75">
      <c r="A10" s="86">
        <f t="shared" si="1"/>
        <v>6</v>
      </c>
      <c r="B10" s="35" t="s">
        <v>100</v>
      </c>
      <c r="C10" s="39"/>
      <c r="D10" s="154">
        <v>0.02</v>
      </c>
      <c r="E10" s="154">
        <v>0.02</v>
      </c>
      <c r="F10" s="154">
        <v>0.02</v>
      </c>
      <c r="G10" s="154">
        <v>0.02125</v>
      </c>
      <c r="H10" s="154">
        <v>0.02125</v>
      </c>
      <c r="I10" s="154">
        <v>0.02125</v>
      </c>
      <c r="J10" s="154">
        <v>0.02375</v>
      </c>
      <c r="K10" s="154">
        <v>0.02375</v>
      </c>
      <c r="L10" s="154">
        <v>0.02375</v>
      </c>
      <c r="M10" s="154">
        <v>0.025</v>
      </c>
      <c r="N10" s="154">
        <v>0.025</v>
      </c>
      <c r="O10" s="154">
        <v>0.025</v>
      </c>
      <c r="P10" s="35"/>
    </row>
    <row r="11" ht="12.75">
      <c r="A11" s="86">
        <f t="shared" si="1"/>
        <v>7</v>
      </c>
    </row>
    <row r="12" spans="1:16" ht="12.75">
      <c r="A12" s="86">
        <f t="shared" si="1"/>
        <v>8</v>
      </c>
      <c r="B12" s="179" t="s">
        <v>148</v>
      </c>
      <c r="C12" s="39"/>
      <c r="D12" s="91">
        <f>AVERAGE(C7:D7)*(D10*D9/360)</f>
        <v>174068.44444444444</v>
      </c>
      <c r="E12" s="91">
        <f aca="true" t="shared" si="3" ref="E12:O12">AVERAGE(D7:E7)*(E10*E9/360)</f>
        <v>124099.8888888889</v>
      </c>
      <c r="F12" s="91">
        <f t="shared" si="3"/>
        <v>120936.16666666667</v>
      </c>
      <c r="G12" s="91">
        <f t="shared" si="3"/>
        <v>149306.92708333334</v>
      </c>
      <c r="H12" s="91">
        <f t="shared" si="3"/>
        <v>167152.3229166667</v>
      </c>
      <c r="I12" s="91">
        <f t="shared" si="3"/>
        <v>114525.10416666667</v>
      </c>
      <c r="J12" s="91">
        <f t="shared" si="3"/>
        <v>89576.06076388889</v>
      </c>
      <c r="K12" s="91">
        <f t="shared" si="3"/>
        <v>94074.34375</v>
      </c>
      <c r="L12" s="91">
        <f t="shared" si="3"/>
        <v>136464.53125</v>
      </c>
      <c r="M12" s="91">
        <f t="shared" si="3"/>
        <v>206790.45138888888</v>
      </c>
      <c r="N12" s="91">
        <f t="shared" si="3"/>
        <v>218215.625</v>
      </c>
      <c r="O12" s="91">
        <f t="shared" si="3"/>
        <v>279113.0208333333</v>
      </c>
      <c r="P12" s="92">
        <f>SUM(D12:O12)</f>
        <v>1874322.8871527778</v>
      </c>
    </row>
    <row r="13" spans="1:16" ht="12.75">
      <c r="A13" s="86">
        <f t="shared" si="1"/>
        <v>9</v>
      </c>
      <c r="B13" s="44" t="s">
        <v>149</v>
      </c>
      <c r="C13" s="93"/>
      <c r="D13" s="105">
        <f>400000000*0.0025/12</f>
        <v>83333.33333333333</v>
      </c>
      <c r="E13" s="105">
        <f>400000000*0.0025/12</f>
        <v>83333.33333333333</v>
      </c>
      <c r="F13" s="105">
        <f aca="true" t="shared" si="4" ref="F13:O13">400000000*0.0025/12</f>
        <v>83333.33333333333</v>
      </c>
      <c r="G13" s="105">
        <f t="shared" si="4"/>
        <v>83333.33333333333</v>
      </c>
      <c r="H13" s="105">
        <f t="shared" si="4"/>
        <v>83333.33333333333</v>
      </c>
      <c r="I13" s="105">
        <f t="shared" si="4"/>
        <v>83333.33333333333</v>
      </c>
      <c r="J13" s="105">
        <f t="shared" si="4"/>
        <v>83333.33333333333</v>
      </c>
      <c r="K13" s="105">
        <f t="shared" si="4"/>
        <v>83333.33333333333</v>
      </c>
      <c r="L13" s="105">
        <f t="shared" si="4"/>
        <v>83333.33333333333</v>
      </c>
      <c r="M13" s="105">
        <f t="shared" si="4"/>
        <v>83333.33333333333</v>
      </c>
      <c r="N13" s="105">
        <f t="shared" si="4"/>
        <v>83333.33333333333</v>
      </c>
      <c r="O13" s="105">
        <f t="shared" si="4"/>
        <v>83333.33333333333</v>
      </c>
      <c r="P13" s="108">
        <f>SUM(D13:O13)</f>
        <v>1000000.0000000001</v>
      </c>
    </row>
    <row r="14" spans="1:16" ht="12.75">
      <c r="A14" s="86">
        <f t="shared" si="1"/>
        <v>10</v>
      </c>
      <c r="B14" s="44" t="s">
        <v>150</v>
      </c>
      <c r="C14" s="93"/>
      <c r="D14" s="105">
        <f>+(27400000*((1.5%+0.2%)*D9/360))</f>
        <v>40110.555555555555</v>
      </c>
      <c r="E14" s="105">
        <f>(25700000*((1.5%+0.2%)*E9/360))</f>
        <v>33981.11111111111</v>
      </c>
      <c r="F14" s="105">
        <f>(25100000*((1.5%+0.2%)*F9/360))</f>
        <v>36743.61111111111</v>
      </c>
      <c r="G14" s="105">
        <f>(23500000*((1.5%+0.2%)*G9/360))</f>
        <v>33291.66666666667</v>
      </c>
      <c r="H14" s="105">
        <f>(19100000*((1.5%+0.2%)*H9/360))</f>
        <v>27960.277777777777</v>
      </c>
      <c r="I14" s="105">
        <f>(19000000*((1.5%+0.2%)*I9/360))</f>
        <v>26916.666666666668</v>
      </c>
      <c r="J14" s="105">
        <f>(18200000*((1.5%+0.2%)*J9/360))</f>
        <v>26642.777777777777</v>
      </c>
      <c r="K14" s="105">
        <f>(17900000*((1.5%+0.2%)*K9/360))</f>
        <v>26203.611111111113</v>
      </c>
      <c r="L14" s="105">
        <f>(17900000*((1.5%+0.2%)*L9/360))</f>
        <v>25358.333333333336</v>
      </c>
      <c r="M14" s="105">
        <f>(20000000*((1.5%+0.2%)*M9/360))</f>
        <v>29277.777777777777</v>
      </c>
      <c r="N14" s="105">
        <f>(21300000*((1.5%+0.2%)*N9/360))</f>
        <v>30175.000000000004</v>
      </c>
      <c r="O14" s="105">
        <f>(20700000*((1.5%+0.2%)*O9/360))</f>
        <v>30302.5</v>
      </c>
      <c r="P14" s="108">
        <f>SUM(D14:O14)</f>
        <v>366963.8888888889</v>
      </c>
    </row>
    <row r="15" spans="1:16" ht="12.75">
      <c r="A15" s="86">
        <f t="shared" si="1"/>
        <v>11</v>
      </c>
      <c r="B15" s="44" t="s">
        <v>144</v>
      </c>
      <c r="C15" s="93"/>
      <c r="D15" s="104">
        <f>2375000/(4*12)</f>
        <v>49479.166666666664</v>
      </c>
      <c r="E15" s="104">
        <f aca="true" t="shared" si="5" ref="E15:O15">2375000/(4*12)</f>
        <v>49479.166666666664</v>
      </c>
      <c r="F15" s="104">
        <f t="shared" si="5"/>
        <v>49479.166666666664</v>
      </c>
      <c r="G15" s="104">
        <f t="shared" si="5"/>
        <v>49479.166666666664</v>
      </c>
      <c r="H15" s="104">
        <f t="shared" si="5"/>
        <v>49479.166666666664</v>
      </c>
      <c r="I15" s="104">
        <f t="shared" si="5"/>
        <v>49479.166666666664</v>
      </c>
      <c r="J15" s="104">
        <f t="shared" si="5"/>
        <v>49479.166666666664</v>
      </c>
      <c r="K15" s="104">
        <f t="shared" si="5"/>
        <v>49479.166666666664</v>
      </c>
      <c r="L15" s="104">
        <f t="shared" si="5"/>
        <v>49479.166666666664</v>
      </c>
      <c r="M15" s="104">
        <f t="shared" si="5"/>
        <v>49479.166666666664</v>
      </c>
      <c r="N15" s="104">
        <f t="shared" si="5"/>
        <v>49479.166666666664</v>
      </c>
      <c r="O15" s="104">
        <f t="shared" si="5"/>
        <v>49479.166666666664</v>
      </c>
      <c r="P15" s="109">
        <f>SUM(D15:O15)</f>
        <v>593750</v>
      </c>
    </row>
    <row r="16" spans="1:16" ht="13.5" thickBot="1">
      <c r="A16" s="86">
        <f t="shared" si="1"/>
        <v>12</v>
      </c>
      <c r="B16" s="39" t="s">
        <v>98</v>
      </c>
      <c r="C16" s="39"/>
      <c r="D16" s="106">
        <f>+SUM(D12:D15)</f>
        <v>346991.5</v>
      </c>
      <c r="E16" s="106">
        <f aca="true" t="shared" si="6" ref="E16:J16">+SUM(E12:E15)</f>
        <v>290893.50000000006</v>
      </c>
      <c r="F16" s="106">
        <f t="shared" si="6"/>
        <v>290492.2777777778</v>
      </c>
      <c r="G16" s="106">
        <f t="shared" si="6"/>
        <v>315411.09375000006</v>
      </c>
      <c r="H16" s="106">
        <f t="shared" si="6"/>
        <v>327925.10069444444</v>
      </c>
      <c r="I16" s="106">
        <f t="shared" si="6"/>
        <v>274254.2708333333</v>
      </c>
      <c r="J16" s="106">
        <f t="shared" si="6"/>
        <v>249031.33854166666</v>
      </c>
      <c r="K16" s="106">
        <f>+SUM(K12:K15)</f>
        <v>253090.4548611111</v>
      </c>
      <c r="L16" s="106">
        <f aca="true" t="shared" si="7" ref="L16">+SUM(L12:L15)</f>
        <v>294635.3645833333</v>
      </c>
      <c r="M16" s="106">
        <f aca="true" t="shared" si="8" ref="M16">+SUM(M12:M15)</f>
        <v>368880.7291666666</v>
      </c>
      <c r="N16" s="106">
        <f aca="true" t="shared" si="9" ref="N16">+SUM(N12:N15)</f>
        <v>381203.125</v>
      </c>
      <c r="O16" s="106">
        <f aca="true" t="shared" si="10" ref="O16">+SUM(O12:O15)</f>
        <v>442228.0208333333</v>
      </c>
      <c r="P16" s="110">
        <f>SUM(P12:P15)</f>
        <v>3835036.776041667</v>
      </c>
    </row>
    <row r="17" spans="1:16" ht="13.5" thickTop="1">
      <c r="A17" s="86">
        <f t="shared" si="1"/>
        <v>13</v>
      </c>
      <c r="B17" s="94"/>
      <c r="C17" s="43"/>
      <c r="D17" s="43"/>
      <c r="E17" s="43"/>
      <c r="F17" s="43"/>
      <c r="G17" s="43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2.75">
      <c r="A18" s="86">
        <f t="shared" si="1"/>
        <v>14</v>
      </c>
      <c r="O18" s="95"/>
      <c r="P18" s="195"/>
    </row>
    <row r="19" spans="1:16" ht="13.5" thickBot="1">
      <c r="A19" s="86">
        <f t="shared" si="1"/>
        <v>15</v>
      </c>
      <c r="B19" s="39" t="s">
        <v>151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7"/>
    </row>
    <row r="20" spans="1:18" ht="13.5" thickBot="1">
      <c r="A20" s="86">
        <f t="shared" si="1"/>
        <v>16</v>
      </c>
      <c r="N20" s="111"/>
      <c r="O20" s="112" t="s">
        <v>99</v>
      </c>
      <c r="P20" s="113">
        <f>+P16/P7</f>
        <v>0.04693049398664197</v>
      </c>
      <c r="R20" s="199"/>
    </row>
    <row r="21" spans="1:13" ht="13.5" customHeight="1">
      <c r="A21" s="86"/>
      <c r="B21" s="39"/>
      <c r="C21" s="43"/>
      <c r="D21" s="43"/>
      <c r="E21" s="43"/>
      <c r="F21" s="43"/>
      <c r="G21" s="43"/>
      <c r="H21" s="35"/>
      <c r="I21" s="35"/>
      <c r="J21" s="35"/>
      <c r="K21" s="35"/>
      <c r="L21" s="35"/>
      <c r="M21" s="35"/>
    </row>
    <row r="22" spans="1:18" ht="12.75">
      <c r="A22" s="86"/>
      <c r="B22" s="35"/>
      <c r="C22" s="41"/>
      <c r="D22" s="201"/>
      <c r="E22" s="62"/>
      <c r="F22" s="62"/>
      <c r="G22" s="62"/>
      <c r="H22" s="62"/>
      <c r="I22" s="62"/>
      <c r="J22" s="62"/>
      <c r="K22" s="62"/>
      <c r="L22" s="62"/>
      <c r="M22" s="200"/>
      <c r="N22" s="200"/>
      <c r="O22" s="200"/>
      <c r="R22" s="199"/>
    </row>
    <row r="23" spans="1:16" ht="15.75">
      <c r="A23" s="96"/>
      <c r="N23" s="231"/>
      <c r="O23" s="231"/>
      <c r="P23" s="231"/>
    </row>
  </sheetData>
  <mergeCells count="4">
    <mergeCell ref="A1:P1"/>
    <mergeCell ref="A2:P2"/>
    <mergeCell ref="A3:P3"/>
    <mergeCell ref="N23:P23"/>
  </mergeCells>
  <printOptions/>
  <pageMargins left="0.5" right="0.5" top="1" bottom="1" header="0.5" footer="0.5"/>
  <pageSetup fitToHeight="1" fitToWidth="1" horizontalDpi="600" verticalDpi="600" orientation="landscape" scale="65" r:id="rId1"/>
  <headerFooter alignWithMargins="0">
    <oddHeader>&amp;RExhibit No.___(MTT-2)</oddHead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2011-05-12T16:22:59Z</cp:lastPrinted>
  <dcterms:created xsi:type="dcterms:W3CDTF">2007-10-17T17:14:21Z</dcterms:created>
  <dcterms:modified xsi:type="dcterms:W3CDTF">2011-05-12T16:23:17Z</dcterms:modified>
  <cp:category/>
  <cp:version/>
  <cp:contentType/>
  <cp:contentStatus/>
</cp:coreProperties>
</file>