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5.xml" ContentType="application/vnd.openxmlformats-officedocument.drawingml.chartshapes+xml"/>
  <Override PartName="/xl/drawings/drawing4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worksheets/sheet6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2.xml" ContentType="application/vnd.openxmlformats-officedocument.drawingml.char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filterPrivacy="1" defaultThemeVersion="124226"/>
  <bookViews>
    <workbookView xWindow="-6390" yWindow="390" windowWidth="22935" windowHeight="10800" tabRatio="917" xr2:uid="{00000000-000D-0000-FFFF-FFFF00000000}"/>
  </bookViews>
  <sheets>
    <sheet name="2 Final WACC" sheetId="64" r:id="rId1"/>
    <sheet name="3 Proxy Sum" sheetId="3" r:id="rId2"/>
    <sheet name="4 Stock Price" sheetId="4" r:id="rId3"/>
    <sheet name="5 Div Yields" sheetId="29" r:id="rId4"/>
    <sheet name="6 Growth Determinants" sheetId="52" r:id="rId5"/>
    <sheet name="7 DCF Result" sheetId="53" r:id="rId6"/>
    <sheet name="8 Risk Free Rate" sheetId="10" r:id="rId7"/>
    <sheet name="9 Beta" sheetId="15" r:id="rId8"/>
    <sheet name="10 Implied ERP" sheetId="21" r:id="rId9"/>
    <sheet name="11 ERP Result" sheetId="61" r:id="rId10"/>
    <sheet name="12 CAPM Result" sheetId="7" r:id="rId11"/>
    <sheet name="13 COE Summary" sheetId="17" r:id="rId12"/>
    <sheet name="14 Market COE" sheetId="59" r:id="rId13"/>
    <sheet name="15 Historic ROE" sheetId="60" r:id="rId14"/>
    <sheet name="16 Optimal Cap Structure" sheetId="63" r:id="rId15"/>
    <sheet name="17 Competitive Debt Ratios" sheetId="65" r:id="rId16"/>
    <sheet name="18 Proxy Debt Ratios" sheetId="54" r:id="rId17"/>
    <sheet name="Fig Industry Betas" sheetId="66" r:id="rId18"/>
    <sheet name="Fig CAPM Graph" sheetId="67" r:id="rId19"/>
    <sheet name="Fig Bus Cycle" sheetId="68" r:id="rId20"/>
    <sheet name="Fig Opt. WACC" sheetId="69" r:id="rId21"/>
    <sheet name="Fig Diversify" sheetId="70" r:id="rId22"/>
  </sheets>
  <definedNames>
    <definedName name="_xlnm.Print_Area" localSheetId="9">'11 ERP Result'!$A$1:$E$23</definedName>
    <definedName name="_xlnm.Print_Area" localSheetId="13">'15 Historic ROE'!$A$1:$M$65</definedName>
    <definedName name="_xlnm.Print_Area" localSheetId="14">'16 Optimal Cap Structure'!$A$1:$W$46</definedName>
    <definedName name="_xlnm.Print_Area" localSheetId="15">'17 Competitive Debt Ratios'!$A$1:$E$60</definedName>
    <definedName name="_xlnm.Print_Area" localSheetId="0">'2 Final WACC'!$A$1:$U$18</definedName>
    <definedName name="_xlnm.Print_Area" localSheetId="19">'Fig Bus Cycle'!$A$3:$M$6</definedName>
    <definedName name="solver_adj" localSheetId="8" hidden="1">'10 Implied ERP'!$C$32</definedName>
    <definedName name="solver_cvg" localSheetId="8" hidden="1">0.0001</definedName>
    <definedName name="solver_drv" localSheetId="8" hidden="1">1</definedName>
    <definedName name="solver_eng" localSheetId="8" hidden="1">1</definedName>
    <definedName name="solver_est" localSheetId="8" hidden="1">1</definedName>
    <definedName name="solver_itr" localSheetId="8" hidden="1">100</definedName>
    <definedName name="solver_lin" localSheetId="8" hidden="1">2</definedName>
    <definedName name="solver_mip" localSheetId="8" hidden="1">2147483647</definedName>
    <definedName name="solver_mni" localSheetId="8" hidden="1">30</definedName>
    <definedName name="solver_mrt" localSheetId="8" hidden="1">0.075</definedName>
    <definedName name="solver_msl" localSheetId="8" hidden="1">2</definedName>
    <definedName name="solver_neg" localSheetId="8" hidden="1">2</definedName>
    <definedName name="solver_nod" localSheetId="8" hidden="1">2147483647</definedName>
    <definedName name="solver_num" localSheetId="8" hidden="1">0</definedName>
    <definedName name="solver_nwt" localSheetId="8" hidden="1">1</definedName>
    <definedName name="solver_opt" localSheetId="8" hidden="1">'10 Implied ERP'!$C$28</definedName>
    <definedName name="solver_pre" localSheetId="8" hidden="1">0.000001</definedName>
    <definedName name="solver_rbv" localSheetId="8" hidden="1">1</definedName>
    <definedName name="solver_rlx" localSheetId="8" hidden="1">1</definedName>
    <definedName name="solver_rsd" localSheetId="8" hidden="1">0</definedName>
    <definedName name="solver_scl" localSheetId="8" hidden="1">2</definedName>
    <definedName name="solver_sho" localSheetId="8" hidden="1">2</definedName>
    <definedName name="solver_ssz" localSheetId="8" hidden="1">100</definedName>
    <definedName name="solver_tim" localSheetId="8" hidden="1">100</definedName>
    <definedName name="solver_tol" localSheetId="8" hidden="1">0.05</definedName>
    <definedName name="solver_typ" localSheetId="8" hidden="1">3</definedName>
    <definedName name="solver_val" localSheetId="8" hidden="1">2517</definedName>
    <definedName name="solver_ver" localSheetId="8" hidden="1">3</definedName>
  </definedNames>
  <calcPr calcId="171027" calcMode="autoNoTable"/>
</workbook>
</file>

<file path=xl/calcChain.xml><?xml version="1.0" encoding="utf-8"?>
<calcChain xmlns="http://schemas.openxmlformats.org/spreadsheetml/2006/main">
  <c r="D10" i="67" l="1"/>
  <c r="C6" i="67"/>
  <c r="C5" i="67"/>
  <c r="B10" i="67" s="1"/>
  <c r="C4" i="67"/>
  <c r="F25" i="69"/>
  <c r="E25" i="69"/>
  <c r="F24" i="69"/>
  <c r="E24" i="69"/>
  <c r="F23" i="69"/>
  <c r="E23" i="69"/>
  <c r="F22" i="69"/>
  <c r="E22" i="69"/>
  <c r="F21" i="69"/>
  <c r="E21" i="69"/>
  <c r="F20" i="69"/>
  <c r="E20" i="69"/>
  <c r="F19" i="69"/>
  <c r="E19" i="69"/>
  <c r="F18" i="69"/>
  <c r="E18" i="69"/>
  <c r="F17" i="69"/>
  <c r="E17" i="69"/>
  <c r="F16" i="69"/>
  <c r="E16" i="69"/>
  <c r="F15" i="69"/>
  <c r="E15" i="69"/>
  <c r="F14" i="69"/>
  <c r="E14" i="69"/>
  <c r="F13" i="69"/>
  <c r="E13" i="69"/>
  <c r="F12" i="69"/>
  <c r="E12" i="69"/>
  <c r="F11" i="69"/>
  <c r="E11" i="69"/>
  <c r="F10" i="69"/>
  <c r="E10" i="69"/>
  <c r="F9" i="69"/>
  <c r="E9" i="69"/>
  <c r="F8" i="69"/>
  <c r="E8" i="69"/>
  <c r="F7" i="69"/>
  <c r="E7" i="69"/>
  <c r="F6" i="69"/>
  <c r="E6" i="69"/>
  <c r="F5" i="69"/>
  <c r="E5" i="69"/>
  <c r="D119" i="68"/>
  <c r="D118" i="68"/>
  <c r="D117" i="68"/>
  <c r="D116" i="68"/>
  <c r="D115" i="68"/>
  <c r="D114" i="68"/>
  <c r="D113" i="68"/>
  <c r="D112" i="68"/>
  <c r="D111" i="68"/>
  <c r="D110" i="68"/>
  <c r="D109" i="68"/>
  <c r="D108" i="68"/>
  <c r="D107" i="68"/>
  <c r="D106" i="68"/>
  <c r="D105" i="68"/>
  <c r="D104" i="68"/>
  <c r="M5" i="68" s="1"/>
  <c r="D103" i="68"/>
  <c r="D102" i="68"/>
  <c r="D101" i="68"/>
  <c r="D100" i="68"/>
  <c r="D99" i="68"/>
  <c r="D98" i="68"/>
  <c r="D97" i="68"/>
  <c r="D96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2" i="68"/>
  <c r="D81" i="68"/>
  <c r="D80" i="68"/>
  <c r="D79" i="68"/>
  <c r="D78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9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G5" i="68" s="1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8" i="68"/>
  <c r="D7" i="68"/>
  <c r="D6" i="68"/>
  <c r="J5" i="68"/>
  <c r="D5" i="68"/>
  <c r="D4" i="68"/>
  <c r="A12" i="67"/>
  <c r="D11" i="67" l="1"/>
  <c r="B12" i="67"/>
  <c r="C10" i="67" s="1"/>
  <c r="B13" i="67"/>
  <c r="B11" i="67"/>
  <c r="C12" i="67" l="1"/>
  <c r="E11" i="67"/>
  <c r="C11" i="67"/>
  <c r="E19" i="63" l="1"/>
  <c r="E17" i="63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8" i="7"/>
  <c r="C14" i="61"/>
  <c r="D11" i="64"/>
  <c r="C10" i="61" l="1"/>
  <c r="C15" i="21"/>
  <c r="C14" i="21" l="1"/>
  <c r="K11" i="21"/>
  <c r="M11" i="21"/>
  <c r="O11" i="21"/>
  <c r="Q11" i="21" l="1"/>
  <c r="E8" i="53" l="1"/>
  <c r="C6" i="54" l="1"/>
  <c r="C7" i="54"/>
  <c r="C8" i="54"/>
  <c r="C9" i="54"/>
  <c r="C10" i="54"/>
  <c r="C11" i="54"/>
  <c r="C12" i="54"/>
  <c r="C13" i="54"/>
  <c r="C14" i="54"/>
  <c r="C15" i="54"/>
  <c r="C16" i="54"/>
  <c r="C17" i="54"/>
  <c r="C18" i="54"/>
  <c r="C19" i="54"/>
  <c r="C20" i="54"/>
  <c r="C21" i="54"/>
  <c r="C22" i="54"/>
  <c r="A6" i="54"/>
  <c r="A7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A6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L3" i="4"/>
  <c r="K3" i="4"/>
  <c r="J3" i="4"/>
  <c r="H3" i="4"/>
  <c r="G3" i="4"/>
  <c r="F3" i="4"/>
  <c r="E3" i="4"/>
  <c r="D3" i="4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6" i="3"/>
  <c r="S9" i="64" l="1"/>
  <c r="R14" i="64" s="1"/>
  <c r="M26" i="65"/>
  <c r="K26" i="65"/>
  <c r="E56" i="65"/>
  <c r="C56" i="65"/>
  <c r="E12" i="63"/>
  <c r="Q5" i="64"/>
  <c r="S34" i="63"/>
  <c r="W34" i="63" s="1"/>
  <c r="K34" i="63"/>
  <c r="C34" i="63"/>
  <c r="S33" i="63"/>
  <c r="W33" i="63" s="1"/>
  <c r="K33" i="63"/>
  <c r="C33" i="63"/>
  <c r="S32" i="63"/>
  <c r="W32" i="63" s="1"/>
  <c r="K32" i="63"/>
  <c r="M32" i="63" s="1"/>
  <c r="O32" i="63" s="1"/>
  <c r="C32" i="63"/>
  <c r="S31" i="63"/>
  <c r="W31" i="63" s="1"/>
  <c r="K31" i="63"/>
  <c r="M31" i="63" s="1"/>
  <c r="O31" i="63" s="1"/>
  <c r="C31" i="63"/>
  <c r="S30" i="63"/>
  <c r="W30" i="63" s="1"/>
  <c r="K30" i="63"/>
  <c r="M30" i="63" s="1"/>
  <c r="O30" i="63" s="1"/>
  <c r="C30" i="63"/>
  <c r="S29" i="63"/>
  <c r="W29" i="63" s="1"/>
  <c r="K29" i="63"/>
  <c r="M29" i="63" s="1"/>
  <c r="O29" i="63" s="1"/>
  <c r="C29" i="63"/>
  <c r="S28" i="63"/>
  <c r="W28" i="63" s="1"/>
  <c r="K28" i="63"/>
  <c r="M28" i="63" s="1"/>
  <c r="C28" i="63"/>
  <c r="E18" i="63"/>
  <c r="E11" i="63"/>
  <c r="Q7" i="64" l="1"/>
  <c r="L14" i="64" s="1"/>
  <c r="M34" i="63"/>
  <c r="O34" i="63" s="1"/>
  <c r="M33" i="63"/>
  <c r="O33" i="63" s="1"/>
  <c r="O9" i="64"/>
  <c r="F14" i="64" s="1"/>
  <c r="C9" i="52" l="1"/>
  <c r="E35" i="10" l="1"/>
  <c r="E16" i="63" s="1"/>
  <c r="W16" i="63" l="1"/>
  <c r="W9" i="63"/>
  <c r="W8" i="63"/>
  <c r="W18" i="63"/>
  <c r="W10" i="63"/>
  <c r="W13" i="63"/>
  <c r="W15" i="63"/>
  <c r="W11" i="63"/>
  <c r="W19" i="63"/>
  <c r="W12" i="63"/>
  <c r="W14" i="63"/>
  <c r="W17" i="63"/>
  <c r="C12" i="61" l="1"/>
  <c r="Q17" i="60" l="1"/>
  <c r="L50" i="60" l="1"/>
  <c r="L27" i="60"/>
  <c r="L22" i="60" a="1"/>
  <c r="L22" i="60" s="1"/>
  <c r="L25" i="60" s="1"/>
  <c r="L21" i="60"/>
  <c r="Q18" i="60"/>
  <c r="Q16" i="60"/>
  <c r="Q15" i="60"/>
  <c r="Q14" i="60"/>
  <c r="Q13" i="60"/>
  <c r="Q12" i="60"/>
  <c r="Q11" i="60"/>
  <c r="Q10" i="60"/>
  <c r="Q9" i="60"/>
  <c r="Q8" i="60"/>
  <c r="Q7" i="60"/>
  <c r="E24" i="54" l="1"/>
  <c r="A22" i="54"/>
  <c r="C5" i="54"/>
  <c r="A5" i="54"/>
  <c r="O10" i="21" l="1"/>
  <c r="M10" i="21"/>
  <c r="Q10" i="21" s="1"/>
  <c r="K10" i="21"/>
  <c r="G9" i="7" l="1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8" i="7"/>
  <c r="E27" i="29" l="1"/>
  <c r="A8" i="53" s="1"/>
  <c r="G27" i="7" l="1"/>
  <c r="E15" i="63" s="1"/>
  <c r="E28" i="63" l="1"/>
  <c r="E29" i="63"/>
  <c r="G29" i="63" s="1"/>
  <c r="U29" i="63" s="1"/>
  <c r="E32" i="63"/>
  <c r="G32" i="63" s="1"/>
  <c r="U32" i="63" s="1"/>
  <c r="E33" i="63"/>
  <c r="G33" i="63" s="1"/>
  <c r="U33" i="63" s="1"/>
  <c r="E30" i="63"/>
  <c r="G30" i="63" s="1"/>
  <c r="U30" i="63" s="1"/>
  <c r="E34" i="63"/>
  <c r="G34" i="63" s="1"/>
  <c r="U34" i="63" s="1"/>
  <c r="E31" i="63"/>
  <c r="G31" i="63" s="1"/>
  <c r="U31" i="63" s="1"/>
  <c r="G28" i="63"/>
  <c r="U28" i="63" s="1"/>
  <c r="G16" i="3"/>
  <c r="G9" i="3"/>
  <c r="G10" i="3"/>
  <c r="G19" i="3"/>
  <c r="G18" i="3"/>
  <c r="G23" i="3"/>
  <c r="G21" i="3"/>
  <c r="G11" i="3"/>
  <c r="G12" i="3"/>
  <c r="G15" i="3"/>
  <c r="G14" i="3"/>
  <c r="G13" i="3"/>
  <c r="G7" i="3"/>
  <c r="G20" i="3"/>
  <c r="G22" i="3"/>
  <c r="G6" i="3"/>
  <c r="G8" i="3"/>
  <c r="G17" i="3"/>
  <c r="D6" i="4" l="1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D5" i="4"/>
  <c r="E5" i="4"/>
  <c r="F5" i="4"/>
  <c r="G5" i="4"/>
  <c r="H5" i="4"/>
  <c r="I5" i="4"/>
  <c r="J5" i="4"/>
  <c r="K5" i="4"/>
  <c r="G16" i="29" s="1"/>
  <c r="I16" i="29" s="1"/>
  <c r="L5" i="4"/>
  <c r="G17" i="29" s="1"/>
  <c r="I17" i="29" s="1"/>
  <c r="M5" i="4"/>
  <c r="G18" i="29" s="1"/>
  <c r="I18" i="29" s="1"/>
  <c r="N5" i="4"/>
  <c r="O5" i="4"/>
  <c r="P5" i="4"/>
  <c r="Q5" i="4"/>
  <c r="R5" i="4"/>
  <c r="S5" i="4"/>
  <c r="T5" i="4"/>
  <c r="C5" i="4"/>
  <c r="A25" i="7" l="1"/>
  <c r="A22" i="15"/>
  <c r="C8" i="29"/>
  <c r="A25" i="29"/>
  <c r="A8" i="29"/>
  <c r="T3" i="4"/>
  <c r="S3" i="4"/>
  <c r="R3" i="4"/>
  <c r="Q3" i="4"/>
  <c r="P3" i="4"/>
  <c r="O3" i="4"/>
  <c r="N3" i="4"/>
  <c r="M3" i="4"/>
  <c r="I3" i="4"/>
  <c r="C3" i="4"/>
  <c r="C6" i="4"/>
  <c r="B6" i="4"/>
  <c r="G8" i="29"/>
  <c r="I8" i="29" s="1"/>
  <c r="G9" i="29"/>
  <c r="I9" i="29" s="1"/>
  <c r="G10" i="29"/>
  <c r="I10" i="29" s="1"/>
  <c r="G11" i="29"/>
  <c r="I11" i="29" s="1"/>
  <c r="G12" i="29"/>
  <c r="I12" i="29" s="1"/>
  <c r="G13" i="29"/>
  <c r="I13" i="29" s="1"/>
  <c r="G14" i="29"/>
  <c r="I14" i="29" s="1"/>
  <c r="G15" i="29"/>
  <c r="I15" i="29" s="1"/>
  <c r="G19" i="29"/>
  <c r="I19" i="29" s="1"/>
  <c r="G20" i="29"/>
  <c r="I20" i="29" s="1"/>
  <c r="G21" i="29"/>
  <c r="I21" i="29" s="1"/>
  <c r="G22" i="29"/>
  <c r="I22" i="29" s="1"/>
  <c r="G23" i="29"/>
  <c r="I23" i="29" s="1"/>
  <c r="G24" i="29"/>
  <c r="I24" i="29" s="1"/>
  <c r="G25" i="29"/>
  <c r="I25" i="29" s="1"/>
  <c r="B5" i="4"/>
  <c r="C17" i="21" s="1"/>
  <c r="M6" i="21"/>
  <c r="O6" i="21"/>
  <c r="M7" i="21"/>
  <c r="O7" i="21"/>
  <c r="M8" i="21"/>
  <c r="O8" i="21"/>
  <c r="M9" i="21"/>
  <c r="O9" i="21"/>
  <c r="K9" i="21"/>
  <c r="K8" i="21"/>
  <c r="K7" i="21"/>
  <c r="K6" i="21"/>
  <c r="C5" i="15"/>
  <c r="A5" i="15"/>
  <c r="C8" i="7"/>
  <c r="A8" i="7"/>
  <c r="Q7" i="21" l="1"/>
  <c r="C5" i="59"/>
  <c r="C7" i="59"/>
  <c r="C9" i="59"/>
  <c r="E8" i="7"/>
  <c r="C11" i="52"/>
  <c r="I27" i="29"/>
  <c r="G27" i="29"/>
  <c r="C8" i="53" s="1"/>
  <c r="H8" i="53" s="1"/>
  <c r="C5" i="17" s="1"/>
  <c r="Q8" i="21"/>
  <c r="E9" i="7"/>
  <c r="E25" i="7"/>
  <c r="C16" i="21"/>
  <c r="C30" i="21" s="1"/>
  <c r="C11" i="59" s="1"/>
  <c r="E10" i="7"/>
  <c r="E17" i="7"/>
  <c r="E14" i="7"/>
  <c r="E20" i="7"/>
  <c r="E22" i="7"/>
  <c r="E11" i="7"/>
  <c r="E18" i="7"/>
  <c r="E12" i="7"/>
  <c r="E19" i="7"/>
  <c r="E16" i="7"/>
  <c r="E15" i="7"/>
  <c r="E21" i="7"/>
  <c r="E24" i="7"/>
  <c r="E13" i="7"/>
  <c r="E23" i="7"/>
  <c r="E24" i="15"/>
  <c r="Q6" i="21"/>
  <c r="Q9" i="21"/>
  <c r="K24" i="21" l="1"/>
  <c r="C13" i="59"/>
  <c r="L8" i="7"/>
  <c r="L21" i="7" l="1"/>
  <c r="L16" i="7"/>
  <c r="L20" i="7"/>
  <c r="L12" i="7"/>
  <c r="L19" i="7"/>
  <c r="L13" i="7"/>
  <c r="L24" i="7"/>
  <c r="L17" i="7"/>
  <c r="L18" i="7"/>
  <c r="G24" i="21"/>
  <c r="G26" i="21" s="1"/>
  <c r="L9" i="7"/>
  <c r="L22" i="7"/>
  <c r="L11" i="7"/>
  <c r="L14" i="7"/>
  <c r="L15" i="7"/>
  <c r="L25" i="7"/>
  <c r="L23" i="7"/>
  <c r="E24" i="21"/>
  <c r="E26" i="21" s="1"/>
  <c r="C24" i="21"/>
  <c r="C26" i="21" s="1"/>
  <c r="I24" i="21"/>
  <c r="I26" i="21" s="1"/>
  <c r="K25" i="21"/>
  <c r="K26" i="21" s="1"/>
  <c r="C28" i="21" l="1"/>
  <c r="L27" i="7"/>
  <c r="C7" i="17" l="1"/>
  <c r="C7" i="67"/>
  <c r="C9" i="17"/>
</calcChain>
</file>

<file path=xl/sharedStrings.xml><?xml version="1.0" encoding="utf-8"?>
<sst xmlns="http://schemas.openxmlformats.org/spreadsheetml/2006/main" count="602" uniqueCount="387">
  <si>
    <t>Company</t>
  </si>
  <si>
    <t>Ticker</t>
  </si>
  <si>
    <t>Price</t>
  </si>
  <si>
    <t>[1]</t>
  </si>
  <si>
    <t>[2]</t>
  </si>
  <si>
    <t>[3]</t>
  </si>
  <si>
    <t>[4]</t>
  </si>
  <si>
    <t>[5]</t>
  </si>
  <si>
    <t>Standard Deviation</t>
  </si>
  <si>
    <t>30-day Average</t>
  </si>
  <si>
    <t>Date</t>
  </si>
  <si>
    <t>Return</t>
  </si>
  <si>
    <t>^GSPC</t>
  </si>
  <si>
    <t>Source</t>
  </si>
  <si>
    <t>Long-term Debt</t>
  </si>
  <si>
    <t>Capital Structure</t>
  </si>
  <si>
    <t>Weighted Cost</t>
  </si>
  <si>
    <t>Common Equity</t>
  </si>
  <si>
    <t>LOW</t>
  </si>
  <si>
    <t>HIGH</t>
  </si>
  <si>
    <t>Cost Rates</t>
  </si>
  <si>
    <t>Recommended Range for</t>
  </si>
  <si>
    <t>Capital Asset Pricing Model</t>
  </si>
  <si>
    <t>[6]</t>
  </si>
  <si>
    <t>[7]</t>
  </si>
  <si>
    <t>[8]</t>
  </si>
  <si>
    <t>Financial Strength</t>
  </si>
  <si>
    <t>Rate</t>
  </si>
  <si>
    <t>[9]</t>
  </si>
  <si>
    <t>Dividends</t>
  </si>
  <si>
    <t>Buyback Yield</t>
  </si>
  <si>
    <t>Dividend Yield</t>
  </si>
  <si>
    <t>Operating Earnings</t>
  </si>
  <si>
    <t>Buybacks</t>
  </si>
  <si>
    <t>Year</t>
  </si>
  <si>
    <t>Earnings Yield</t>
  </si>
  <si>
    <t>Gross Cash Yield</t>
  </si>
  <si>
    <t>Index Value</t>
  </si>
  <si>
    <t>Cash Yield</t>
  </si>
  <si>
    <t>Growth Rate</t>
  </si>
  <si>
    <t>[10]</t>
  </si>
  <si>
    <t>Risk-free Rate</t>
  </si>
  <si>
    <t>[11]</t>
  </si>
  <si>
    <t>Current Index Value</t>
  </si>
  <si>
    <t>Expected Dividends</t>
  </si>
  <si>
    <t>Expected Terminal Value</t>
  </si>
  <si>
    <t>Present Value</t>
  </si>
  <si>
    <t>Intrinsic Index Value</t>
  </si>
  <si>
    <t>[12]</t>
  </si>
  <si>
    <t>[13]</t>
  </si>
  <si>
    <t>[14]</t>
  </si>
  <si>
    <t>[15]</t>
  </si>
  <si>
    <t>[16]</t>
  </si>
  <si>
    <t>[17]</t>
  </si>
  <si>
    <t>Implied Equity Risk Premium</t>
  </si>
  <si>
    <t>[5] = [2] / [1]</t>
  </si>
  <si>
    <t>[6] = [3] / [1]</t>
  </si>
  <si>
    <t>[7] = [4] / [1]</t>
  </si>
  <si>
    <t>[8] = [6] + [7]</t>
  </si>
  <si>
    <t>[9] = Average of [8]</t>
  </si>
  <si>
    <t>[18]</t>
  </si>
  <si>
    <t>[19]</t>
  </si>
  <si>
    <t>Beta</t>
  </si>
  <si>
    <t>ROE</t>
  </si>
  <si>
    <t>AEE</t>
  </si>
  <si>
    <t>POR</t>
  </si>
  <si>
    <t>Value Line Region</t>
  </si>
  <si>
    <t>Value Line Safety Rank</t>
  </si>
  <si>
    <t>Market Category</t>
  </si>
  <si>
    <t>Market Cap. ($ millions)</t>
  </si>
  <si>
    <t>Dividend</t>
  </si>
  <si>
    <t>Stock Price</t>
  </si>
  <si>
    <r>
      <t>(d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</si>
  <si>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r>
      <t>(P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</si>
  <si>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t>(g)</t>
  </si>
  <si>
    <t>Results</t>
  </si>
  <si>
    <t>Required Return on Market</t>
  </si>
  <si>
    <t>[20]</t>
  </si>
  <si>
    <t>Quarter</t>
  </si>
  <si>
    <t>Cases Filed</t>
  </si>
  <si>
    <t>Average</t>
  </si>
  <si>
    <t>Arithmetic</t>
  </si>
  <si>
    <t>Geometric</t>
  </si>
  <si>
    <t>Industry</t>
  </si>
  <si>
    <t>Broadcasting</t>
  </si>
  <si>
    <t>[19] = [20] + [11]</t>
  </si>
  <si>
    <t>[1] Market value of S&amp;P 500</t>
  </si>
  <si>
    <t>Cost of Equity</t>
  </si>
  <si>
    <t>Risk Free Rate</t>
  </si>
  <si>
    <t>Average Return on All Stocks</t>
  </si>
  <si>
    <t>Average Utility Awarded ROE</t>
  </si>
  <si>
    <t>[4] = Average of [3]</t>
  </si>
  <si>
    <t>[5] = Geometric mean of [3]</t>
  </si>
  <si>
    <t>[6] = Average ([4],[5])</t>
  </si>
  <si>
    <t>[7] = Average of [2]</t>
  </si>
  <si>
    <r>
      <t>[13-16] Expected dividends = [9]*[12]*(1+[10])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; Present value = expected dividend / (1+[11]+[19])</t>
    </r>
    <r>
      <rPr>
        <vertAlign val="superscript"/>
        <sz val="9"/>
        <color theme="1"/>
        <rFont val="Calibri"/>
        <family val="2"/>
        <scheme val="minor"/>
      </rPr>
      <t>n</t>
    </r>
    <r>
      <rPr>
        <sz val="9"/>
        <color theme="1"/>
        <rFont val="Calibri"/>
        <family val="2"/>
        <scheme val="minor"/>
      </rPr>
      <t xml:space="preserve"> </t>
    </r>
  </si>
  <si>
    <r>
      <t>[17] Expected terminal value = expected dividend * (1+[11]) / [19] ; Present value = (expected dividend + expected terminal value) / (1+[11]+[19])</t>
    </r>
    <r>
      <rPr>
        <vertAlign val="superscript"/>
        <sz val="9"/>
        <color theme="1"/>
        <rFont val="Calibri"/>
        <family val="2"/>
        <scheme val="minor"/>
      </rPr>
      <t>n</t>
    </r>
  </si>
  <si>
    <t>[18] = Sum([13-17]) present values.</t>
  </si>
  <si>
    <t>[20] Internal rate of return calculation setting [18] equal to [12] and solving for the discount rate</t>
  </si>
  <si>
    <t>Damodaran</t>
  </si>
  <si>
    <t>Average Awarded</t>
  </si>
  <si>
    <t>Annual Market</t>
  </si>
  <si>
    <t>Risk-Free</t>
  </si>
  <si>
    <t>Value Line</t>
  </si>
  <si>
    <t>Risk</t>
  </si>
  <si>
    <t>CAPM</t>
  </si>
  <si>
    <t xml:space="preserve">Rate </t>
  </si>
  <si>
    <t>Premium</t>
  </si>
  <si>
    <t>Company ERP</t>
  </si>
  <si>
    <t>Result</t>
  </si>
  <si>
    <t>Debt Ratio</t>
  </si>
  <si>
    <t>Discounted Cash Flow Model</t>
  </si>
  <si>
    <t>Model</t>
  </si>
  <si>
    <t>CMS</t>
  </si>
  <si>
    <t>DCF</t>
  </si>
  <si>
    <t>A</t>
  </si>
  <si>
    <t>B++</t>
  </si>
  <si>
    <t>B+</t>
  </si>
  <si>
    <t>[2] Large Cap &gt; $10 billion; Mid Cap &gt; $2 billion; Small Cap &gt; $200 million</t>
  </si>
  <si>
    <t>[8] Annual required market returns.  NYU Stern School of Business. http://pages.stern.nyu.edu/~adamodar/ (adding risk-free rate to implied ERP)</t>
  </si>
  <si>
    <t>Average annual awards</t>
  </si>
  <si>
    <t xml:space="preserve">All prices are adjusted closing prices reported by Yahoo! Finance, http://finance.yahoo.com </t>
  </si>
  <si>
    <r>
      <t>[10] = Compund annual growth rate of [2] = (end value / beginning value)^</t>
    </r>
    <r>
      <rPr>
        <vertAlign val="superscript"/>
        <sz val="9"/>
        <color theme="1"/>
        <rFont val="Calibri"/>
        <family val="2"/>
        <scheme val="minor"/>
      </rPr>
      <t>1/4</t>
    </r>
    <r>
      <rPr>
        <sz val="9"/>
        <color theme="1"/>
        <rFont val="Calibri"/>
        <family val="2"/>
        <scheme val="minor"/>
      </rPr>
      <t>-1</t>
    </r>
  </si>
  <si>
    <t>[1] Edison Electric Institute Financial Update.  Number of cases filed in each quarter.</t>
  </si>
  <si>
    <t>[2] Edison Electric Institute Financial Update.  Average awarded utility ROE each quarter.</t>
  </si>
  <si>
    <t xml:space="preserve">[3] Historical stock returns.  NYU Stern School of Business. http://pages.stern.nyu.edu/~adamodar/. </t>
  </si>
  <si>
    <t>Ameren Corp.</t>
  </si>
  <si>
    <t>CMS Energy Corp.</t>
  </si>
  <si>
    <t>Portland General</t>
  </si>
  <si>
    <t>Nominal GDP</t>
  </si>
  <si>
    <t>Yield</t>
  </si>
  <si>
    <t>Stock</t>
  </si>
  <si>
    <t>Inflation</t>
  </si>
  <si>
    <t>*Betas from Value Line Investment Survey</t>
  </si>
  <si>
    <t>Garrett</t>
  </si>
  <si>
    <t>[1] IESE Business School Survey</t>
  </si>
  <si>
    <t>[2] Graham and Harvey Survey</t>
  </si>
  <si>
    <t>of Equity</t>
  </si>
  <si>
    <t>ALLETE</t>
  </si>
  <si>
    <t>El Paso Electric</t>
  </si>
  <si>
    <t>Otter Tail Corp.</t>
  </si>
  <si>
    <t>[3] = [1] / [2]</t>
  </si>
  <si>
    <t>Awarded Rate of Return</t>
  </si>
  <si>
    <t>Debt ratios from Value Line Investment Survey</t>
  </si>
  <si>
    <t>[6] = [1] + [2] * [3]</t>
  </si>
  <si>
    <t>*Daily Treasury Yield Curve Rates on 30-year T-bonds, http://www.treasury.gov/resources-center/data-chart-center/interest-rates/.</t>
  </si>
  <si>
    <t>Black Hills</t>
  </si>
  <si>
    <t>Avista Corp.</t>
  </si>
  <si>
    <t>NorthWestern Corp.</t>
  </si>
  <si>
    <t>ALE</t>
  </si>
  <si>
    <t>AVA</t>
  </si>
  <si>
    <t>BKH</t>
  </si>
  <si>
    <t>EE</t>
  </si>
  <si>
    <t>NWE</t>
  </si>
  <si>
    <t>OTTR</t>
  </si>
  <si>
    <t>Estimate</t>
  </si>
  <si>
    <t>Graham Harvey Survey</t>
  </si>
  <si>
    <t>IESE Survey</t>
  </si>
  <si>
    <t>[4] From implied ERP exhibit herein</t>
  </si>
  <si>
    <t>Market Cost</t>
  </si>
  <si>
    <t>RECOMMENDED</t>
  </si>
  <si>
    <t>IESE Business School Survey</t>
  </si>
  <si>
    <t>Graham &amp; Harvey Survey</t>
  </si>
  <si>
    <t>Duff &amp; Phelps Report</t>
  </si>
  <si>
    <t>[3] Duff &amp; Phelps Client Alert 2016</t>
  </si>
  <si>
    <t>[3] Recent highest reported ERP + risk-free rate</t>
  </si>
  <si>
    <t>[2] Average reported ERP + risk-free rate</t>
  </si>
  <si>
    <t>[1] Average reported ERP + riskfree rate</t>
  </si>
  <si>
    <t>Steel</t>
  </si>
  <si>
    <t>DTE Energy Co.</t>
  </si>
  <si>
    <t>DTE</t>
  </si>
  <si>
    <t>IDA</t>
  </si>
  <si>
    <t>[1], [4], [5], [6] Value Line Investment Survey</t>
  </si>
  <si>
    <t>Moody's Ratings</t>
  </si>
  <si>
    <t>A3</t>
  </si>
  <si>
    <t>Baa1</t>
  </si>
  <si>
    <t>[3] Bond ratings</t>
  </si>
  <si>
    <t>Inputs</t>
  </si>
  <si>
    <t>Ratings Table</t>
  </si>
  <si>
    <t>Coverage</t>
  </si>
  <si>
    <t>Bond</t>
  </si>
  <si>
    <t>Interest</t>
  </si>
  <si>
    <t>EBIT</t>
  </si>
  <si>
    <t>Ratio</t>
  </si>
  <si>
    <t>Rating</t>
  </si>
  <si>
    <t>Spread</t>
  </si>
  <si>
    <t>Interest Expense</t>
  </si>
  <si>
    <t>Aaa/AAA</t>
  </si>
  <si>
    <t>Book Debt</t>
  </si>
  <si>
    <t>Aa2/AA</t>
  </si>
  <si>
    <t>Book Equity</t>
  </si>
  <si>
    <t>A1/A+</t>
  </si>
  <si>
    <t>Debt / Capital</t>
  </si>
  <si>
    <t>A2/A</t>
  </si>
  <si>
    <t>Debt / Equity</t>
  </si>
  <si>
    <t>A3/A-</t>
  </si>
  <si>
    <t>Debt Cost</t>
  </si>
  <si>
    <t xml:space="preserve"> </t>
  </si>
  <si>
    <t>2.5 - 2.99</t>
  </si>
  <si>
    <t>Baa2/BBB</t>
  </si>
  <si>
    <t>Tax Rate</t>
  </si>
  <si>
    <t>Ba1/BB+</t>
  </si>
  <si>
    <t>Unlevered Beta</t>
  </si>
  <si>
    <t>Ba2/BB</t>
  </si>
  <si>
    <t>B1/B+</t>
  </si>
  <si>
    <t>Equity Risk Premium</t>
  </si>
  <si>
    <t>B2/B</t>
  </si>
  <si>
    <t>Coverage Ratio</t>
  </si>
  <si>
    <t>1.25 - 1.49</t>
  </si>
  <si>
    <t>B3/B-</t>
  </si>
  <si>
    <t>Bond Rating</t>
  </si>
  <si>
    <t>Caa/CCC</t>
  </si>
  <si>
    <t>Figure</t>
  </si>
  <si>
    <t>[21]</t>
  </si>
  <si>
    <t>[22]</t>
  </si>
  <si>
    <t>[23]</t>
  </si>
  <si>
    <t>[24]</t>
  </si>
  <si>
    <t>[25]</t>
  </si>
  <si>
    <t>[26]</t>
  </si>
  <si>
    <t>[27]</t>
  </si>
  <si>
    <t>[28]</t>
  </si>
  <si>
    <t>[29]</t>
  </si>
  <si>
    <t>Optimal Capital Structure Calculation</t>
  </si>
  <si>
    <t>Debt</t>
  </si>
  <si>
    <t>D/E</t>
  </si>
  <si>
    <t>Levered</t>
  </si>
  <si>
    <t>True Cost</t>
  </si>
  <si>
    <t>Awarded</t>
  </si>
  <si>
    <t>Pre-tax</t>
  </si>
  <si>
    <t>After-tax</t>
  </si>
  <si>
    <t>Optimal</t>
  </si>
  <si>
    <t>WACC at</t>
  </si>
  <si>
    <t>Level</t>
  </si>
  <si>
    <t>Expense</t>
  </si>
  <si>
    <t>WACC</t>
  </si>
  <si>
    <t>∞</t>
  </si>
  <si>
    <t>[12] = [1] / [2]</t>
  </si>
  <si>
    <t>[21] = [10] + [20] * [11]</t>
  </si>
  <si>
    <t>[13] Company bond rating</t>
  </si>
  <si>
    <t>[22] Recommended awarded ROE</t>
  </si>
  <si>
    <t>[5] = [3] / ([3] + [4])</t>
  </si>
  <si>
    <t>[14] Ranges of coverage ratios</t>
  </si>
  <si>
    <t>[23] = [18] * ([3] + [4]); (000's)</t>
  </si>
  <si>
    <t>[6] = [3] / [4]</t>
  </si>
  <si>
    <t>[15] Moody's / S&amp;P bond ratings</t>
  </si>
  <si>
    <t>[24] = [22] * [7]; (000's)</t>
  </si>
  <si>
    <t>[16] NYU spread over risk-free rate</t>
  </si>
  <si>
    <t>[25] = [1] / [23]</t>
  </si>
  <si>
    <t>[8] Estimated corporate tax rate</t>
  </si>
  <si>
    <t>[17] = [16] + [10] = est. debt cost</t>
  </si>
  <si>
    <t>[26] Debt cost given coverage ratio per Ratings Table</t>
  </si>
  <si>
    <t>[9] Average beta / (1+(1 - [8])*[6])</t>
  </si>
  <si>
    <t>[18] = debt / total capital</t>
  </si>
  <si>
    <t>[27] = [25] * (1 - [8])</t>
  </si>
  <si>
    <t xml:space="preserve">[19] = [18] / (1 - [18])  </t>
  </si>
  <si>
    <t>[28] = ([18] * [26]) + ((1 - [18]) * [21])</t>
  </si>
  <si>
    <t>[20] = [9] * (1 + (1 - [8]) * [6]</t>
  </si>
  <si>
    <t>[29] = ([18] * [26]) + ((1 - [18]) * [22])</t>
  </si>
  <si>
    <t>[3], [4] Company Schedule DPH-31 (000's)</t>
  </si>
  <si>
    <t>[1], [2] Q-AG-01-002 AG-1-2 Attachment (11) (000's)</t>
  </si>
  <si>
    <t>[7] Company Schedule DPH-31</t>
  </si>
  <si>
    <t>[10] From DJG risk-free rate exhibit</t>
  </si>
  <si>
    <t>Number of Fimrs</t>
  </si>
  <si>
    <t>Advertising</t>
  </si>
  <si>
    <t>Air Transport</t>
  </si>
  <si>
    <t>Auto &amp; Truck</t>
  </si>
  <si>
    <t>Bank (Money Center)</t>
  </si>
  <si>
    <t>Beverage (Soft)</t>
  </si>
  <si>
    <t>Brokerage &amp; Investment Banking</t>
  </si>
  <si>
    <t>Cable TV</t>
  </si>
  <si>
    <t>Coal &amp; Related Energy</t>
  </si>
  <si>
    <t>Hospitals/Healthcare Facilities</t>
  </si>
  <si>
    <t>Hotel/Gaming</t>
  </si>
  <si>
    <t>Office Equipment &amp; Services</t>
  </si>
  <si>
    <t>Packaging &amp; Container</t>
  </si>
  <si>
    <t>R.E.I.T.</t>
  </si>
  <si>
    <t>Restaurant/Dining</t>
  </si>
  <si>
    <t>Retail (Automotive)</t>
  </si>
  <si>
    <t>Retail (Building Supply)</t>
  </si>
  <si>
    <t>Retail (Distributors)</t>
  </si>
  <si>
    <t>Telecom (Wireless)</t>
  </si>
  <si>
    <t>Telecom. Services</t>
  </si>
  <si>
    <t>Tobacco</t>
  </si>
  <si>
    <t>Trucking</t>
  </si>
  <si>
    <t>Total / Average</t>
  </si>
  <si>
    <t>http://pages.stern.nyu.edu/~adamodar/New_Home_Page/datafile/dbtfund.htm</t>
  </si>
  <si>
    <t>Power</t>
  </si>
  <si>
    <t>Food Wholesalers</t>
  </si>
  <si>
    <t>Retail (Grocery and Food)</t>
  </si>
  <si>
    <t>Real Estate (Operations &amp; Services)</t>
  </si>
  <si>
    <t>Transportation</t>
  </si>
  <si>
    <t>Chemical (Basic)</t>
  </si>
  <si>
    <t>Construction Supplies</t>
  </si>
  <si>
    <t>Environmental &amp; Waste Services</t>
  </si>
  <si>
    <t>Farming/Agriculture</t>
  </si>
  <si>
    <t>Business &amp; Consumer Services</t>
  </si>
  <si>
    <t>Green &amp; Renewable Energy</t>
  </si>
  <si>
    <t>Computer Services</t>
  </si>
  <si>
    <t>Oil/Gas Distribution</t>
  </si>
  <si>
    <t>Utility (Water)</t>
  </si>
  <si>
    <t>Rubber&amp; Tires</t>
  </si>
  <si>
    <t>Drugs (Biotechnology)</t>
  </si>
  <si>
    <t>Chemical (Specialty)</t>
  </si>
  <si>
    <t>Recreation</t>
  </si>
  <si>
    <t>Software (System &amp; Application)</t>
  </si>
  <si>
    <t>Metals &amp; Mining</t>
  </si>
  <si>
    <t>Beverage (Alcoholic)</t>
  </si>
  <si>
    <t>Information Services</t>
  </si>
  <si>
    <t>Household Products</t>
  </si>
  <si>
    <t>Chemical (Diversified)</t>
  </si>
  <si>
    <t>Aerospace/Defense</t>
  </si>
  <si>
    <t>Building Materials</t>
  </si>
  <si>
    <t>Oil/Gas (Production and Exploration)</t>
  </si>
  <si>
    <t>Investments &amp; Asset Management</t>
  </si>
  <si>
    <t>Auto Parts</t>
  </si>
  <si>
    <t>8.75% ROE</t>
  </si>
  <si>
    <t>[2] Average stock price from DJG stock price exhibit.</t>
  </si>
  <si>
    <t>[1], [2] CBO Long-Term Budget Outlook 2016 - 2046</t>
  </si>
  <si>
    <t>[3] From DJG risk-free rate exhibit</t>
  </si>
  <si>
    <t>Growth Determinant</t>
  </si>
  <si>
    <t>[1] Average proxy dividend from DJG dividend exhibit</t>
  </si>
  <si>
    <t>[2] Average proxy stock price from DJG dividend exhibit</t>
  </si>
  <si>
    <t>[3] Highest growth rate from DJG growth determinant exhibit</t>
  </si>
  <si>
    <r>
      <t>[4] Quarterly DCF Approximation = [d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>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/P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+ (1 + g)</t>
    </r>
    <r>
      <rPr>
        <vertAlign val="superscript"/>
        <sz val="9"/>
        <color theme="1"/>
        <rFont val="Calibri"/>
        <family val="2"/>
        <scheme val="minor"/>
      </rPr>
      <t>0.25</t>
    </r>
    <r>
      <rPr>
        <sz val="9"/>
        <color theme="1"/>
        <rFont val="Calibri"/>
        <family val="2"/>
        <scheme val="minor"/>
      </rPr>
      <t>]</t>
    </r>
    <r>
      <rPr>
        <vertAlign val="superscript"/>
        <sz val="9"/>
        <color theme="1"/>
        <rFont val="Calibri"/>
        <family val="2"/>
        <scheme val="minor"/>
      </rPr>
      <t>4</t>
    </r>
    <r>
      <rPr>
        <sz val="9"/>
        <color theme="1"/>
        <rFont val="Calibri"/>
        <family val="2"/>
        <scheme val="minor"/>
      </rPr>
      <t xml:space="preserve"> - 1</t>
    </r>
  </si>
  <si>
    <t>[11] Risk-free rate from DJG risk-free rate exhibit</t>
  </si>
  <si>
    <t>[12] 30-day average of closing index prices from DJG stock price exhibit</t>
  </si>
  <si>
    <t>[5] From DJG implied ERP exhibit</t>
  </si>
  <si>
    <t>[1] From DJG risk-free rate exhibit</t>
  </si>
  <si>
    <t>[2] From DJG beta exhibit</t>
  </si>
  <si>
    <t>[3] From DJG equity risk premium exhibit</t>
  </si>
  <si>
    <t>[11] From DJG equity risk premium exhibit</t>
  </si>
  <si>
    <t>Avangrid, Inc.</t>
  </si>
  <si>
    <t>Edison International</t>
  </si>
  <si>
    <t>Exelon Corp.</t>
  </si>
  <si>
    <t>Hawaiian Elec.</t>
  </si>
  <si>
    <t>IDACORP, Inc.</t>
  </si>
  <si>
    <t>PG&amp;E Corp.</t>
  </si>
  <si>
    <t>Sempra Energy</t>
  </si>
  <si>
    <t>AGR</t>
  </si>
  <si>
    <t>Dominion Energy</t>
  </si>
  <si>
    <t>D</t>
  </si>
  <si>
    <t>EIX</t>
  </si>
  <si>
    <t>EXC</t>
  </si>
  <si>
    <t>HE</t>
  </si>
  <si>
    <t>PCG</t>
  </si>
  <si>
    <t>SRE</t>
  </si>
  <si>
    <t>NMF</t>
  </si>
  <si>
    <t>[1] Third quarter 2017 dividends per share.  Nasdaq.com</t>
  </si>
  <si>
    <t>Baa2</t>
  </si>
  <si>
    <t>[1-4] S&amp;P Quarterly Press Releases, data found at https://us.spindices.com/indices/equity/sp-500 (additional info tab) (all dollar figures are in $ billions)</t>
  </si>
  <si>
    <t>NA</t>
  </si>
  <si>
    <t>Highest</t>
  </si>
  <si>
    <t>8.5 - 10.00</t>
  </si>
  <si>
    <t>6.5 - 8.49</t>
  </si>
  <si>
    <t>5.5 - 6.49</t>
  </si>
  <si>
    <t>4.25 - 5.49</t>
  </si>
  <si>
    <t>3.0 - 4.24</t>
  </si>
  <si>
    <t>2.25 - 2.49</t>
  </si>
  <si>
    <t>2.0 - 2.24</t>
  </si>
  <si>
    <t>1.75 - 1.99</t>
  </si>
  <si>
    <t>1.5 - 1.74</t>
  </si>
  <si>
    <t>0.8 - 1.24</t>
  </si>
  <si>
    <t>9.9% ROE</t>
  </si>
  <si>
    <t xml:space="preserve">Beta </t>
  </si>
  <si>
    <t>Utility (General)</t>
  </si>
  <si>
    <t>Hospitals</t>
  </si>
  <si>
    <t>Publshing</t>
  </si>
  <si>
    <t>Real Estate</t>
  </si>
  <si>
    <t xml:space="preserve">See Betas by Sector (US) at http://pages.stern.nyu.edu/~adamodar/.  </t>
  </si>
  <si>
    <t>Equity risk premium</t>
  </si>
  <si>
    <t>X</t>
  </si>
  <si>
    <t>Y</t>
  </si>
  <si>
    <t>ER</t>
  </si>
  <si>
    <t>a</t>
  </si>
  <si>
    <t>b</t>
  </si>
  <si>
    <r>
      <t>y = ax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+ bx + c</t>
    </r>
  </si>
  <si>
    <t>WACC Min</t>
  </si>
  <si>
    <t>Value Max</t>
  </si>
  <si>
    <t>c</t>
  </si>
  <si>
    <t>Top Line</t>
  </si>
  <si>
    <t>Mid Line</t>
  </si>
  <si>
    <t>Bot. Line</t>
  </si>
  <si>
    <t>Top Arrow</t>
  </si>
  <si>
    <t>Bottom Arrow</t>
  </si>
  <si>
    <t>CAPM Result</t>
  </si>
  <si>
    <t xml:space="preserve">[4] Average ERP est., http://pages.stern.nyu.edu/~adamodar/ </t>
  </si>
  <si>
    <t>(avg. 4.63%, 4.92%, 6.16%)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</si>
</sst>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"/>
    <numFmt numFmtId="166" formatCode="#,##0.000_);[Red]\(#,##0.000\)"/>
    <numFmt numFmtId="167" formatCode="0.00_);[Red]\(0.00\)"/>
    <numFmt numFmtId="168" formatCode="_(* #,##0_);_(* \(#,##0\);_(* &quot;-&quot;??_);_(@_)"/>
    <numFmt numFmtId="169" formatCode="0.000_);[Red]\(0.000\)"/>
    <numFmt numFmtId="170" formatCode="#,##0.0000_);[Red]\(#,##0.0000\)"/>
    <numFmt numFmtId="171" formatCode="mm/dd/yy;@"/>
    <numFmt numFmtId="172" formatCode="0.0"/>
    <numFmt numFmtId="173" formatCode="###0;###0"/>
    <numFmt numFmtId="174" formatCode="0.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"/>
    </font>
    <font>
      <sz val="11"/>
      <color theme="1"/>
      <name val="Calibri"/>
      <family val="2"/>
    </font>
    <font>
      <vertAlign val="subscript"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Verdana"/>
      <family val="2"/>
    </font>
    <font>
      <sz val="12"/>
      <color theme="1"/>
      <name val="Calibri"/>
      <family val="2"/>
    </font>
    <font>
      <b/>
      <vertAlign val="superscript"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14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3" fillId="0" borderId="0" xfId="0" applyFont="1"/>
    <xf numFmtId="0" fontId="0" fillId="0" borderId="1" xfId="0" applyFill="1" applyBorder="1" applyAlignment="1">
      <alignment horizontal="center" wrapText="1"/>
    </xf>
    <xf numFmtId="10" fontId="0" fillId="0" borderId="0" xfId="0" applyNumberFormat="1"/>
    <xf numFmtId="0" fontId="0" fillId="0" borderId="0" xfId="0" applyFont="1" applyAlignment="1">
      <alignment horizontal="center"/>
    </xf>
    <xf numFmtId="168" fontId="0" fillId="0" borderId="0" xfId="2" applyNumberFormat="1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69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165" fontId="0" fillId="0" borderId="0" xfId="0" applyNumberFormat="1" applyAlignment="1">
      <alignment horizontal="center"/>
    </xf>
    <xf numFmtId="10" fontId="3" fillId="0" borderId="0" xfId="1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2" applyNumberFormat="1" applyFont="1" applyAlignment="1">
      <alignment horizontal="center"/>
    </xf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0" fontId="3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5" fontId="0" fillId="0" borderId="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Alignment="1">
      <alignment horizontal="center"/>
    </xf>
    <xf numFmtId="10" fontId="3" fillId="0" borderId="0" xfId="0" applyNumberFormat="1" applyFont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7" fontId="0" fillId="0" borderId="0" xfId="2" applyNumberFormat="1" applyFont="1" applyAlignment="1">
      <alignment horizontal="right" indent="1"/>
    </xf>
    <xf numFmtId="37" fontId="0" fillId="0" borderId="0" xfId="2" applyNumberFormat="1" applyFont="1" applyAlignment="1">
      <alignment horizontal="center"/>
    </xf>
    <xf numFmtId="37" fontId="0" fillId="0" borderId="0" xfId="2" applyNumberFormat="1" applyFont="1" applyAlignment="1">
      <alignment horizontal="right" indent="2"/>
    </xf>
    <xf numFmtId="0" fontId="0" fillId="0" borderId="1" xfId="0" applyFont="1" applyBorder="1" applyAlignment="1">
      <alignment horizontal="left"/>
    </xf>
    <xf numFmtId="10" fontId="3" fillId="0" borderId="1" xfId="0" applyNumberFormat="1" applyFont="1" applyBorder="1"/>
    <xf numFmtId="0" fontId="0" fillId="0" borderId="0" xfId="0" applyFont="1" applyBorder="1" applyAlignment="1">
      <alignment horizontal="left"/>
    </xf>
    <xf numFmtId="10" fontId="3" fillId="0" borderId="0" xfId="0" applyNumberFormat="1" applyFont="1" applyBorder="1"/>
    <xf numFmtId="2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right" indent="2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1" xfId="0" applyBorder="1" applyAlignment="1">
      <alignment horizontal="center"/>
    </xf>
    <xf numFmtId="172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/>
    <xf numFmtId="17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7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8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173" fontId="8" fillId="0" borderId="0" xfId="0" applyNumberFormat="1" applyFont="1" applyFill="1" applyBorder="1" applyAlignment="1">
      <alignment horizontal="center" vertical="top" wrapText="1"/>
    </xf>
    <xf numFmtId="10" fontId="8" fillId="0" borderId="0" xfId="1" applyNumberFormat="1" applyFont="1" applyFill="1" applyBorder="1" applyAlignment="1">
      <alignment horizontal="right" vertical="top" wrapText="1" indent="4"/>
    </xf>
    <xf numFmtId="10" fontId="8" fillId="0" borderId="0" xfId="1" applyNumberFormat="1" applyFont="1" applyFill="1" applyBorder="1" applyAlignment="1">
      <alignment horizontal="right" vertical="top" indent="4"/>
    </xf>
    <xf numFmtId="10" fontId="8" fillId="0" borderId="1" xfId="1" applyNumberFormat="1" applyFont="1" applyFill="1" applyBorder="1" applyAlignment="1">
      <alignment horizontal="right" vertical="top" indent="4"/>
    </xf>
    <xf numFmtId="0" fontId="8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center" wrapText="1"/>
    </xf>
    <xf numFmtId="10" fontId="8" fillId="0" borderId="10" xfId="1" applyNumberFormat="1" applyFont="1" applyFill="1" applyBorder="1" applyAlignment="1">
      <alignment horizontal="right" vertical="top" indent="4"/>
    </xf>
    <xf numFmtId="0" fontId="8" fillId="0" borderId="1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left" vertical="top" indent="2"/>
    </xf>
    <xf numFmtId="1" fontId="0" fillId="0" borderId="0" xfId="0" applyNumberFormat="1" applyBorder="1" applyAlignment="1">
      <alignment horizontal="center"/>
    </xf>
    <xf numFmtId="10" fontId="0" fillId="0" borderId="0" xfId="0" applyNumberForma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8" fillId="0" borderId="1" xfId="1" applyNumberFormat="1" applyFont="1" applyFill="1" applyBorder="1" applyAlignment="1">
      <alignment horizontal="left" vertical="top" indent="2"/>
    </xf>
    <xf numFmtId="0" fontId="10" fillId="0" borderId="0" xfId="1" applyNumberFormat="1" applyFont="1" applyFill="1" applyBorder="1" applyAlignment="1">
      <alignment horizontal="left" vertical="top"/>
    </xf>
    <xf numFmtId="164" fontId="0" fillId="0" borderId="1" xfId="1" applyNumberFormat="1" applyFont="1" applyBorder="1" applyAlignment="1">
      <alignment horizontal="center"/>
    </xf>
    <xf numFmtId="10" fontId="8" fillId="0" borderId="0" xfId="0" applyNumberFormat="1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1" applyNumberFormat="1" applyFont="1" applyFill="1" applyBorder="1" applyAlignment="1">
      <alignment horizontal="left" vertical="top"/>
    </xf>
    <xf numFmtId="10" fontId="8" fillId="0" borderId="0" xfId="1" applyNumberFormat="1" applyFont="1" applyFill="1" applyBorder="1" applyAlignment="1">
      <alignment horizontal="right" vertical="top" indent="3"/>
    </xf>
    <xf numFmtId="10" fontId="8" fillId="0" borderId="1" xfId="1" applyNumberFormat="1" applyFont="1" applyFill="1" applyBorder="1" applyAlignment="1">
      <alignment horizontal="right" vertical="top" indent="3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11" fillId="0" borderId="0" xfId="0" applyFont="1"/>
    <xf numFmtId="166" fontId="0" fillId="0" borderId="1" xfId="0" applyNumberForma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9" fontId="0" fillId="0" borderId="1" xfId="1" applyNumberFormat="1" applyFont="1" applyBorder="1" applyAlignment="1">
      <alignment horizontal="center"/>
    </xf>
    <xf numFmtId="10" fontId="3" fillId="0" borderId="1" xfId="1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0" fontId="13" fillId="0" borderId="13" xfId="0" applyFont="1" applyBorder="1" applyAlignment="1">
      <alignment horizontal="left" indent="1"/>
    </xf>
    <xf numFmtId="2" fontId="13" fillId="0" borderId="13" xfId="0" applyNumberFormat="1" applyFont="1" applyBorder="1" applyAlignment="1">
      <alignment horizontal="right" indent="1"/>
    </xf>
    <xf numFmtId="0" fontId="13" fillId="0" borderId="13" xfId="0" applyFont="1" applyBorder="1" applyAlignment="1">
      <alignment horizontal="right" indent="1"/>
    </xf>
    <xf numFmtId="0" fontId="14" fillId="0" borderId="1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164" fontId="15" fillId="0" borderId="1" xfId="0" applyNumberFormat="1" applyFont="1" applyBorder="1" applyAlignment="1">
      <alignment horizontal="center"/>
    </xf>
    <xf numFmtId="10" fontId="8" fillId="0" borderId="0" xfId="0" applyNumberFormat="1" applyFont="1" applyFill="1" applyBorder="1" applyAlignment="1">
      <alignment horizontal="left" vertical="top"/>
    </xf>
    <xf numFmtId="0" fontId="3" fillId="0" borderId="0" xfId="0" applyFont="1" applyBorder="1" applyAlignment="1">
      <alignment horizontal="center"/>
    </xf>
    <xf numFmtId="0" fontId="0" fillId="0" borderId="0" xfId="0"/>
    <xf numFmtId="10" fontId="0" fillId="0" borderId="1" xfId="0" applyNumberFormat="1" applyBorder="1" applyAlignment="1">
      <alignment horizontal="center"/>
    </xf>
    <xf numFmtId="9" fontId="0" fillId="0" borderId="0" xfId="1" applyNumberFormat="1" applyFont="1" applyAlignment="1">
      <alignment horizontal="center"/>
    </xf>
    <xf numFmtId="9" fontId="0" fillId="0" borderId="1" xfId="1" applyNumberFormat="1" applyFont="1" applyBorder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1" xfId="0" applyFont="1" applyBorder="1"/>
    <xf numFmtId="0" fontId="0" fillId="0" borderId="0" xfId="0"/>
    <xf numFmtId="171" fontId="0" fillId="0" borderId="0" xfId="0" applyNumberFormat="1" applyBorder="1" applyAlignment="1">
      <alignment horizontal="center"/>
    </xf>
    <xf numFmtId="10" fontId="18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0" fontId="10" fillId="0" borderId="0" xfId="1" applyNumberFormat="1" applyFont="1" applyFill="1" applyBorder="1" applyAlignment="1">
      <alignment horizontal="right" vertical="top" indent="3"/>
    </xf>
    <xf numFmtId="0" fontId="3" fillId="0" borderId="0" xfId="0" applyFont="1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0" xfId="0"/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40" fontId="0" fillId="0" borderId="0" xfId="0" applyNumberFormat="1" applyAlignment="1">
      <alignment horizontal="center"/>
    </xf>
    <xf numFmtId="40" fontId="0" fillId="0" borderId="0" xfId="2" applyNumberFormat="1" applyFont="1" applyAlignment="1">
      <alignment horizontal="center"/>
    </xf>
    <xf numFmtId="40" fontId="0" fillId="0" borderId="0" xfId="0" applyNumberFormat="1" applyAlignment="1">
      <alignment horizontal="right" indent="2"/>
    </xf>
    <xf numFmtId="40" fontId="0" fillId="0" borderId="0" xfId="1" applyNumberFormat="1" applyFont="1" applyAlignment="1">
      <alignment horizontal="right" indent="2"/>
    </xf>
    <xf numFmtId="40" fontId="0" fillId="0" borderId="0" xfId="0" applyNumberFormat="1" applyAlignment="1">
      <alignment horizontal="right" indent="3"/>
    </xf>
    <xf numFmtId="40" fontId="0" fillId="0" borderId="0" xfId="2" applyNumberFormat="1" applyFont="1" applyAlignment="1">
      <alignment horizontal="right" indent="3"/>
    </xf>
    <xf numFmtId="8" fontId="3" fillId="0" borderId="0" xfId="0" applyNumberFormat="1" applyFont="1" applyAlignment="1">
      <alignment horizontal="right" indent="3"/>
    </xf>
    <xf numFmtId="10" fontId="0" fillId="0" borderId="10" xfId="1" applyNumberFormat="1" applyFont="1" applyBorder="1" applyAlignment="1">
      <alignment horizontal="right" indent="2"/>
    </xf>
    <xf numFmtId="40" fontId="0" fillId="0" borderId="1" xfId="1" applyNumberFormat="1" applyFont="1" applyBorder="1" applyAlignment="1">
      <alignment horizontal="right" indent="2"/>
    </xf>
    <xf numFmtId="8" fontId="3" fillId="0" borderId="0" xfId="0" applyNumberFormat="1" applyFont="1" applyAlignment="1">
      <alignment horizontal="right" indent="2"/>
    </xf>
    <xf numFmtId="10" fontId="3" fillId="0" borderId="0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0" fontId="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40" fontId="0" fillId="0" borderId="0" xfId="0" applyNumberFormat="1" applyFont="1" applyAlignment="1">
      <alignment horizontal="right" indent="3"/>
    </xf>
    <xf numFmtId="167" fontId="1" fillId="0" borderId="0" xfId="1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40" fontId="0" fillId="0" borderId="1" xfId="2" applyNumberFormat="1" applyFont="1" applyBorder="1" applyAlignment="1">
      <alignment horizontal="center"/>
    </xf>
    <xf numFmtId="169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/>
    <xf numFmtId="164" fontId="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right" vertical="top" indent="4"/>
    </xf>
    <xf numFmtId="1" fontId="0" fillId="0" borderId="0" xfId="0" applyNumberFormat="1" applyAlignment="1">
      <alignment horizontal="right" indent="1"/>
    </xf>
    <xf numFmtId="1" fontId="0" fillId="0" borderId="0" xfId="0" applyNumberFormat="1"/>
    <xf numFmtId="1" fontId="0" fillId="0" borderId="1" xfId="0" applyNumberFormat="1" applyBorder="1" applyAlignment="1">
      <alignment horizontal="right" indent="1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11" fillId="0" borderId="0" xfId="0" applyFont="1"/>
    <xf numFmtId="0" fontId="8" fillId="0" borderId="0" xfId="0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left" vertical="top" wrapText="1"/>
    </xf>
    <xf numFmtId="166" fontId="0" fillId="0" borderId="0" xfId="0" applyNumberFormat="1" applyAlignment="1">
      <alignment horizontal="right" indent="2"/>
    </xf>
    <xf numFmtId="166" fontId="0" fillId="0" borderId="0" xfId="2" applyNumberFormat="1" applyFont="1" applyAlignment="1">
      <alignment horizontal="right" indent="2"/>
    </xf>
    <xf numFmtId="166" fontId="0" fillId="0" borderId="1" xfId="0" applyNumberFormat="1" applyBorder="1" applyAlignment="1">
      <alignment horizontal="right" indent="2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/>
    <xf numFmtId="10" fontId="0" fillId="0" borderId="0" xfId="1" applyNumberFormat="1" applyFont="1" applyAlignment="1">
      <alignment horizontal="right" indent="1"/>
    </xf>
    <xf numFmtId="10" fontId="0" fillId="0" borderId="0" xfId="1" applyNumberFormat="1" applyFont="1" applyAlignment="1">
      <alignment horizontal="right" indent="4"/>
    </xf>
    <xf numFmtId="0" fontId="0" fillId="0" borderId="14" xfId="0" applyBorder="1"/>
    <xf numFmtId="3" fontId="0" fillId="0" borderId="0" xfId="0" applyNumberFormat="1"/>
    <xf numFmtId="42" fontId="0" fillId="0" borderId="0" xfId="0" applyNumberFormat="1"/>
    <xf numFmtId="42" fontId="0" fillId="0" borderId="0" xfId="0" applyNumberFormat="1" applyAlignment="1">
      <alignment horizontal="center"/>
    </xf>
    <xf numFmtId="10" fontId="0" fillId="0" borderId="0" xfId="0" applyNumberFormat="1" applyAlignment="1">
      <alignment horizontal="right" indent="1"/>
    </xf>
    <xf numFmtId="9" fontId="0" fillId="0" borderId="0" xfId="1" applyNumberFormat="1" applyFont="1"/>
    <xf numFmtId="165" fontId="0" fillId="0" borderId="0" xfId="0" applyNumberFormat="1"/>
    <xf numFmtId="10" fontId="0" fillId="0" borderId="0" xfId="0" applyNumberFormat="1" applyFill="1" applyAlignment="1">
      <alignment horizontal="right"/>
    </xf>
    <xf numFmtId="9" fontId="0" fillId="0" borderId="0" xfId="1" applyFont="1" applyAlignment="1">
      <alignment horizontal="right" indent="1"/>
    </xf>
    <xf numFmtId="9" fontId="0" fillId="0" borderId="0" xfId="1" applyNumberFormat="1" applyFont="1" applyAlignment="1">
      <alignment horizontal="right" indent="1"/>
    </xf>
    <xf numFmtId="0" fontId="19" fillId="0" borderId="0" xfId="0" applyNumberFormat="1" applyFont="1" applyAlignment="1">
      <alignment horizontal="center"/>
    </xf>
    <xf numFmtId="9" fontId="0" fillId="0" borderId="0" xfId="1" applyFont="1" applyFill="1" applyAlignment="1">
      <alignment horizontal="right" indent="1"/>
    </xf>
    <xf numFmtId="172" fontId="0" fillId="0" borderId="0" xfId="0" applyNumberFormat="1" applyAlignment="1">
      <alignment horizontal="right" indent="2"/>
    </xf>
    <xf numFmtId="10" fontId="0" fillId="0" borderId="0" xfId="1" applyNumberFormat="1" applyFont="1" applyFill="1" applyAlignment="1">
      <alignment horizontal="right" indent="1"/>
    </xf>
    <xf numFmtId="9" fontId="1" fillId="0" borderId="0" xfId="1" applyFont="1" applyFill="1" applyAlignment="1">
      <alignment horizontal="right" indent="1"/>
    </xf>
    <xf numFmtId="9" fontId="0" fillId="0" borderId="0" xfId="1" applyNumberFormat="1" applyFont="1" applyFill="1" applyAlignment="1">
      <alignment horizontal="right" indent="1"/>
    </xf>
    <xf numFmtId="9" fontId="0" fillId="0" borderId="0" xfId="1" applyNumberFormat="1" applyFont="1" applyFill="1"/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10" fontId="0" fillId="0" borderId="0" xfId="0" applyNumberFormat="1" applyFill="1" applyAlignment="1">
      <alignment horizontal="right" indent="1"/>
    </xf>
    <xf numFmtId="10" fontId="0" fillId="0" borderId="0" xfId="0" applyNumberFormat="1" applyFill="1"/>
    <xf numFmtId="3" fontId="0" fillId="0" borderId="0" xfId="0" applyNumberFormat="1" applyFill="1"/>
    <xf numFmtId="2" fontId="0" fillId="0" borderId="0" xfId="0" applyNumberFormat="1" applyFill="1" applyAlignment="1">
      <alignment horizontal="center"/>
    </xf>
    <xf numFmtId="172" fontId="0" fillId="0" borderId="0" xfId="0" applyNumberFormat="1" applyFill="1" applyAlignment="1">
      <alignment horizontal="right" indent="2"/>
    </xf>
    <xf numFmtId="10" fontId="1" fillId="0" borderId="0" xfId="1" applyNumberFormat="1" applyFont="1" applyFill="1" applyAlignment="1">
      <alignment horizontal="right" indent="1"/>
    </xf>
    <xf numFmtId="0" fontId="11" fillId="0" borderId="0" xfId="0" applyFont="1" applyAlignment="1">
      <alignment horizontal="left" indent="1"/>
    </xf>
    <xf numFmtId="10" fontId="1" fillId="2" borderId="0" xfId="1" applyNumberFormat="1" applyFont="1" applyFill="1" applyAlignment="1">
      <alignment horizontal="right" indent="1"/>
    </xf>
    <xf numFmtId="9" fontId="1" fillId="2" borderId="0" xfId="1" applyFont="1" applyFill="1" applyAlignment="1">
      <alignment horizontal="right" indent="1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10" fontId="0" fillId="0" borderId="15" xfId="1" applyNumberFormat="1" applyFont="1" applyBorder="1" applyAlignment="1">
      <alignment horizontal="right" indent="1"/>
    </xf>
    <xf numFmtId="10" fontId="0" fillId="0" borderId="15" xfId="1" applyNumberFormat="1" applyFont="1" applyBorder="1"/>
    <xf numFmtId="10" fontId="0" fillId="0" borderId="15" xfId="0" applyNumberFormat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0" xfId="0"/>
    <xf numFmtId="0" fontId="11" fillId="0" borderId="0" xfId="0" applyFont="1"/>
    <xf numFmtId="0" fontId="0" fillId="0" borderId="0" xfId="0"/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/>
    <xf numFmtId="0" fontId="21" fillId="0" borderId="1" xfId="0" applyFont="1" applyBorder="1"/>
    <xf numFmtId="0" fontId="21" fillId="0" borderId="0" xfId="0" applyFont="1"/>
    <xf numFmtId="0" fontId="21" fillId="0" borderId="0" xfId="0" applyFont="1" applyBorder="1" applyAlignment="1">
      <alignment horizontal="left"/>
    </xf>
    <xf numFmtId="10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0" fontId="21" fillId="0" borderId="0" xfId="1" applyNumberFormat="1" applyFont="1"/>
    <xf numFmtId="0" fontId="21" fillId="0" borderId="0" xfId="0" applyFont="1" applyAlignment="1">
      <alignment horizontal="left"/>
    </xf>
    <xf numFmtId="164" fontId="21" fillId="0" borderId="0" xfId="1" applyNumberFormat="1" applyFont="1" applyBorder="1" applyAlignment="1">
      <alignment horizontal="center"/>
    </xf>
    <xf numFmtId="10" fontId="21" fillId="0" borderId="0" xfId="1" applyNumberFormat="1" applyFont="1" applyAlignment="1">
      <alignment horizontal="center"/>
    </xf>
    <xf numFmtId="0" fontId="21" fillId="0" borderId="0" xfId="0" applyFont="1" applyAlignment="1">
      <alignment horizontal="left" indent="1"/>
    </xf>
    <xf numFmtId="10" fontId="21" fillId="0" borderId="0" xfId="1" applyNumberFormat="1" applyFont="1" applyBorder="1" applyAlignment="1">
      <alignment horizontal="center"/>
    </xf>
    <xf numFmtId="164" fontId="21" fillId="0" borderId="0" xfId="0" applyNumberFormat="1" applyFont="1"/>
    <xf numFmtId="10" fontId="21" fillId="0" borderId="0" xfId="0" applyNumberFormat="1" applyFont="1" applyBorder="1" applyAlignment="1">
      <alignment horizontal="left"/>
    </xf>
    <xf numFmtId="164" fontId="21" fillId="0" borderId="1" xfId="1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0" fontId="21" fillId="0" borderId="0" xfId="0" applyNumberFormat="1" applyFont="1" applyBorder="1" applyAlignment="1">
      <alignment horizontal="center"/>
    </xf>
    <xf numFmtId="164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0" fontId="22" fillId="0" borderId="1" xfId="0" applyFont="1" applyBorder="1"/>
    <xf numFmtId="10" fontId="22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/>
    <xf numFmtId="0" fontId="24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0" xfId="0" applyFont="1" applyFill="1" applyAlignment="1">
      <alignment horizontal="left" indent="1"/>
    </xf>
    <xf numFmtId="38" fontId="25" fillId="0" borderId="0" xfId="0" applyNumberFormat="1" applyFont="1" applyAlignment="1">
      <alignment horizontal="right" indent="1"/>
    </xf>
    <xf numFmtId="38" fontId="25" fillId="0" borderId="0" xfId="0" applyNumberFormat="1" applyFont="1" applyAlignment="1">
      <alignment horizontal="right" indent="3"/>
    </xf>
    <xf numFmtId="38" fontId="25" fillId="0" borderId="0" xfId="0" applyNumberFormat="1" applyFont="1" applyFill="1" applyAlignment="1">
      <alignment horizontal="left" indent="1"/>
    </xf>
    <xf numFmtId="38" fontId="25" fillId="0" borderId="0" xfId="0" applyNumberFormat="1" applyFont="1" applyFill="1" applyAlignment="1">
      <alignment horizontal="left" indent="2"/>
    </xf>
    <xf numFmtId="0" fontId="25" fillId="0" borderId="0" xfId="0" applyFont="1" applyFill="1" applyAlignment="1">
      <alignment horizontal="left" indent="3"/>
    </xf>
    <xf numFmtId="164" fontId="25" fillId="0" borderId="0" xfId="1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0" xfId="0" applyFont="1" applyAlignment="1">
      <alignment horizontal="left" indent="3"/>
    </xf>
    <xf numFmtId="38" fontId="25" fillId="0" borderId="0" xfId="0" applyNumberFormat="1" applyFont="1" applyAlignment="1">
      <alignment horizontal="left" indent="1"/>
    </xf>
    <xf numFmtId="168" fontId="25" fillId="0" borderId="0" xfId="2" applyNumberFormat="1" applyFont="1"/>
    <xf numFmtId="38" fontId="25" fillId="0" borderId="0" xfId="2" applyNumberFormat="1" applyFont="1" applyAlignment="1">
      <alignment horizontal="right" indent="3"/>
    </xf>
    <xf numFmtId="0" fontId="25" fillId="0" borderId="1" xfId="0" applyFont="1" applyBorder="1"/>
    <xf numFmtId="0" fontId="26" fillId="0" borderId="1" xfId="0" applyFont="1" applyFill="1" applyBorder="1" applyAlignment="1">
      <alignment horizontal="center"/>
    </xf>
    <xf numFmtId="38" fontId="25" fillId="0" borderId="1" xfId="0" applyNumberFormat="1" applyFont="1" applyBorder="1" applyAlignment="1">
      <alignment horizontal="right" indent="2"/>
    </xf>
    <xf numFmtId="38" fontId="25" fillId="0" borderId="1" xfId="0" applyNumberFormat="1" applyFont="1" applyBorder="1" applyAlignment="1">
      <alignment horizontal="right" indent="3"/>
    </xf>
    <xf numFmtId="38" fontId="25" fillId="0" borderId="1" xfId="0" applyNumberFormat="1" applyFont="1" applyBorder="1" applyAlignment="1">
      <alignment horizontal="left" indent="1"/>
    </xf>
    <xf numFmtId="38" fontId="25" fillId="0" borderId="1" xfId="0" applyNumberFormat="1" applyFont="1" applyBorder="1" applyAlignment="1">
      <alignment horizontal="left" indent="2"/>
    </xf>
    <xf numFmtId="164" fontId="25" fillId="0" borderId="1" xfId="1" applyNumberFormat="1" applyFont="1" applyBorder="1" applyAlignment="1">
      <alignment horizontal="left" indent="2"/>
    </xf>
    <xf numFmtId="164" fontId="25" fillId="0" borderId="1" xfId="1" applyNumberFormat="1" applyFont="1" applyBorder="1" applyAlignment="1">
      <alignment horizontal="center"/>
    </xf>
    <xf numFmtId="0" fontId="25" fillId="0" borderId="1" xfId="0" applyFont="1" applyBorder="1" applyAlignment="1">
      <alignment horizontal="left" indent="3"/>
    </xf>
    <xf numFmtId="0" fontId="25" fillId="0" borderId="0" xfId="0" applyFont="1" applyBorder="1"/>
    <xf numFmtId="0" fontId="26" fillId="0" borderId="0" xfId="0" applyFont="1" applyFill="1" applyAlignment="1">
      <alignment horizontal="center"/>
    </xf>
    <xf numFmtId="38" fontId="25" fillId="0" borderId="0" xfId="0" applyNumberFormat="1" applyFont="1" applyAlignment="1">
      <alignment horizontal="right" indent="2"/>
    </xf>
    <xf numFmtId="38" fontId="25" fillId="0" borderId="0" xfId="0" applyNumberFormat="1" applyFont="1" applyAlignment="1">
      <alignment horizontal="left" indent="2"/>
    </xf>
    <xf numFmtId="0" fontId="25" fillId="0" borderId="0" xfId="0" applyFont="1" applyAlignment="1">
      <alignment horizontal="left" indent="2"/>
    </xf>
    <xf numFmtId="164" fontId="25" fillId="0" borderId="0" xfId="1" applyNumberFormat="1" applyFont="1" applyAlignment="1">
      <alignment horizontal="center"/>
    </xf>
    <xf numFmtId="0" fontId="27" fillId="0" borderId="0" xfId="0" applyFont="1"/>
    <xf numFmtId="10" fontId="3" fillId="0" borderId="12" xfId="1" applyNumberFormat="1" applyFont="1" applyFill="1" applyBorder="1" applyAlignment="1">
      <alignment horizontal="center"/>
    </xf>
    <xf numFmtId="10" fontId="21" fillId="3" borderId="0" xfId="1" applyNumberFormat="1" applyFont="1" applyFill="1"/>
    <xf numFmtId="10" fontId="0" fillId="0" borderId="0" xfId="1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0" fontId="0" fillId="4" borderId="0" xfId="1" applyNumberFormat="1" applyFont="1" applyFill="1" applyBorder="1" applyAlignment="1">
      <alignment horizontal="right" indent="1"/>
    </xf>
    <xf numFmtId="10" fontId="0" fillId="2" borderId="0" xfId="1" applyNumberFormat="1" applyFont="1" applyFill="1" applyAlignment="1">
      <alignment horizontal="right" indent="1"/>
    </xf>
    <xf numFmtId="9" fontId="0" fillId="2" borderId="0" xfId="1" applyFont="1" applyFill="1" applyAlignment="1">
      <alignment horizontal="right" indent="1"/>
    </xf>
    <xf numFmtId="9" fontId="1" fillId="4" borderId="0" xfId="1" applyFont="1" applyFill="1" applyAlignment="1">
      <alignment horizontal="right" indent="1"/>
    </xf>
    <xf numFmtId="0" fontId="28" fillId="0" borderId="1" xfId="0" applyFont="1" applyBorder="1"/>
    <xf numFmtId="9" fontId="28" fillId="0" borderId="1" xfId="1" applyFont="1" applyBorder="1"/>
    <xf numFmtId="0" fontId="28" fillId="0" borderId="0" xfId="0" applyFont="1"/>
    <xf numFmtId="0" fontId="29" fillId="0" borderId="1" xfId="0" applyFont="1" applyBorder="1" applyAlignment="1">
      <alignment horizontal="center"/>
    </xf>
    <xf numFmtId="0" fontId="28" fillId="0" borderId="0" xfId="0" applyFont="1" applyBorder="1"/>
    <xf numFmtId="9" fontId="29" fillId="0" borderId="1" xfId="1" applyFont="1" applyBorder="1" applyAlignment="1">
      <alignment horizontal="center"/>
    </xf>
    <xf numFmtId="0" fontId="28" fillId="0" borderId="0" xfId="0" applyFont="1" applyAlignment="1">
      <alignment horizontal="center"/>
    </xf>
    <xf numFmtId="9" fontId="28" fillId="0" borderId="0" xfId="1" applyFont="1" applyAlignment="1">
      <alignment horizontal="center"/>
    </xf>
    <xf numFmtId="0" fontId="29" fillId="2" borderId="0" xfId="0" applyFont="1" applyFill="1"/>
    <xf numFmtId="9" fontId="29" fillId="2" borderId="0" xfId="1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9" fontId="28" fillId="0" borderId="1" xfId="1" applyFont="1" applyBorder="1" applyAlignment="1">
      <alignment horizontal="center"/>
    </xf>
    <xf numFmtId="9" fontId="29" fillId="0" borderId="0" xfId="1" applyFont="1" applyAlignment="1">
      <alignment horizontal="center"/>
    </xf>
    <xf numFmtId="0" fontId="30" fillId="0" borderId="0" xfId="0" applyFont="1"/>
    <xf numFmtId="9" fontId="28" fillId="0" borderId="0" xfId="1" applyFont="1"/>
    <xf numFmtId="0" fontId="31" fillId="0" borderId="0" xfId="0" applyFont="1" applyFill="1" applyBorder="1" applyAlignment="1">
      <alignment wrapText="1"/>
    </xf>
    <xf numFmtId="2" fontId="31" fillId="0" borderId="0" xfId="0" applyNumberFormat="1" applyFont="1" applyFill="1" applyBorder="1" applyAlignment="1">
      <alignment horizontal="center" wrapText="1"/>
    </xf>
    <xf numFmtId="0" fontId="32" fillId="0" borderId="0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174" fontId="0" fillId="0" borderId="0" xfId="0" applyNumberFormat="1"/>
    <xf numFmtId="2" fontId="0" fillId="5" borderId="0" xfId="0" applyNumberFormat="1" applyFill="1"/>
    <xf numFmtId="174" fontId="0" fillId="5" borderId="0" xfId="0" applyNumberFormat="1" applyFill="1"/>
    <xf numFmtId="0" fontId="7" fillId="0" borderId="1" xfId="4" applyBorder="1"/>
    <xf numFmtId="0" fontId="7" fillId="0" borderId="0" xfId="4"/>
    <xf numFmtId="0" fontId="7" fillId="0" borderId="1" xfId="4" applyBorder="1" applyAlignment="1">
      <alignment horizontal="center"/>
    </xf>
    <xf numFmtId="0" fontId="7" fillId="0" borderId="0" xfId="4" applyBorder="1" applyAlignment="1">
      <alignment horizontal="center"/>
    </xf>
    <xf numFmtId="1" fontId="7" fillId="0" borderId="0" xfId="4" applyNumberFormat="1"/>
    <xf numFmtId="0" fontId="0" fillId="0" borderId="0" xfId="0" applyFont="1"/>
    <xf numFmtId="0" fontId="3" fillId="0" borderId="1" xfId="0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2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0" fontId="3" fillId="0" borderId="0" xfId="0" applyNumberFormat="1" applyFont="1" applyAlignment="1">
      <alignment horizontal="center" vertical="center"/>
    </xf>
    <xf numFmtId="10" fontId="5" fillId="0" borderId="7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0" fontId="0" fillId="0" borderId="0" xfId="1" applyNumberFormat="1" applyFont="1" applyAlignment="1">
      <alignment horizontal="right" vertical="top" indent="4"/>
    </xf>
    <xf numFmtId="0" fontId="27" fillId="0" borderId="0" xfId="0" applyFont="1" applyAlignment="1"/>
    <xf numFmtId="14" fontId="11" fillId="0" borderId="0" xfId="0" applyNumberFormat="1" applyFont="1"/>
    <xf numFmtId="0" fontId="0" fillId="0" borderId="0" xfId="0"/>
    <xf numFmtId="0" fontId="6" fillId="0" borderId="1" xfId="0" applyFont="1" applyBorder="1" applyAlignment="1">
      <alignment horizontal="center"/>
    </xf>
    <xf numFmtId="0" fontId="11" fillId="0" borderId="0" xfId="0" applyFont="1" applyFill="1"/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11" fillId="0" borderId="0" xfId="0" applyFont="1" applyAlignment="1">
      <alignment horizontal="left" indent="1"/>
    </xf>
    <xf numFmtId="0" fontId="30" fillId="0" borderId="0" xfId="0" applyFont="1"/>
    <xf numFmtId="0" fontId="6" fillId="0" borderId="0" xfId="0" applyFont="1"/>
  </cellXfs>
  <cellStyles count="11">
    <cellStyle name="_x000a_bidires=100_x000d_" xfId="3" xr:uid="{00000000-0005-0000-0000-000000000000}"/>
    <cellStyle name="Comma" xfId="2" builtinId="3"/>
    <cellStyle name="Comma 2" xfId="6" xr:uid="{00000000-0005-0000-0000-000002000000}"/>
    <cellStyle name="Currency 15" xfId="9" xr:uid="{00000000-0005-0000-0000-000003000000}"/>
    <cellStyle name="Normal" xfId="0" builtinId="0"/>
    <cellStyle name="Normal 2" xfId="4" xr:uid="{00000000-0005-0000-0000-000005000000}"/>
    <cellStyle name="Normal 4 2" xfId="8" xr:uid="{00000000-0005-0000-0000-000006000000}"/>
    <cellStyle name="Percent" xfId="1" builtinId="5"/>
    <cellStyle name="Percent 10" xfId="10" xr:uid="{00000000-0005-0000-0000-00000C000000}"/>
    <cellStyle name="Percent 2" xfId="5" xr:uid="{00000000-0005-0000-0000-00000D000000}"/>
    <cellStyle name="Percent 3" xfId="7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'11 ERP Result'!$A$4</c:f>
              <c:strCache>
                <c:ptCount val="1"/>
                <c:pt idx="0">
                  <c:v>IESE Business School Survey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0"/>
              <c:layout>
                <c:manualLayout>
                  <c:x val="-3.3078677233260097E-3"/>
                  <c:y val="-7.39221148845880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IESE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Result'!$C$4</c:f>
              <c:numCache>
                <c:formatCode>0.0%</c:formatCode>
                <c:ptCount val="1"/>
                <c:pt idx="0">
                  <c:v>5.7000000000000002E-2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8-417D-8839-F59111CA5FA3}"/>
            </c:ext>
          </c:extLst>
        </c:ser>
        <c:ser>
          <c:idx val="1"/>
          <c:order val="1"/>
          <c:tx>
            <c:strRef>
              <c:f>'11 ERP Result'!$A$6</c:f>
              <c:strCache>
                <c:ptCount val="1"/>
                <c:pt idx="0">
                  <c:v>Graham &amp; Harvey Survey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1.6533477067208915E-3"/>
                  <c:y val="-9.37858523403898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Graham </a:t>
                    </a:r>
                  </a:p>
                  <a:p>
                    <a:r>
                      <a:rPr lang="en-US"/>
                      <a:t>Expert Survey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Result'!$C$6</c:f>
              <c:numCache>
                <c:formatCode>0.0%</c:formatCode>
                <c:ptCount val="1"/>
                <c:pt idx="0">
                  <c:v>4.02E-2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8-417D-8839-F59111CA5FA3}"/>
            </c:ext>
          </c:extLst>
        </c:ser>
        <c:ser>
          <c:idx val="5"/>
          <c:order val="2"/>
          <c:tx>
            <c:v>Damodaran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3.3085190065950247E-3"/>
                  <c:y val="-2.8449665249152445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Result'!$C$10</c:f>
              <c:numCache>
                <c:formatCode>0.0%</c:formatCode>
                <c:ptCount val="1"/>
                <c:pt idx="0">
                  <c:v>5.2366666666666672E-2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8-417D-8839-F59111CA5FA3}"/>
            </c:ext>
          </c:extLst>
        </c:ser>
        <c:ser>
          <c:idx val="0"/>
          <c:order val="3"/>
          <c:tx>
            <c:strRef>
              <c:f>'11 ERP Result'!$H$4</c:f>
              <c:strCache>
                <c:ptCount val="1"/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'11 ERP Result'!$C$8</c:f>
              <c:numCache>
                <c:formatCode>0.0%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18-417D-8839-F59111CA5FA3}"/>
            </c:ext>
          </c:extLst>
        </c:ser>
        <c:ser>
          <c:idx val="2"/>
          <c:order val="4"/>
          <c:tx>
            <c:strRef>
              <c:f>'11 ERP Result'!$A$12</c:f>
              <c:strCache>
                <c:ptCount val="1"/>
                <c:pt idx="0">
                  <c:v>Garrett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080259909566853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Result'!$C$12</c:f>
              <c:numCache>
                <c:formatCode>0.0%</c:formatCode>
                <c:ptCount val="1"/>
                <c:pt idx="0">
                  <c:v>4.8756279797211942E-2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18-417D-8839-F59111CA5FA3}"/>
            </c:ext>
          </c:extLst>
        </c:ser>
        <c:ser>
          <c:idx val="3"/>
          <c:order val="5"/>
          <c:tx>
            <c:strRef>
              <c:f>'11 ERP Result'!$H$3</c:f>
              <c:strCache>
                <c:ptCount val="1"/>
                <c:pt idx="0">
                  <c:v>Company ERP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114300"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0018-417D-8839-F59111CA5FA3}"/>
              </c:ext>
            </c:extLst>
          </c:dPt>
          <c:dLbls>
            <c:dLbl>
              <c:idx val="0"/>
              <c:layout>
                <c:manualLayout>
                  <c:x val="6.4737548507571554E-4"/>
                  <c:y val="-2.2475518275098961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McKenzie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0649480432327"/>
                      <c:h val="9.61811723451573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0018-417D-8839-F59111CA5F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'11 ERP Result'!$I$3</c:f>
              <c:numCache>
                <c:formatCode>0.00%</c:formatCode>
                <c:ptCount val="1"/>
                <c:pt idx="0">
                  <c:v>8.6999999999999994E-2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18-417D-8839-F59111CA5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-30"/>
        <c:axId val="387372176"/>
        <c:axId val="387371056"/>
      </c:barChart>
      <c:catAx>
        <c:axId val="387372176"/>
        <c:scaling>
          <c:orientation val="minMax"/>
        </c:scaling>
        <c:delete val="1"/>
        <c:axPos val="b"/>
        <c:majorTickMark val="out"/>
        <c:minorTickMark val="none"/>
        <c:tickLblPos val="none"/>
        <c:crossAx val="387371056"/>
        <c:crosses val="autoZero"/>
        <c:auto val="1"/>
        <c:lblAlgn val="ctr"/>
        <c:lblOffset val="100"/>
        <c:noMultiLvlLbl val="0"/>
      </c:catAx>
      <c:valAx>
        <c:axId val="387371056"/>
        <c:scaling>
          <c:orientation val="minMax"/>
          <c:max val="0.13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%" sourceLinked="0"/>
        <c:majorTickMark val="out"/>
        <c:minorTickMark val="none"/>
        <c:tickLblPos val="nextTo"/>
        <c:crossAx val="387372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Awarded Returns on Equity</c:v>
          </c:tx>
          <c:spPr>
            <a:ln w="508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'15 Historic ROE'!$P$7:$P$18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xVal>
          <c:yVal>
            <c:numRef>
              <c:f>'15 Historic ROE'!$Q$7:$Q$18</c:f>
              <c:numCache>
                <c:formatCode>0.00%</c:formatCode>
                <c:ptCount val="12"/>
                <c:pt idx="0">
                  <c:v>0.10522500000000001</c:v>
                </c:pt>
                <c:pt idx="1">
                  <c:v>0.10302500000000001</c:v>
                </c:pt>
                <c:pt idx="2">
                  <c:v>0.102575</c:v>
                </c:pt>
                <c:pt idx="3">
                  <c:v>0.10340000000000001</c:v>
                </c:pt>
                <c:pt idx="4">
                  <c:v>0.10465000000000001</c:v>
                </c:pt>
                <c:pt idx="5">
                  <c:v>0.10285</c:v>
                </c:pt>
                <c:pt idx="6">
                  <c:v>0.10252500000000001</c:v>
                </c:pt>
                <c:pt idx="7">
                  <c:v>0.10147500000000001</c:v>
                </c:pt>
                <c:pt idx="8">
                  <c:v>9.9899999999999989E-2</c:v>
                </c:pt>
                <c:pt idx="9">
                  <c:v>9.9324999999999997E-2</c:v>
                </c:pt>
                <c:pt idx="10">
                  <c:v>9.7800000000000012E-2</c:v>
                </c:pt>
                <c:pt idx="11">
                  <c:v>9.7900000000000001E-2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7F-42DD-84F3-5B49AD350598}"/>
            </c:ext>
          </c:extLst>
        </c:ser>
        <c:ser>
          <c:idx val="1"/>
          <c:order val="1"/>
          <c:tx>
            <c:v>Market Cost of Equity</c:v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'15 Historic ROE'!$I$37:$I$48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xVal>
          <c:yVal>
            <c:numRef>
              <c:f>'15 Historic ROE'!$L$37:$L$48</c:f>
              <c:numCache>
                <c:formatCode>0.00%</c:formatCode>
                <c:ptCount val="12"/>
                <c:pt idx="0">
                  <c:v>8.4699999999999998E-2</c:v>
                </c:pt>
                <c:pt idx="1">
                  <c:v>8.8599999999999998E-2</c:v>
                </c:pt>
                <c:pt idx="2">
                  <c:v>8.3900000000000002E-2</c:v>
                </c:pt>
                <c:pt idx="3">
                  <c:v>8.6400000000000005E-2</c:v>
                </c:pt>
                <c:pt idx="4">
                  <c:v>8.199999999999999E-2</c:v>
                </c:pt>
                <c:pt idx="5">
                  <c:v>8.4900000000000003E-2</c:v>
                </c:pt>
                <c:pt idx="6">
                  <c:v>7.8899999999999998E-2</c:v>
                </c:pt>
                <c:pt idx="7">
                  <c:v>7.5399999999999995E-2</c:v>
                </c:pt>
                <c:pt idx="8">
                  <c:v>0.08</c:v>
                </c:pt>
                <c:pt idx="9">
                  <c:v>7.9500000000000001E-2</c:v>
                </c:pt>
                <c:pt idx="10">
                  <c:v>8.3900000000000002E-2</c:v>
                </c:pt>
                <c:pt idx="11">
                  <c:v>8.14E-2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7F-42DD-84F3-5B49AD350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2337440"/>
        <c:axId val="392338000"/>
      </c:scatterChart>
      <c:valAx>
        <c:axId val="392337440"/>
        <c:scaling>
          <c:orientation val="minMax"/>
          <c:max val="2016"/>
          <c:min val="2005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338000"/>
        <c:crosses val="autoZero"/>
        <c:crossBetween val="midCat"/>
        <c:majorUnit val="2"/>
      </c:valAx>
      <c:valAx>
        <c:axId val="392338000"/>
        <c:scaling>
          <c:orientation val="minMax"/>
          <c:max val="0.11000000000000001"/>
          <c:min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alpha val="14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337440"/>
        <c:crosses val="autoZero"/>
        <c:crossBetween val="midCat"/>
        <c:majorUnit val="1.0000000000000002E-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59233769083493"/>
          <c:y val="3.43784477010044E-2"/>
          <c:w val="0.65471692249448366"/>
          <c:h val="0.80726374600295259"/>
        </c:manualLayout>
      </c:layout>
      <c:barChart>
        <c:barDir val="col"/>
        <c:grouping val="clustered"/>
        <c:varyColors val="0"/>
        <c:ser>
          <c:idx val="0"/>
          <c:order val="0"/>
          <c:tx>
            <c:v>Cost of Debt</c:v>
          </c:tx>
          <c:spPr>
            <a:pattFill prst="ltHorz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cat>
            <c:numRef>
              <c:f>'16 Optimal Cap Structure'!$A$31:$A$34</c:f>
              <c:numCache>
                <c:formatCode>0%</c:formatCode>
                <c:ptCount val="4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</c:numCache>
            </c:numRef>
          </c:cat>
          <c:val>
            <c:numRef>
              <c:f>'16 Optimal Cap Structure'!$S$31:$S$34</c:f>
              <c:numCache>
                <c:formatCode>0.00%</c:formatCode>
                <c:ptCount val="4"/>
                <c:pt idx="0">
                  <c:v>2.639E-2</c:v>
                </c:pt>
                <c:pt idx="1">
                  <c:v>2.639E-2</c:v>
                </c:pt>
                <c:pt idx="2">
                  <c:v>2.8665E-2</c:v>
                </c:pt>
                <c:pt idx="3">
                  <c:v>3.4515000000000004E-2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4-4F5C-861B-26ED6B152F68}"/>
            </c:ext>
          </c:extLst>
        </c:ser>
        <c:ser>
          <c:idx val="1"/>
          <c:order val="1"/>
          <c:tx>
            <c:v>Cost of Equity</c:v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numRef>
              <c:f>'16 Optimal Cap Structure'!$A$31:$A$34</c:f>
              <c:numCache>
                <c:formatCode>0%</c:formatCode>
                <c:ptCount val="4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</c:numCache>
            </c:numRef>
          </c:cat>
          <c:val>
            <c:numRef>
              <c:f>'16 Optimal Cap Structure'!$G$31:$G$34</c:f>
              <c:numCache>
                <c:formatCode>0.00%</c:formatCode>
                <c:ptCount val="4"/>
                <c:pt idx="0">
                  <c:v>6.2893976892074516E-2</c:v>
                </c:pt>
                <c:pt idx="1">
                  <c:v>6.8157562546302827E-2</c:v>
                </c:pt>
                <c:pt idx="2">
                  <c:v>7.6052941027645302E-2</c:v>
                </c:pt>
                <c:pt idx="3">
                  <c:v>8.9211905163216101E-2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64-4F5C-861B-26ED6B152F68}"/>
            </c:ext>
          </c:extLst>
        </c:ser>
        <c:ser>
          <c:idx val="2"/>
          <c:order val="2"/>
          <c:tx>
            <c:v>WACC</c:v>
          </c:tx>
          <c:spPr>
            <a:solidFill>
              <a:schemeClr val="accent3"/>
            </a:solidFill>
          </c:spPr>
          <c:invertIfNegative val="0"/>
          <c:cat>
            <c:numRef>
              <c:f>'16 Optimal Cap Structure'!$A$31:$A$34</c:f>
              <c:numCache>
                <c:formatCode>0%</c:formatCode>
                <c:ptCount val="4"/>
                <c:pt idx="0">
                  <c:v>0.4</c:v>
                </c:pt>
                <c:pt idx="1">
                  <c:v>0.5</c:v>
                </c:pt>
                <c:pt idx="2">
                  <c:v>0.6</c:v>
                </c:pt>
                <c:pt idx="3">
                  <c:v>0.7</c:v>
                </c:pt>
              </c:numCache>
            </c:numRef>
          </c:cat>
          <c:val>
            <c:numRef>
              <c:f>'16 Optimal Cap Structure'!$W$31:$W$34</c:f>
              <c:numCache>
                <c:formatCode>0.00%</c:formatCode>
                <c:ptCount val="4"/>
                <c:pt idx="0">
                  <c:v>6.9956000000000004E-2</c:v>
                </c:pt>
                <c:pt idx="1">
                  <c:v>6.2695000000000001E-2</c:v>
                </c:pt>
                <c:pt idx="2">
                  <c:v>5.6799000000000002E-2</c:v>
                </c:pt>
                <c:pt idx="3">
                  <c:v>5.3860500000000006E-2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4-4F5C-861B-26ED6B152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5"/>
        <c:overlap val="-23"/>
        <c:axId val="392341360"/>
        <c:axId val="392341920"/>
      </c:barChart>
      <c:catAx>
        <c:axId val="39234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Debt Ratio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392341920"/>
        <c:crosses val="autoZero"/>
        <c:auto val="1"/>
        <c:lblAlgn val="ctr"/>
        <c:lblOffset val="100"/>
        <c:tickLblSkip val="1"/>
        <c:noMultiLvlLbl val="0"/>
      </c:catAx>
      <c:valAx>
        <c:axId val="392341920"/>
        <c:scaling>
          <c:orientation val="minMax"/>
          <c:max val="8.0000000000000043E-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Capital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392341360"/>
        <c:crosses val="autoZero"/>
        <c:crossBetween val="between"/>
        <c:majorUnit val="2.0000000000000011E-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62916155857243E-2"/>
          <c:y val="8.269097807105516E-2"/>
          <c:w val="0.89140133345400785"/>
          <c:h val="0.81802185380152015"/>
        </c:manualLayout>
      </c:layout>
      <c:barChart>
        <c:barDir val="col"/>
        <c:grouping val="clustered"/>
        <c:varyColors val="0"/>
        <c:ser>
          <c:idx val="0"/>
          <c:order val="0"/>
          <c:tx>
            <c:v>Utilities</c:v>
          </c:tx>
          <c:spPr>
            <a:solidFill>
              <a:schemeClr val="accent1"/>
            </a:solidFill>
            <a:ln cmpd="sng"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B0-4CF5-A1A1-ECFD0A95E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 Industry Betas'!$B$5</c:f>
              <c:numCache>
                <c:formatCode>0.00</c:formatCode>
                <c:ptCount val="1"/>
                <c:pt idx="0">
                  <c:v>0.59240659340659341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0-4CF5-A1A1-ECFD0A95E958}"/>
            </c:ext>
          </c:extLst>
        </c:ser>
        <c:ser>
          <c:idx val="1"/>
          <c:order val="1"/>
          <c:tx>
            <c:v>Hospitals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B0-4CF5-A1A1-ECFD0A95E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 Industry Betas'!$B$6</c:f>
              <c:numCache>
                <c:formatCode>0.00</c:formatCode>
                <c:ptCount val="1"/>
                <c:pt idx="0">
                  <c:v>0.97275859247135843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B0-4CF5-A1A1-ECFD0A95E958}"/>
            </c:ext>
          </c:extLst>
        </c:ser>
        <c:ser>
          <c:idx val="3"/>
          <c:order val="2"/>
          <c:tx>
            <c:v>Publishing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Betas'!$B$7</c:f>
              <c:numCache>
                <c:formatCode>0.00</c:formatCode>
                <c:ptCount val="1"/>
                <c:pt idx="0">
                  <c:v>1.1471314102564103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B0-4CF5-A1A1-ECFD0A95E958}"/>
            </c:ext>
          </c:extLst>
        </c:ser>
        <c:ser>
          <c:idx val="5"/>
          <c:order val="3"/>
          <c:tx>
            <c:v>Broadcasting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Betas'!$B$8</c:f>
              <c:numCache>
                <c:formatCode>0.00</c:formatCode>
                <c:ptCount val="1"/>
                <c:pt idx="0">
                  <c:v>1.2961563545150503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B0-4CF5-A1A1-ECFD0A95E958}"/>
            </c:ext>
          </c:extLst>
        </c:ser>
        <c:ser>
          <c:idx val="7"/>
          <c:order val="4"/>
          <c:tx>
            <c:v>Construction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Betas'!$B$9</c:f>
              <c:numCache>
                <c:formatCode>0.00</c:formatCode>
                <c:ptCount val="1"/>
                <c:pt idx="0">
                  <c:v>1.6008167189952909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B0-4CF5-A1A1-ECFD0A95E958}"/>
            </c:ext>
          </c:extLst>
        </c:ser>
        <c:ser>
          <c:idx val="8"/>
          <c:order val="5"/>
          <c:tx>
            <c:v>Real Estate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 Industry Betas'!$B$10</c:f>
              <c:numCache>
                <c:formatCode>0.00</c:formatCode>
                <c:ptCount val="1"/>
                <c:pt idx="0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B0-4CF5-A1A1-ECFD0A95E9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51"/>
        <c:axId val="390906992"/>
        <c:axId val="390907552"/>
      </c:barChart>
      <c:catAx>
        <c:axId val="390906992"/>
        <c:scaling>
          <c:orientation val="minMax"/>
        </c:scaling>
        <c:delete val="1"/>
        <c:axPos val="b"/>
        <c:majorTickMark val="none"/>
        <c:minorTickMark val="none"/>
        <c:tickLblPos val="none"/>
        <c:crossAx val="390907552"/>
        <c:crosses val="autoZero"/>
        <c:auto val="1"/>
        <c:lblAlgn val="ctr"/>
        <c:lblOffset val="100"/>
        <c:noMultiLvlLbl val="0"/>
      </c:catAx>
      <c:valAx>
        <c:axId val="39090755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>
                    <a:solidFill>
                      <a:sysClr val="windowText" lastClr="000000"/>
                    </a:solidFill>
                  </a:rPr>
                  <a:t>Beta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90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K = R</a:t>
            </a:r>
            <a:r>
              <a:rPr lang="en-US" sz="1800" i="1" baseline="-25000">
                <a:latin typeface="Cambria Math" panose="02040503050406030204" pitchFamily="18" charset="0"/>
                <a:ea typeface="Cambria Math" panose="02040503050406030204" pitchFamily="18" charset="0"/>
              </a:rPr>
              <a:t>F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 + </a:t>
            </a:r>
            <a:r>
              <a:rPr lang="el-GR" sz="1800" i="1">
                <a:latin typeface="Cambria Math" panose="02040503050406030204" pitchFamily="18" charset="0"/>
                <a:ea typeface="Cambria Math" panose="02040503050406030204" pitchFamily="18" charset="0"/>
              </a:rPr>
              <a:t>β</a:t>
            </a:r>
            <a:r>
              <a:rPr lang="en-US" sz="1800" i="1">
                <a:latin typeface="Cambria Math" panose="02040503050406030204" pitchFamily="18" charset="0"/>
                <a:ea typeface="Cambria Math" panose="02040503050406030204" pitchFamily="18" charset="0"/>
              </a:rPr>
              <a:t>(ERP)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16009885446752"/>
          <c:y val="0.13172682414698161"/>
          <c:w val="0.68290820393946083"/>
          <c:h val="0.71886866141732286"/>
        </c:manualLayout>
      </c:layout>
      <c:scatterChart>
        <c:scatterStyle val="smoothMarker"/>
        <c:varyColors val="0"/>
        <c:ser>
          <c:idx val="0"/>
          <c:order val="0"/>
          <c:tx>
            <c:v>SML</c:v>
          </c:tx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0.70882352941176474</c:v>
                </c:pt>
                <c:pt idx="3">
                  <c:v>1</c:v>
                </c:pt>
              </c:numCache>
            </c:numRef>
          </c:xVal>
          <c:yVal>
            <c:numRef>
              <c:f>'Fig CAPM Graph'!$B$10:$B$14</c:f>
              <c:numCache>
                <c:formatCode>0.0000</c:formatCode>
                <c:ptCount val="5"/>
                <c:pt idx="0">
                  <c:v>2.8073333333333336E-2</c:v>
                </c:pt>
                <c:pt idx="1">
                  <c:v>5.6573333333333337E-2</c:v>
                </c:pt>
                <c:pt idx="2">
                  <c:v>6.8476274509803925E-2</c:v>
                </c:pt>
                <c:pt idx="3">
                  <c:v>8.5073333333333334E-2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77-4368-AAC1-F808B78923B7}"/>
            </c:ext>
          </c:extLst>
        </c:ser>
        <c:ser>
          <c:idx val="1"/>
          <c:order val="1"/>
          <c:spPr>
            <a:ln>
              <a:solidFill>
                <a:srgbClr val="F79646"/>
              </a:solidFill>
            </a:ln>
          </c:spPr>
          <c:marker>
            <c:symbol val="none"/>
          </c:marker>
          <c:xVal>
            <c:numRef>
              <c:f>'Fig CAPM Graph'!$A$10:$A$14</c:f>
              <c:numCache>
                <c:formatCode>0.00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0.70882352941176474</c:v>
                </c:pt>
                <c:pt idx="3">
                  <c:v>1</c:v>
                </c:pt>
              </c:numCache>
            </c:numRef>
          </c:xVal>
          <c:yVal>
            <c:numRef>
              <c:f>'Fig CAPM Graph'!$C$10:$C$12</c:f>
              <c:numCache>
                <c:formatCode>0.0000</c:formatCode>
                <c:ptCount val="3"/>
                <c:pt idx="0">
                  <c:v>6.8476274509803925E-2</c:v>
                </c:pt>
                <c:pt idx="1">
                  <c:v>6.8476274509803925E-2</c:v>
                </c:pt>
                <c:pt idx="2">
                  <c:v>6.8476274509803925E-2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77-4368-AAC1-F808B78923B7}"/>
            </c:ext>
          </c:extLst>
        </c:ser>
        <c:ser>
          <c:idx val="2"/>
          <c:order val="2"/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CAPM Graph'!$D$10:$D$11</c:f>
              <c:numCache>
                <c:formatCode>0.0000</c:formatCode>
                <c:ptCount val="2"/>
                <c:pt idx="0">
                  <c:v>0.70882352941176474</c:v>
                </c:pt>
                <c:pt idx="1">
                  <c:v>0.70882352941176474</c:v>
                </c:pt>
              </c:numCache>
            </c:numRef>
          </c:xVal>
          <c:yVal>
            <c:numRef>
              <c:f>'Fig CAPM Graph'!$E$10:$E$11</c:f>
              <c:numCache>
                <c:formatCode>0.0000</c:formatCode>
                <c:ptCount val="2"/>
                <c:pt idx="0">
                  <c:v>0</c:v>
                </c:pt>
                <c:pt idx="1">
                  <c:v>6.8476274509803925E-2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77-4368-AAC1-F808B789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911472"/>
        <c:axId val="390912032"/>
      </c:scatterChart>
      <c:valAx>
        <c:axId val="390911472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 algn="ctr">
                  <a:defRPr sz="1400"/>
                </a:pPr>
                <a:r>
                  <a:rPr lang="en-US" sz="1400"/>
                  <a:t>Beta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90912032"/>
        <c:crosses val="autoZero"/>
        <c:crossBetween val="midCat"/>
        <c:majorUnit val="0.71000000000000008"/>
      </c:valAx>
      <c:valAx>
        <c:axId val="390912032"/>
        <c:scaling>
          <c:orientation val="minMax"/>
          <c:max val="9.0000000000000024E-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of Equity</a:t>
                </a:r>
              </a:p>
            </c:rich>
          </c:tx>
          <c:layout>
            <c:manualLayout>
              <c:xMode val="edge"/>
              <c:yMode val="edge"/>
              <c:x val="1.2160034951158425E-2"/>
              <c:y val="0.26460181741086047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390911472"/>
        <c:crosses val="autoZero"/>
        <c:crossBetween val="midCat"/>
        <c:majorUnit val="6.8000000000000019E-2"/>
      </c:valAx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3013676320683E-2"/>
          <c:y val="0.12402165506574003"/>
          <c:w val="0.88331094976762614"/>
          <c:h val="0.75842227378190252"/>
        </c:manualLayout>
      </c:layout>
      <c:scatterChart>
        <c:scatterStyle val="smoothMarker"/>
        <c:varyColors val="0"/>
        <c:ser>
          <c:idx val="0"/>
          <c:order val="0"/>
          <c:tx>
            <c:v>Growth Rate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Cycle'!$C$4:$C$119</c:f>
              <c:numCache>
                <c:formatCode>General</c:formatCode>
                <c:ptCount val="1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</c:numCache>
            </c:numRef>
          </c:xVal>
          <c:yVal>
            <c:numRef>
              <c:f>'Fig Bus Cycle'!$D$4:$D$119</c:f>
              <c:numCache>
                <c:formatCode>0</c:formatCode>
                <c:ptCount val="116"/>
                <c:pt idx="0">
                  <c:v>0</c:v>
                </c:pt>
                <c:pt idx="1">
                  <c:v>5.46</c:v>
                </c:pt>
                <c:pt idx="2">
                  <c:v>21.68</c:v>
                </c:pt>
                <c:pt idx="3">
                  <c:v>48.42</c:v>
                </c:pt>
                <c:pt idx="4">
                  <c:v>85.44</c:v>
                </c:pt>
                <c:pt idx="5">
                  <c:v>132.5</c:v>
                </c:pt>
                <c:pt idx="6">
                  <c:v>189.36</c:v>
                </c:pt>
                <c:pt idx="7">
                  <c:v>255.78</c:v>
                </c:pt>
                <c:pt idx="8">
                  <c:v>331.52</c:v>
                </c:pt>
                <c:pt idx="9">
                  <c:v>416.34</c:v>
                </c:pt>
                <c:pt idx="10">
                  <c:v>510</c:v>
                </c:pt>
                <c:pt idx="11">
                  <c:v>612.26</c:v>
                </c:pt>
                <c:pt idx="12">
                  <c:v>722.88</c:v>
                </c:pt>
                <c:pt idx="13">
                  <c:v>841.62</c:v>
                </c:pt>
                <c:pt idx="14">
                  <c:v>968.24</c:v>
                </c:pt>
                <c:pt idx="15">
                  <c:v>1102.5</c:v>
                </c:pt>
                <c:pt idx="16">
                  <c:v>1244.1600000000001</c:v>
                </c:pt>
                <c:pt idx="17">
                  <c:v>1392.98</c:v>
                </c:pt>
                <c:pt idx="18">
                  <c:v>1548.72</c:v>
                </c:pt>
                <c:pt idx="19">
                  <c:v>1711.1399999999999</c:v>
                </c:pt>
                <c:pt idx="20">
                  <c:v>1880</c:v>
                </c:pt>
                <c:pt idx="21">
                  <c:v>2055.06</c:v>
                </c:pt>
                <c:pt idx="22">
                  <c:v>2236.08</c:v>
                </c:pt>
                <c:pt idx="23">
                  <c:v>2422.8200000000002</c:v>
                </c:pt>
                <c:pt idx="24">
                  <c:v>2615.04</c:v>
                </c:pt>
                <c:pt idx="25">
                  <c:v>2812.5</c:v>
                </c:pt>
                <c:pt idx="26">
                  <c:v>3014.96</c:v>
                </c:pt>
                <c:pt idx="27">
                  <c:v>3222.18</c:v>
                </c:pt>
                <c:pt idx="28">
                  <c:v>3433.92</c:v>
                </c:pt>
                <c:pt idx="29">
                  <c:v>3649.94</c:v>
                </c:pt>
                <c:pt idx="30">
                  <c:v>3870</c:v>
                </c:pt>
                <c:pt idx="31">
                  <c:v>4093.8599999999997</c:v>
                </c:pt>
                <c:pt idx="32">
                  <c:v>4321.28</c:v>
                </c:pt>
                <c:pt idx="33">
                  <c:v>4552.0200000000004</c:v>
                </c:pt>
                <c:pt idx="34">
                  <c:v>4785.84</c:v>
                </c:pt>
                <c:pt idx="35">
                  <c:v>5022.5</c:v>
                </c:pt>
                <c:pt idx="36">
                  <c:v>5261.76</c:v>
                </c:pt>
                <c:pt idx="37">
                  <c:v>5503.38</c:v>
                </c:pt>
                <c:pt idx="38">
                  <c:v>5747.12</c:v>
                </c:pt>
                <c:pt idx="39">
                  <c:v>5992.74</c:v>
                </c:pt>
                <c:pt idx="40">
                  <c:v>6240</c:v>
                </c:pt>
                <c:pt idx="41">
                  <c:v>6488.66</c:v>
                </c:pt>
                <c:pt idx="42">
                  <c:v>6738.48</c:v>
                </c:pt>
                <c:pt idx="43">
                  <c:v>6989.2199999999993</c:v>
                </c:pt>
                <c:pt idx="44">
                  <c:v>7240.6399999999994</c:v>
                </c:pt>
                <c:pt idx="45">
                  <c:v>7492.5</c:v>
                </c:pt>
                <c:pt idx="46">
                  <c:v>7744.5599999999995</c:v>
                </c:pt>
                <c:pt idx="47">
                  <c:v>7996.58</c:v>
                </c:pt>
                <c:pt idx="48">
                  <c:v>8248.32</c:v>
                </c:pt>
                <c:pt idx="49">
                  <c:v>8499.5400000000009</c:v>
                </c:pt>
                <c:pt idx="50">
                  <c:v>8750</c:v>
                </c:pt>
                <c:pt idx="51">
                  <c:v>8999.4599999999991</c:v>
                </c:pt>
                <c:pt idx="52">
                  <c:v>9247.68</c:v>
                </c:pt>
                <c:pt idx="53">
                  <c:v>9494.42</c:v>
                </c:pt>
                <c:pt idx="54">
                  <c:v>9739.4399999999987</c:v>
                </c:pt>
                <c:pt idx="55">
                  <c:v>9982.5</c:v>
                </c:pt>
                <c:pt idx="56">
                  <c:v>10223.36</c:v>
                </c:pt>
                <c:pt idx="57">
                  <c:v>10461.779999999999</c:v>
                </c:pt>
                <c:pt idx="58">
                  <c:v>10697.52</c:v>
                </c:pt>
                <c:pt idx="59">
                  <c:v>10930.34</c:v>
                </c:pt>
                <c:pt idx="60">
                  <c:v>11160</c:v>
                </c:pt>
                <c:pt idx="61">
                  <c:v>11386.26</c:v>
                </c:pt>
                <c:pt idx="62">
                  <c:v>11608.88</c:v>
                </c:pt>
                <c:pt idx="63">
                  <c:v>11827.619999999999</c:v>
                </c:pt>
                <c:pt idx="64">
                  <c:v>12042.24</c:v>
                </c:pt>
                <c:pt idx="65">
                  <c:v>12252.5</c:v>
                </c:pt>
                <c:pt idx="66">
                  <c:v>12458.16</c:v>
                </c:pt>
                <c:pt idx="67">
                  <c:v>12658.98</c:v>
                </c:pt>
                <c:pt idx="68">
                  <c:v>12854.72</c:v>
                </c:pt>
                <c:pt idx="69">
                  <c:v>13045.14</c:v>
                </c:pt>
                <c:pt idx="70">
                  <c:v>13230</c:v>
                </c:pt>
                <c:pt idx="71">
                  <c:v>13409.06</c:v>
                </c:pt>
                <c:pt idx="72">
                  <c:v>13582.08</c:v>
                </c:pt>
                <c:pt idx="73">
                  <c:v>13748.82</c:v>
                </c:pt>
                <c:pt idx="74">
                  <c:v>13909.039999999999</c:v>
                </c:pt>
                <c:pt idx="75">
                  <c:v>14062.5</c:v>
                </c:pt>
                <c:pt idx="76">
                  <c:v>14208.96</c:v>
                </c:pt>
                <c:pt idx="77">
                  <c:v>14348.18</c:v>
                </c:pt>
                <c:pt idx="78">
                  <c:v>14479.919999999998</c:v>
                </c:pt>
                <c:pt idx="79">
                  <c:v>14603.939999999999</c:v>
                </c:pt>
                <c:pt idx="80">
                  <c:v>14720</c:v>
                </c:pt>
                <c:pt idx="81">
                  <c:v>14827.86</c:v>
                </c:pt>
                <c:pt idx="82">
                  <c:v>14927.279999999999</c:v>
                </c:pt>
                <c:pt idx="83">
                  <c:v>15018.02</c:v>
                </c:pt>
                <c:pt idx="84">
                  <c:v>15099.84</c:v>
                </c:pt>
                <c:pt idx="85">
                  <c:v>15172.5</c:v>
                </c:pt>
                <c:pt idx="86">
                  <c:v>15235.759999999998</c:v>
                </c:pt>
                <c:pt idx="87">
                  <c:v>15289.380000000001</c:v>
                </c:pt>
                <c:pt idx="88">
                  <c:v>15333.119999999999</c:v>
                </c:pt>
                <c:pt idx="89">
                  <c:v>15366.739999999998</c:v>
                </c:pt>
                <c:pt idx="90">
                  <c:v>15390</c:v>
                </c:pt>
                <c:pt idx="91">
                  <c:v>15402.66</c:v>
                </c:pt>
                <c:pt idx="92">
                  <c:v>15404.48</c:v>
                </c:pt>
                <c:pt idx="93">
                  <c:v>15395.219999999998</c:v>
                </c:pt>
                <c:pt idx="94">
                  <c:v>15374.64</c:v>
                </c:pt>
                <c:pt idx="95">
                  <c:v>15342.5</c:v>
                </c:pt>
                <c:pt idx="96">
                  <c:v>15298.559999999998</c:v>
                </c:pt>
                <c:pt idx="97">
                  <c:v>15242.580000000002</c:v>
                </c:pt>
                <c:pt idx="98">
                  <c:v>15174.32</c:v>
                </c:pt>
                <c:pt idx="99">
                  <c:v>15093.54</c:v>
                </c:pt>
                <c:pt idx="100">
                  <c:v>15000</c:v>
                </c:pt>
                <c:pt idx="101">
                  <c:v>14893.46</c:v>
                </c:pt>
                <c:pt idx="102">
                  <c:v>14773.68</c:v>
                </c:pt>
                <c:pt idx="103">
                  <c:v>14640.419999999998</c:v>
                </c:pt>
                <c:pt idx="104">
                  <c:v>14493.440000000002</c:v>
                </c:pt>
                <c:pt idx="105">
                  <c:v>14332.5</c:v>
                </c:pt>
                <c:pt idx="106">
                  <c:v>14157.36</c:v>
                </c:pt>
                <c:pt idx="107">
                  <c:v>13967.779999999999</c:v>
                </c:pt>
                <c:pt idx="108">
                  <c:v>13763.519999999997</c:v>
                </c:pt>
                <c:pt idx="109">
                  <c:v>13544.339999999997</c:v>
                </c:pt>
                <c:pt idx="110">
                  <c:v>13310</c:v>
                </c:pt>
                <c:pt idx="111">
                  <c:v>13060.260000000002</c:v>
                </c:pt>
                <c:pt idx="112">
                  <c:v>12794.879999999997</c:v>
                </c:pt>
                <c:pt idx="113">
                  <c:v>12513.619999999995</c:v>
                </c:pt>
                <c:pt idx="114">
                  <c:v>12216.239999999998</c:v>
                </c:pt>
                <c:pt idx="115">
                  <c:v>11902.5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60-4664-A374-A27E4BEE566D}"/>
            </c:ext>
          </c:extLst>
        </c:ser>
        <c:ser>
          <c:idx val="1"/>
          <c:order val="1"/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Cycle'!$F$4:$F$5</c:f>
              <c:numCache>
                <c:formatCode>General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xVal>
          <c:yVal>
            <c:numRef>
              <c:f>'Fig Bus Cycle'!$G$4:$G$5</c:f>
              <c:numCache>
                <c:formatCode>General</c:formatCode>
                <c:ptCount val="2"/>
                <c:pt idx="0">
                  <c:v>0</c:v>
                </c:pt>
                <c:pt idx="1">
                  <c:v>1880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60-4664-A374-A27E4BEE566D}"/>
            </c:ext>
          </c:extLst>
        </c:ser>
        <c:ser>
          <c:idx val="2"/>
          <c:order val="2"/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Cycle'!$I$4:$I$5</c:f>
              <c:numCache>
                <c:formatCode>General</c:formatCode>
                <c:ptCount val="2"/>
                <c:pt idx="0">
                  <c:v>60</c:v>
                </c:pt>
                <c:pt idx="1">
                  <c:v>60</c:v>
                </c:pt>
              </c:numCache>
            </c:numRef>
          </c:xVal>
          <c:yVal>
            <c:numRef>
              <c:f>'Fig Bus Cycle'!$J$4:$J$5</c:f>
              <c:numCache>
                <c:formatCode>General</c:formatCode>
                <c:ptCount val="2"/>
                <c:pt idx="0">
                  <c:v>0</c:v>
                </c:pt>
                <c:pt idx="1">
                  <c:v>11160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60-4664-A374-A27E4BEE566D}"/>
            </c:ext>
          </c:extLst>
        </c:ser>
        <c:ser>
          <c:idx val="3"/>
          <c:order val="3"/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'Fig Bus Cycle'!$L$4:$L$5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xVal>
          <c:yVal>
            <c:numRef>
              <c:f>'Fig Bus Cycle'!$M$4:$M$5</c:f>
              <c:numCache>
                <c:formatCode>0</c:formatCode>
                <c:ptCount val="2"/>
                <c:pt idx="0" formatCode="General">
                  <c:v>0</c:v>
                </c:pt>
                <c:pt idx="1">
                  <c:v>15000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60-4664-A374-A27E4BEE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25840"/>
        <c:axId val="393156048"/>
      </c:scatterChart>
      <c:valAx>
        <c:axId val="391025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93156048"/>
        <c:crosses val="autoZero"/>
        <c:crossBetween val="midCat"/>
      </c:valAx>
      <c:valAx>
        <c:axId val="3931560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one"/>
        <c:crossAx val="39102584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WACC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Opt. WACC'!$D$5:$D$25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Opt. WACC'!$E$5:$E$25</c:f>
              <c:numCache>
                <c:formatCode>General</c:formatCode>
                <c:ptCount val="21"/>
                <c:pt idx="0">
                  <c:v>15</c:v>
                </c:pt>
                <c:pt idx="1">
                  <c:v>12</c:v>
                </c:pt>
                <c:pt idx="2">
                  <c:v>9.3999999999999986</c:v>
                </c:pt>
                <c:pt idx="3">
                  <c:v>7.1999999999999984</c:v>
                </c:pt>
                <c:pt idx="4">
                  <c:v>5.3999999999999986</c:v>
                </c:pt>
                <c:pt idx="5">
                  <c:v>4</c:v>
                </c:pt>
                <c:pt idx="6">
                  <c:v>2.9999999999999964</c:v>
                </c:pt>
                <c:pt idx="7">
                  <c:v>2.3999999999999986</c:v>
                </c:pt>
                <c:pt idx="8">
                  <c:v>2.1999999999999993</c:v>
                </c:pt>
                <c:pt idx="9">
                  <c:v>2.3999999999999986</c:v>
                </c:pt>
                <c:pt idx="10">
                  <c:v>3</c:v>
                </c:pt>
                <c:pt idx="11">
                  <c:v>4</c:v>
                </c:pt>
                <c:pt idx="12">
                  <c:v>5.399999999999995</c:v>
                </c:pt>
                <c:pt idx="13">
                  <c:v>7.2000000000000028</c:v>
                </c:pt>
                <c:pt idx="14">
                  <c:v>9.3999999999999986</c:v>
                </c:pt>
                <c:pt idx="15">
                  <c:v>12</c:v>
                </c:pt>
                <c:pt idx="16">
                  <c:v>15</c:v>
                </c:pt>
                <c:pt idx="17">
                  <c:v>18.399999999999999</c:v>
                </c:pt>
                <c:pt idx="18">
                  <c:v>22.199999999999996</c:v>
                </c:pt>
                <c:pt idx="19">
                  <c:v>26.4</c:v>
                </c:pt>
                <c:pt idx="20">
                  <c:v>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4D-47F9-A4E8-BC79F4BFC424}"/>
            </c:ext>
          </c:extLst>
        </c:ser>
        <c:ser>
          <c:idx val="1"/>
          <c:order val="1"/>
          <c:tx>
            <c:v>WACC*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12"/>
            <c:spPr>
              <a:noFill/>
              <a:ln w="19050" cap="flat">
                <a:solidFill>
                  <a:schemeClr val="accent2"/>
                </a:solidFill>
              </a:ln>
              <a:effectLst/>
            </c:spPr>
          </c:marker>
          <c:xVal>
            <c:numRef>
              <c:f>'Fig Opt. WACC'!$D$13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'Fig Opt. WACC'!$E$13</c:f>
              <c:numCache>
                <c:formatCode>General</c:formatCode>
                <c:ptCount val="1"/>
                <c:pt idx="0">
                  <c:v>2.1999999999999993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E4D-47F9-A4E8-BC79F4BFC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159408"/>
        <c:axId val="393159968"/>
      </c:scatterChart>
      <c:valAx>
        <c:axId val="393159408"/>
        <c:scaling>
          <c:orientation val="minMax"/>
          <c:max val="1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Debt   Ratio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;;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59968"/>
        <c:crosses val="autoZero"/>
        <c:crossBetween val="midCat"/>
        <c:majorUnit val="4"/>
      </c:valAx>
      <c:valAx>
        <c:axId val="393159968"/>
        <c:scaling>
          <c:orientation val="minMax"/>
          <c:max val="16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WACC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;;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59408"/>
        <c:crosses val="autoZero"/>
        <c:crossBetween val="midCat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Value Max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'Fig Opt. WACC'!$D$5:$D$25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Opt. WACC'!$F$5:$F$25</c:f>
              <c:numCache>
                <c:formatCode>General</c:formatCode>
                <c:ptCount val="21"/>
                <c:pt idx="0">
                  <c:v>2.2000000000000002</c:v>
                </c:pt>
                <c:pt idx="1">
                  <c:v>5.2</c:v>
                </c:pt>
                <c:pt idx="2">
                  <c:v>7.8000000000000007</c:v>
                </c:pt>
                <c:pt idx="3">
                  <c:v>10.000000000000002</c:v>
                </c:pt>
                <c:pt idx="4">
                  <c:v>11.8</c:v>
                </c:pt>
                <c:pt idx="5">
                  <c:v>13.2</c:v>
                </c:pt>
                <c:pt idx="6">
                  <c:v>14.200000000000003</c:v>
                </c:pt>
                <c:pt idx="7">
                  <c:v>14.8</c:v>
                </c:pt>
                <c:pt idx="8">
                  <c:v>15</c:v>
                </c:pt>
                <c:pt idx="9">
                  <c:v>14.8</c:v>
                </c:pt>
                <c:pt idx="10">
                  <c:v>14.2</c:v>
                </c:pt>
                <c:pt idx="11">
                  <c:v>13.2</c:v>
                </c:pt>
                <c:pt idx="12">
                  <c:v>11.800000000000004</c:v>
                </c:pt>
                <c:pt idx="13">
                  <c:v>9.9999999999999964</c:v>
                </c:pt>
                <c:pt idx="14">
                  <c:v>7.8000000000000016</c:v>
                </c:pt>
                <c:pt idx="15">
                  <c:v>5.2</c:v>
                </c:pt>
                <c:pt idx="16">
                  <c:v>2.2000000000000002</c:v>
                </c:pt>
                <c:pt idx="17">
                  <c:v>-1.1999999999999984</c:v>
                </c:pt>
                <c:pt idx="18">
                  <c:v>-4.9999999999999956</c:v>
                </c:pt>
                <c:pt idx="19">
                  <c:v>-9.1999999999999993</c:v>
                </c:pt>
                <c:pt idx="20">
                  <c:v>-13.8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53-4443-937D-CC16DE5E661A}"/>
            </c:ext>
          </c:extLst>
        </c:ser>
        <c:ser>
          <c:idx val="1"/>
          <c:order val="1"/>
          <c:tx>
            <c:v>WACC*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star"/>
            <c:size val="12"/>
            <c:spPr>
              <a:noFill/>
              <a:ln w="19050">
                <a:solidFill>
                  <a:schemeClr val="accent2"/>
                </a:solidFill>
              </a:ln>
              <a:effectLst/>
            </c:spPr>
          </c:marker>
          <c:xVal>
            <c:numRef>
              <c:f>'Fig Opt. WACC'!$D$13</c:f>
              <c:numCache>
                <c:formatCode>General</c:formatCode>
                <c:ptCount val="1"/>
                <c:pt idx="0">
                  <c:v>8</c:v>
                </c:pt>
              </c:numCache>
            </c:numRef>
          </c:xVal>
          <c:yVal>
            <c:numRef>
              <c:f>'Fig Opt. WACC'!$F$13</c:f>
              <c:numCache>
                <c:formatCode>General</c:formatCode>
                <c:ptCount val="1"/>
                <c:pt idx="0">
                  <c:v>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53-4443-937D-CC16DE5E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162768"/>
        <c:axId val="393163328"/>
      </c:scatterChart>
      <c:valAx>
        <c:axId val="393162768"/>
        <c:scaling>
          <c:orientation val="minMax"/>
          <c:max val="16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Debt  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;;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63328"/>
        <c:crosses val="autoZero"/>
        <c:crossBetween val="midCat"/>
        <c:majorUnit val="4"/>
      </c:valAx>
      <c:valAx>
        <c:axId val="393163328"/>
        <c:scaling>
          <c:orientation val="minMax"/>
          <c:max val="1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ysClr val="windowText" lastClr="000000"/>
                    </a:solidFill>
                  </a:rPr>
                  <a:t>Firm 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;;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62768"/>
        <c:crosses val="autoZero"/>
        <c:crossBetween val="midCat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2198118334001E-2"/>
          <c:y val="3.2796660703637445E-2"/>
          <c:w val="0.68483426209071663"/>
          <c:h val="0.84117179202867898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'Fig Diversify'!$A$2:$A$21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'Fig Diversify'!$B$2:$B$21</c:f>
              <c:numCache>
                <c:formatCode>General</c:formatCode>
                <c:ptCount val="20"/>
                <c:pt idx="0">
                  <c:v>100</c:v>
                </c:pt>
                <c:pt idx="1">
                  <c:v>75</c:v>
                </c:pt>
                <c:pt idx="2">
                  <c:v>55</c:v>
                </c:pt>
                <c:pt idx="3">
                  <c:v>37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8.25</c:v>
                </c:pt>
                <c:pt idx="8">
                  <c:v>5.5</c:v>
                </c:pt>
                <c:pt idx="9">
                  <c:v>4</c:v>
                </c:pt>
                <c:pt idx="10">
                  <c:v>3.2</c:v>
                </c:pt>
                <c:pt idx="11">
                  <c:v>2.7</c:v>
                </c:pt>
                <c:pt idx="12">
                  <c:v>2.2999999999999998</c:v>
                </c:pt>
                <c:pt idx="13">
                  <c:v>1.9</c:v>
                </c:pt>
                <c:pt idx="14">
                  <c:v>1.7</c:v>
                </c:pt>
                <c:pt idx="15">
                  <c:v>1.5</c:v>
                </c:pt>
                <c:pt idx="16">
                  <c:v>1.3</c:v>
                </c:pt>
                <c:pt idx="17">
                  <c:v>1.2</c:v>
                </c:pt>
                <c:pt idx="18">
                  <c:v>1.1000000000000001</c:v>
                </c:pt>
                <c:pt idx="1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8-45C9-92C8-863BFB83A8E7}"/>
            </c:ext>
          </c:extLst>
        </c:ser>
        <c:ser>
          <c:idx val="1"/>
          <c:order val="1"/>
          <c:tx>
            <c:v>Top Line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Diversify'!$D$2:$D$22</c:f>
              <c:numCache>
                <c:formatCode>General</c:formatCode>
                <c:ptCount val="2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8-45C9-92C8-863BFB83A8E7}"/>
            </c:ext>
          </c:extLst>
        </c:ser>
        <c:ser>
          <c:idx val="2"/>
          <c:order val="2"/>
          <c:tx>
            <c:v>Middle Line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Diversify'!$E$2:$E$22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8-45C9-92C8-863BFB83A8E7}"/>
            </c:ext>
          </c:extLst>
        </c:ser>
        <c:ser>
          <c:idx val="3"/>
          <c:order val="3"/>
          <c:tx>
            <c:v>Bottom Line</c:v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'Fig Diversify'!$C$2:$C$22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'Fig Diversify'!$F$2:$F$22</c:f>
              <c:numCache>
                <c:formatCode>General</c:formatCode>
                <c:ptCount val="21"/>
                <c:pt idx="0">
                  <c:v>-40</c:v>
                </c:pt>
                <c:pt idx="1">
                  <c:v>-40</c:v>
                </c:pt>
                <c:pt idx="2">
                  <c:v>-40</c:v>
                </c:pt>
                <c:pt idx="3">
                  <c:v>-40</c:v>
                </c:pt>
                <c:pt idx="4">
                  <c:v>-40</c:v>
                </c:pt>
                <c:pt idx="5">
                  <c:v>-40</c:v>
                </c:pt>
                <c:pt idx="6">
                  <c:v>-40</c:v>
                </c:pt>
                <c:pt idx="7">
                  <c:v>-40</c:v>
                </c:pt>
                <c:pt idx="8">
                  <c:v>-40</c:v>
                </c:pt>
                <c:pt idx="9">
                  <c:v>-40</c:v>
                </c:pt>
                <c:pt idx="10">
                  <c:v>-40</c:v>
                </c:pt>
                <c:pt idx="11">
                  <c:v>-40</c:v>
                </c:pt>
                <c:pt idx="12">
                  <c:v>-40</c:v>
                </c:pt>
                <c:pt idx="13">
                  <c:v>-40</c:v>
                </c:pt>
                <c:pt idx="14">
                  <c:v>-40</c:v>
                </c:pt>
                <c:pt idx="15">
                  <c:v>-40</c:v>
                </c:pt>
                <c:pt idx="16">
                  <c:v>-40</c:v>
                </c:pt>
                <c:pt idx="17">
                  <c:v>-40</c:v>
                </c:pt>
                <c:pt idx="18">
                  <c:v>-40</c:v>
                </c:pt>
                <c:pt idx="19">
                  <c:v>-40</c:v>
                </c:pt>
                <c:pt idx="20">
                  <c:v>-40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B8-45C9-92C8-863BFB83A8E7}"/>
            </c:ext>
          </c:extLst>
        </c:ser>
        <c:ser>
          <c:idx val="4"/>
          <c:order val="4"/>
          <c:tx>
            <c:v>Top Arrow</c:v>
          </c:tx>
          <c:spPr>
            <a:ln>
              <a:headEnd type="triangle" w="lg" len="lg"/>
              <a:tailEnd type="triangle" w="lg" len="lg"/>
            </a:ln>
          </c:spPr>
          <c:marker>
            <c:symbol val="none"/>
          </c:marker>
          <c:dPt>
            <c:idx val="1"/>
            <c:bubble3D val="0"/>
            <c:spPr>
              <a:ln>
                <a:solidFill>
                  <a:schemeClr val="accent5"/>
                </a:solidFill>
                <a:headEnd type="triangle" w="lg" len="lg"/>
                <a:tailEnd type="triangle" w="lg" len="lg"/>
              </a:ln>
            </c:spPr>
            <c:extLst>
              <c:ext xmlns:c16="http://schemas.microsoft.com/office/drawing/2014/chart" uri="{C3380CC4-5D6E-409C-BE32-E72D297353CC}">
                <c16:uniqueId val="{00000005-52B8-45C9-92C8-863BFB83A8E7}"/>
              </c:ext>
            </c:extLst>
          </c:dPt>
          <c:xVal>
            <c:numRef>
              <c:f>'Fig Diversify'!$G$2:$G$3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Diversify'!$H$2:$H$3</c:f>
              <c:numCache>
                <c:formatCode>General</c:formatCode>
                <c:ptCount val="2"/>
                <c:pt idx="0">
                  <c:v>10</c:v>
                </c:pt>
                <c:pt idx="1">
                  <c:v>90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B8-45C9-92C8-863BFB83A8E7}"/>
            </c:ext>
          </c:extLst>
        </c:ser>
        <c:ser>
          <c:idx val="5"/>
          <c:order val="5"/>
          <c:tx>
            <c:v>Bottom Arrow</c:v>
          </c:tx>
          <c:spPr>
            <a:ln>
              <a:solidFill>
                <a:schemeClr val="accent3"/>
              </a:solidFill>
              <a:headEnd type="triangle" w="lg" len="lg"/>
              <a:tailEnd type="triangle" w="lg" len="lg"/>
            </a:ln>
          </c:spPr>
          <c:marker>
            <c:symbol val="none"/>
          </c:marker>
          <c:xVal>
            <c:numRef>
              <c:f>'Fig Diversify'!$I$2:$I$3</c:f>
              <c:numCache>
                <c:formatCode>General</c:formatCode>
                <c:ptCount val="2"/>
                <c:pt idx="0">
                  <c:v>22</c:v>
                </c:pt>
                <c:pt idx="1">
                  <c:v>22</c:v>
                </c:pt>
              </c:numCache>
            </c:numRef>
          </c:xVal>
          <c:yVal>
            <c:numRef>
              <c:f>'Fig Diversify'!$J$2:$J$3</c:f>
              <c:numCache>
                <c:formatCode>General</c:formatCode>
                <c:ptCount val="2"/>
                <c:pt idx="0">
                  <c:v>-5</c:v>
                </c:pt>
                <c:pt idx="1">
                  <c:v>-35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B8-45C9-92C8-863BFB83A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312400"/>
        <c:axId val="390312960"/>
      </c:scatterChart>
      <c:valAx>
        <c:axId val="390312400"/>
        <c:scaling>
          <c:orientation val="minMax"/>
          <c:max val="25"/>
          <c:min val="0"/>
        </c:scaling>
        <c:delete val="1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Number of </a:t>
                </a:r>
                <a:r>
                  <a:rPr lang="en-US" sz="1200" baseline="0"/>
                  <a:t> Securities in Portfolio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17769348520203748"/>
              <c:y val="0.9179703472894819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390312960"/>
        <c:crosses val="autoZero"/>
        <c:crossBetween val="midCat"/>
        <c:majorUnit val="10"/>
      </c:valAx>
      <c:valAx>
        <c:axId val="390312960"/>
        <c:scaling>
          <c:orientation val="minMax"/>
          <c:max val="100"/>
          <c:min val="-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Portfolio  Variance</a:t>
                </a:r>
              </a:p>
            </c:rich>
          </c:tx>
          <c:layout>
            <c:manualLayout>
              <c:xMode val="edge"/>
              <c:yMode val="edge"/>
              <c:x val="3.050108932461874E-2"/>
              <c:y val="0.32305203799436139"/>
            </c:manualLayout>
          </c:layout>
          <c:overlay val="0"/>
        </c:title>
        <c:numFmt formatCode=";;;" sourceLinked="0"/>
        <c:majorTickMark val="out"/>
        <c:minorTickMark val="none"/>
        <c:tickLblPos val="nextTo"/>
        <c:spPr>
          <a:ln>
            <a:solidFill>
              <a:prstClr val="black"/>
            </a:solidFill>
          </a:ln>
        </c:spPr>
        <c:crossAx val="390312400"/>
        <c:crosses val="autoZero"/>
        <c:crossBetween val="midCat"/>
        <c:majorUnit val="5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541865</xdr:colOff>
      <xdr:row>5</xdr:row>
      <xdr:rowOff>137583</xdr:rowOff>
    </xdr:from>
    <xdr:to>
      <xdr:col>23</xdr:col>
      <xdr:colOff>239183</xdr:colOff>
      <xdr:row>23</xdr:row>
      <xdr:rowOff>16932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B98E16-67EE-4AE6-BD93-2F223D0E3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0.53046</cdr:x>
      <cdr:y>0.52161</cdr:y>
    </cdr:from>
    <cdr:to>
      <cdr:x>0.65177</cdr:x>
      <cdr:y>0.60353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1272523-ADD0-4887-92EA-1A5294C6192B}"/>
            </a:ext>
          </a:extLst>
        </cdr:cNvPr>
        <cdr:cNvSpPr txBox="1"/>
      </cdr:nvSpPr>
      <cdr:spPr>
        <a:xfrm xmlns:a="http://schemas.openxmlformats.org/drawingml/2006/main">
          <a:off x="4072444" y="1720140"/>
          <a:ext cx="931315" cy="27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Duff &amp; Phelps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392642</xdr:colOff>
      <xdr:row>5</xdr:row>
      <xdr:rowOff>76412</xdr:rowOff>
    </xdr:from>
    <xdr:to>
      <xdr:col>29</xdr:col>
      <xdr:colOff>164042</xdr:colOff>
      <xdr:row>35</xdr:row>
      <xdr:rowOff>30692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0.35721</cdr:x>
      <cdr:y>0.73697</cdr:y>
    </cdr:from>
    <cdr:to>
      <cdr:x>0.48532</cdr:x>
      <cdr:y>0.89826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37710A97-EF9B-432A-BAF7-7C16A7C25830}"/>
            </a:ext>
          </a:extLst>
        </cdr:cNvPr>
        <cdr:cNvSpPr txBox="1"/>
      </cdr:nvSpPr>
      <cdr:spPr>
        <a:xfrm xmlns:a="http://schemas.openxmlformats.org/drawingml/2006/main">
          <a:off x="2549525" y="41780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1558</xdr:colOff>
      <xdr:row>4</xdr:row>
      <xdr:rowOff>153785</xdr:rowOff>
    </xdr:from>
    <xdr:to>
      <xdr:col>32</xdr:col>
      <xdr:colOff>586393</xdr:colOff>
      <xdr:row>26</xdr:row>
      <xdr:rowOff>54725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28E0C0-DDEF-4C30-A76B-DBF10C2FF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0.72492</cdr:x>
      <cdr:y>0.25507</cdr:y>
    </cdr:from>
    <cdr:to>
      <cdr:x>0.7473</cdr:x>
      <cdr:y>0.28602</cdr:y>
    </cdr:to>
    <cdr:sp macro="" textlink="">
      <cdr:nvSpPr>
        <cdr:cNvPr id="2" name="4-Point Star 1"/>
        <cdr:cNvSpPr/>
      </cdr:nvSpPr>
      <cdr:spPr>
        <a:xfrm xmlns:a="http://schemas.openxmlformats.org/drawingml/2006/main">
          <a:off x="3848778" y="1046162"/>
          <a:ext cx="118821" cy="126941"/>
        </a:xfrm>
        <a:prstGeom xmlns:a="http://schemas.openxmlformats.org/drawingml/2006/main" prst="star4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0.66287</cdr:x>
      <cdr:y>0.85317</cdr:y>
    </cdr:from>
    <cdr:to>
      <cdr:x>0.7384</cdr:x>
      <cdr:y>0.90346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19318" y="3499247"/>
          <a:ext cx="401006" cy="206263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409574</xdr:colOff>
      <xdr:row>4</xdr:row>
      <xdr:rowOff>200023</xdr:rowOff>
    </xdr:from>
    <xdr:to>
      <xdr:col>22</xdr:col>
      <xdr:colOff>9525</xdr:colOff>
      <xdr:row>33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2FB9F3-C38B-45D3-96E2-ACDEBE8E23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0.31791</cdr:x>
      <cdr:y>0.9024</cdr:y>
    </cdr:from>
    <cdr:to>
      <cdr:x>0.7185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76576" y="5019676"/>
          <a:ext cx="387667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0.30315</cdr:x>
      <cdr:y>0.95034</cdr:y>
    </cdr:from>
    <cdr:to>
      <cdr:x>0.76476</cdr:x>
      <cdr:y>0.95205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5258FD8-03D8-4CDA-8BB0-C637EB0B3502}"/>
            </a:ext>
          </a:extLst>
        </cdr:cNvPr>
        <cdr:cNvCxnSpPr/>
      </cdr:nvCxnSpPr>
      <cdr:spPr>
        <a:xfrm xmlns:a="http://schemas.openxmlformats.org/drawingml/2006/main">
          <a:off x="2933702" y="5286378"/>
          <a:ext cx="4467225" cy="9524"/>
        </a:xfrm>
        <a:prstGeom xmlns:a="http://schemas.openxmlformats.org/drawingml/2006/main" prst="straightConnector1">
          <a:avLst/>
        </a:prstGeom>
        <a:ln xmlns:a="http://schemas.openxmlformats.org/drawingml/2006/main" w="762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0.72539</cdr:x>
      <cdr:y>0.92466</cdr:y>
    </cdr:from>
    <cdr:to>
      <cdr:x>0.81988</cdr:x>
      <cdr:y>0.97603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019927" y="5143502"/>
          <a:ext cx="9144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0.82972</cdr:x>
      <cdr:y>0.92123</cdr:y>
    </cdr:from>
    <cdr:to>
      <cdr:x>0.92421</cdr:x>
      <cdr:y>0.97774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029577" y="5124452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High Risk</a:t>
          </a:r>
        </a:p>
      </cdr:txBody>
    </cdr:sp>
  </cdr:relSizeAnchor>
  <cdr:relSizeAnchor xmlns:cdr="http://schemas.openxmlformats.org/drawingml/2006/chartDrawing">
    <cdr:from>
      <cdr:x>0.13484</cdr:x>
      <cdr:y>0.91952</cdr:y>
    </cdr:from>
    <cdr:to>
      <cdr:x>0.22933</cdr:x>
      <cdr:y>0.97774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04927" y="5114926"/>
          <a:ext cx="914400" cy="323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Low Risk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358140</xdr:colOff>
      <xdr:row>5</xdr:row>
      <xdr:rowOff>89535</xdr:rowOff>
    </xdr:from>
    <xdr:to>
      <xdr:col>16</xdr:col>
      <xdr:colOff>259080</xdr:colOff>
      <xdr:row>25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1ADFD-8B37-40BC-A284-4D9524DEE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0.06593</cdr:x>
      <cdr:y>0.59553</cdr:y>
    </cdr:from>
    <cdr:to>
      <cdr:x>0.14887</cdr:x>
      <cdr:y>0.67233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5398" y="2309829"/>
          <a:ext cx="497386" cy="297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2.81%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11</xdr:row>
      <xdr:rowOff>3810</xdr:rowOff>
    </xdr:from>
    <xdr:to>
      <xdr:col>21</xdr:col>
      <xdr:colOff>421005</xdr:colOff>
      <xdr:row>36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DB52-5C0D-4A25-92E1-B1A35EF03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0.15007</cdr:x>
      <cdr:y>0.77726</cdr:y>
    </cdr:from>
    <cdr:to>
      <cdr:x>0.2886</cdr:x>
      <cdr:y>0.96056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0600" y="3190875"/>
          <a:ext cx="914400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0.08081</cdr:x>
      <cdr:y>0.89095</cdr:y>
    </cdr:from>
    <cdr:to>
      <cdr:x>0.19163</cdr:x>
      <cdr:y>0.95777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3400" y="3657599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Start-up</a:t>
          </a:r>
        </a:p>
      </cdr:txBody>
    </cdr:sp>
  </cdr:relSizeAnchor>
  <cdr:relSizeAnchor xmlns:cdr="http://schemas.openxmlformats.org/drawingml/2006/chartDrawing">
    <cdr:from>
      <cdr:x>0.28716</cdr:x>
      <cdr:y>0.89791</cdr:y>
    </cdr:from>
    <cdr:to>
      <cdr:x>0.39798</cdr:x>
      <cdr:y>0.96473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5475" y="3686175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Growth</a:t>
          </a:r>
        </a:p>
      </cdr:txBody>
    </cdr:sp>
  </cdr:relSizeAnchor>
  <cdr:relSizeAnchor xmlns:cdr="http://schemas.openxmlformats.org/drawingml/2006/chartDrawing">
    <cdr:from>
      <cdr:x>0.52092</cdr:x>
      <cdr:y>0.89559</cdr:y>
    </cdr:from>
    <cdr:to>
      <cdr:x>0.63175</cdr:x>
      <cdr:y>0.96241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438525" y="3676650"/>
          <a:ext cx="731520" cy="274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Maturity</a:t>
          </a:r>
        </a:p>
      </cdr:txBody>
    </cdr:sp>
  </cdr:relSizeAnchor>
  <cdr:relSizeAnchor xmlns:cdr="http://schemas.openxmlformats.org/drawingml/2006/chartDrawing">
    <cdr:from>
      <cdr:x>0.50877</cdr:x>
      <cdr:y>0.39689</cdr:y>
    </cdr:from>
    <cdr:to>
      <cdr:x>0.68787</cdr:x>
      <cdr:y>0.46372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443618" y="1686037"/>
          <a:ext cx="1212202" cy="283904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6"/>
        </a:lnRef>
        <a:fillRef xmlns:a="http://schemas.openxmlformats.org/drawingml/2006/main" idx="2">
          <a:schemeClr val="accent6"/>
        </a:fillRef>
        <a:effectRef xmlns:a="http://schemas.openxmlformats.org/drawingml/2006/main" idx="1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/>
            <a:t>Public</a:t>
          </a:r>
          <a:r>
            <a:rPr lang="en-US" sz="1400" baseline="0"/>
            <a:t> Utilities</a:t>
          </a:r>
          <a:endParaRPr lang="en-US" sz="14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19050</xdr:rowOff>
    </xdr:from>
    <xdr:to>
      <xdr:col>18</xdr:col>
      <xdr:colOff>600075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166F28-24DD-4E3C-97CD-C6EA5FA0C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9524</xdr:colOff>
      <xdr:row>2</xdr:row>
      <xdr:rowOff>38100</xdr:rowOff>
    </xdr:from>
    <xdr:to>
      <xdr:col>18</xdr:col>
      <xdr:colOff>571499</xdr:colOff>
      <xdr:row>17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1C00D6-E97D-448C-B290-6B6067452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4</xdr:row>
      <xdr:rowOff>83820</xdr:rowOff>
    </xdr:from>
    <xdr:to>
      <xdr:col>21</xdr:col>
      <xdr:colOff>167640</xdr:colOff>
      <xdr:row>27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0031EB-40B2-4A9B-8DED-EB7A56F83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0.76455</cdr:x>
      <cdr:y>0.21478</cdr:y>
    </cdr:from>
    <cdr:to>
      <cdr:x>0.95564</cdr:x>
      <cdr:y>0.32442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05300" y="918162"/>
          <a:ext cx="1076096" cy="468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5"/>
              </a:solidFill>
            </a:rPr>
            <a:t>Firm-Specific</a:t>
          </a:r>
          <a:r>
            <a:rPr lang="en-US" sz="1200" b="1" baseline="0">
              <a:solidFill>
                <a:schemeClr val="accent5"/>
              </a:solidFill>
            </a:rPr>
            <a:t> Risk</a:t>
          </a:r>
        </a:p>
        <a:p xmlns:a="http://schemas.openxmlformats.org/drawingml/2006/main">
          <a:pPr algn="ctr"/>
          <a:r>
            <a:rPr lang="en-US" sz="1200" b="1" baseline="0">
              <a:solidFill>
                <a:schemeClr val="accent5"/>
              </a:solidFill>
            </a:rPr>
            <a:t> (unrewarded)</a:t>
          </a:r>
          <a:endParaRPr lang="en-US" sz="1200" b="1">
            <a:solidFill>
              <a:schemeClr val="accent5"/>
            </a:solidFill>
          </a:endParaRPr>
        </a:p>
      </cdr:txBody>
    </cdr:sp>
  </cdr:relSizeAnchor>
  <cdr:relSizeAnchor xmlns:cdr="http://schemas.openxmlformats.org/drawingml/2006/chartDrawing">
    <cdr:from>
      <cdr:x>0.81046</cdr:x>
      <cdr:y>0.65832</cdr:y>
    </cdr:from>
    <cdr:to>
      <cdr:x>0.96732</cdr:x>
      <cdr:y>0.87299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24400" y="28041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0.77896</cdr:x>
      <cdr:y>0.70102</cdr:y>
    </cdr:from>
    <cdr:to>
      <cdr:x>0.93583</cdr:x>
      <cdr:y>0.81818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86472" y="2996723"/>
          <a:ext cx="883363" cy="50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Market Risk</a:t>
          </a:r>
        </a:p>
        <a:p xmlns:a="http://schemas.openxmlformats.org/drawingml/2006/main">
          <a:pPr algn="ctr"/>
          <a:r>
            <a:rPr lang="en-US" sz="1200" b="1">
              <a:solidFill>
                <a:schemeClr val="accent3"/>
              </a:solidFill>
            </a:rPr>
            <a:t>(rewarded)</a:t>
          </a:r>
        </a:p>
      </cdr:txBody>
    </cdr:sp>
  </cdr:relSizeAnchor>
  <cdr:relSizeAnchor xmlns:cdr="http://schemas.openxmlformats.org/drawingml/2006/chartDrawing">
    <cdr:from>
      <cdr:x>0.05586</cdr:x>
      <cdr:y>0.85976</cdr:y>
    </cdr:from>
    <cdr:to>
      <cdr:x>0.09711</cdr:x>
      <cdr:y>0.92832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63" y="3675298"/>
          <a:ext cx="232286" cy="2930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0</a:t>
          </a:r>
        </a:p>
      </cdr:txBody>
    </cdr:sp>
  </cdr:relSizeAnchor>
  <cdr:relSizeAnchor xmlns:cdr="http://schemas.openxmlformats.org/drawingml/2006/chartDrawing">
    <cdr:from>
      <cdr:x>0.60408</cdr:x>
      <cdr:y>0.86823</cdr:y>
    </cdr:from>
    <cdr:to>
      <cdr:x>0.68283</cdr:x>
      <cdr:y>0.93679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401701" y="3711517"/>
          <a:ext cx="443456" cy="2930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500+</a:t>
          </a:r>
        </a:p>
      </cdr:txBody>
    </cdr:sp>
  </cdr:relSizeAnchor>
  <cdr:relSizeAnchor xmlns:cdr="http://schemas.openxmlformats.org/drawingml/2006/chartDrawing">
    <cdr:from>
      <cdr:x>0.43572</cdr:x>
      <cdr:y>0.21925</cdr:y>
    </cdr:from>
    <cdr:to>
      <cdr:x>0.64411</cdr:x>
      <cdr:y>0.37433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453640" y="937260"/>
          <a:ext cx="1173480" cy="6629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 Utility Operations</a:t>
          </a:r>
        </a:p>
        <a:p xmlns:a="http://schemas.openxmlformats.org/drawingml/2006/main">
          <a:r>
            <a:rPr lang="en-US" sz="1100"/>
            <a:t>- Financial Risk</a:t>
          </a:r>
        </a:p>
        <a:p xmlns:a="http://schemas.openxmlformats.org/drawingml/2006/main">
          <a:r>
            <a:rPr lang="en-US" sz="1100"/>
            <a:t>- Default Risk 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0.50744</cdr:x>
      <cdr:y>0.70945</cdr:y>
    </cdr:from>
    <cdr:to>
      <cdr:x>0.66982</cdr:x>
      <cdr:y>0.82531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857500" y="3032760"/>
          <a:ext cx="9144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0.42355</cdr:x>
      <cdr:y>0.69162</cdr:y>
    </cdr:from>
    <cdr:to>
      <cdr:x>0.63735</cdr:x>
      <cdr:y>0.80214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385060" y="2956560"/>
          <a:ext cx="1203960" cy="47244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2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-</a:t>
          </a:r>
          <a:r>
            <a:rPr lang="en-US" sz="1100" baseline="0"/>
            <a:t> Interest Rate Risk</a:t>
          </a:r>
        </a:p>
        <a:p xmlns:a="http://schemas.openxmlformats.org/drawingml/2006/main">
          <a:r>
            <a:rPr lang="en-US" sz="1100" baseline="0"/>
            <a:t>- Inflation Risk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V22"/>
  <sheetViews>
    <sheetView tabSelected="1" zoomScaleNormal="100" workbookViewId="0"/>
  </sheetViews>
  <sheetFormatPr defaultRowHeight="15" x14ac:dyDescent="0.25"/>
  <cols>
    <col min="1" max="1" width="16.7109375" style="243" customWidth="1"/>
    <col min="2" max="3" width="2.7109375" style="243" customWidth="1"/>
    <col min="4" max="4" width="16.7109375" style="243" customWidth="1"/>
    <col min="5" max="22" width="3.42578125" style="243" customWidth="1"/>
    <col min="23" max="16384" width="9.140625" style="243"/>
  </cols>
  <sheetData>
    <row r="1" spans="1:2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3" spans="1:22" x14ac:dyDescent="0.25">
      <c r="A3" s="238" t="s">
        <v>13</v>
      </c>
      <c r="B3" s="242"/>
      <c r="C3" s="242"/>
      <c r="D3" s="238" t="s">
        <v>15</v>
      </c>
      <c r="E3" s="31"/>
      <c r="F3" s="31"/>
      <c r="G3" s="388" t="s">
        <v>20</v>
      </c>
      <c r="H3" s="388"/>
      <c r="I3" s="388"/>
      <c r="J3" s="388"/>
      <c r="K3" s="388"/>
      <c r="L3" s="388"/>
      <c r="O3" s="388" t="s">
        <v>16</v>
      </c>
      <c r="P3" s="388"/>
      <c r="Q3" s="388"/>
      <c r="R3" s="388"/>
      <c r="S3" s="388"/>
      <c r="T3" s="388"/>
    </row>
    <row r="4" spans="1:22" x14ac:dyDescent="0.25">
      <c r="E4" s="27"/>
      <c r="M4" s="27"/>
      <c r="U4" s="27"/>
      <c r="V4" s="27"/>
    </row>
    <row r="5" spans="1:22" x14ac:dyDescent="0.25">
      <c r="A5" s="18" t="s">
        <v>14</v>
      </c>
      <c r="B5" s="242"/>
      <c r="C5" s="242"/>
      <c r="D5" s="246">
        <v>0.51500000000000001</v>
      </c>
      <c r="E5" s="33"/>
      <c r="F5" s="96"/>
      <c r="G5" s="19"/>
      <c r="H5" s="19"/>
      <c r="I5" s="389">
        <v>5.62E-2</v>
      </c>
      <c r="J5" s="389"/>
      <c r="M5" s="27"/>
      <c r="N5" s="19"/>
      <c r="O5" s="19"/>
      <c r="P5" s="19"/>
      <c r="Q5" s="389">
        <f>D5*I5</f>
        <v>2.8943E-2</v>
      </c>
      <c r="R5" s="389"/>
      <c r="U5" s="27"/>
      <c r="V5" s="27"/>
    </row>
    <row r="6" spans="1:22" ht="6" customHeight="1" x14ac:dyDescent="0.25">
      <c r="D6" s="246"/>
      <c r="E6" s="25"/>
      <c r="F6" s="19"/>
      <c r="G6" s="19"/>
      <c r="H6" s="19"/>
      <c r="I6" s="96"/>
      <c r="J6" s="96"/>
      <c r="M6" s="27"/>
      <c r="N6" s="19"/>
      <c r="O6" s="19"/>
      <c r="P6" s="19"/>
      <c r="Q6" s="96"/>
      <c r="R6" s="96"/>
      <c r="U6" s="27"/>
      <c r="V6" s="27"/>
    </row>
    <row r="7" spans="1:22" x14ac:dyDescent="0.25">
      <c r="D7" s="246"/>
      <c r="E7" s="25"/>
      <c r="F7" s="19"/>
      <c r="G7" s="19"/>
      <c r="H7" s="20"/>
      <c r="I7" s="390">
        <v>0.09</v>
      </c>
      <c r="J7" s="391"/>
      <c r="K7" s="22"/>
      <c r="M7" s="27"/>
      <c r="N7" s="19"/>
      <c r="O7" s="19"/>
      <c r="P7" s="20"/>
      <c r="Q7" s="390">
        <f>D8*I7</f>
        <v>4.3649999999999994E-2</v>
      </c>
      <c r="R7" s="391"/>
      <c r="S7" s="22"/>
      <c r="U7" s="27"/>
      <c r="V7" s="27"/>
    </row>
    <row r="8" spans="1:22" x14ac:dyDescent="0.25">
      <c r="A8" s="404" t="s">
        <v>17</v>
      </c>
      <c r="B8" s="29"/>
      <c r="C8" s="29"/>
      <c r="D8" s="405">
        <v>0.48499999999999999</v>
      </c>
      <c r="E8" s="26"/>
      <c r="F8" s="24"/>
      <c r="H8" s="21"/>
      <c r="I8" s="392"/>
      <c r="J8" s="393"/>
      <c r="K8" s="23"/>
      <c r="M8" s="27"/>
      <c r="P8" s="21"/>
      <c r="Q8" s="392"/>
      <c r="R8" s="393"/>
      <c r="S8" s="23"/>
      <c r="U8" s="27"/>
      <c r="V8" s="27"/>
    </row>
    <row r="9" spans="1:22" x14ac:dyDescent="0.25">
      <c r="A9" s="404"/>
      <c r="B9" s="29"/>
      <c r="C9" s="29"/>
      <c r="D9" s="405"/>
      <c r="E9" s="26"/>
      <c r="F9" s="24"/>
      <c r="G9" s="389">
        <v>8.7499999999999994E-2</v>
      </c>
      <c r="H9" s="389"/>
      <c r="K9" s="397">
        <v>9.2499999999999999E-2</v>
      </c>
      <c r="L9" s="397"/>
      <c r="M9" s="240"/>
      <c r="N9" s="19"/>
      <c r="O9" s="389">
        <f>D8*G9</f>
        <v>4.2437499999999996E-2</v>
      </c>
      <c r="P9" s="389"/>
      <c r="S9" s="397">
        <f>D8*K9</f>
        <v>4.48625E-2</v>
      </c>
      <c r="T9" s="397"/>
      <c r="U9" s="240"/>
      <c r="V9" s="27"/>
    </row>
    <row r="10" spans="1:22" ht="15" customHeight="1" x14ac:dyDescent="0.25"/>
    <row r="11" spans="1:22" x14ac:dyDescent="0.25">
      <c r="A11" s="22"/>
      <c r="B11" s="22"/>
      <c r="C11" s="22"/>
      <c r="D11" s="164" t="str">
        <f>IF(D5+D8=1," ",FALSE)</f>
        <v xml:space="preserve"> 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</row>
    <row r="12" spans="1:22" x14ac:dyDescent="0.25">
      <c r="A12" s="27"/>
      <c r="B12" s="27"/>
      <c r="C12" s="27"/>
      <c r="D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2" ht="15.75" thickBot="1" x14ac:dyDescent="0.3">
      <c r="B13" s="398"/>
      <c r="C13" s="398"/>
    </row>
    <row r="14" spans="1:22" ht="18" customHeight="1" thickBot="1" x14ac:dyDescent="0.4">
      <c r="F14" s="399">
        <f>Q5+O9</f>
        <v>7.13805E-2</v>
      </c>
      <c r="G14" s="399"/>
      <c r="H14" s="399"/>
      <c r="I14" s="399"/>
      <c r="L14" s="400">
        <f>Q5+Q7</f>
        <v>7.2592999999999991E-2</v>
      </c>
      <c r="M14" s="401"/>
      <c r="N14" s="401"/>
      <c r="O14" s="402"/>
      <c r="R14" s="403">
        <f>Q5+S9</f>
        <v>7.3805499999999996E-2</v>
      </c>
      <c r="S14" s="403"/>
      <c r="T14" s="403"/>
      <c r="U14" s="403"/>
    </row>
    <row r="15" spans="1:22" ht="18" customHeight="1" x14ac:dyDescent="0.25">
      <c r="A15" s="394" t="s">
        <v>21</v>
      </c>
      <c r="B15" s="394"/>
      <c r="C15" s="394"/>
      <c r="D15" s="394"/>
      <c r="E15" s="242"/>
      <c r="H15" s="28"/>
      <c r="I15" s="22"/>
      <c r="J15" s="22"/>
      <c r="K15" s="22"/>
      <c r="L15" s="22"/>
      <c r="M15" s="22"/>
      <c r="N15" s="28"/>
      <c r="O15" s="22"/>
      <c r="P15" s="22"/>
      <c r="Q15" s="22"/>
      <c r="R15" s="22"/>
      <c r="S15" s="30"/>
    </row>
    <row r="16" spans="1:22" ht="18" customHeight="1" x14ac:dyDescent="0.25">
      <c r="A16" s="394" t="s">
        <v>142</v>
      </c>
      <c r="B16" s="394"/>
      <c r="C16" s="394"/>
      <c r="D16" s="394"/>
      <c r="F16" s="395" t="s">
        <v>18</v>
      </c>
      <c r="G16" s="395"/>
      <c r="H16" s="395"/>
      <c r="I16" s="395"/>
      <c r="L16" s="396" t="s">
        <v>160</v>
      </c>
      <c r="M16" s="396"/>
      <c r="N16" s="396"/>
      <c r="O16" s="396"/>
      <c r="R16" s="395" t="s">
        <v>19</v>
      </c>
      <c r="S16" s="395"/>
      <c r="T16" s="395"/>
      <c r="U16" s="395"/>
    </row>
    <row r="17" spans="1:21" ht="14.45" customHeight="1" x14ac:dyDescent="0.25">
      <c r="A17" s="146"/>
      <c r="B17" s="146"/>
      <c r="C17" s="146"/>
      <c r="D17" s="146"/>
      <c r="E17" s="22"/>
      <c r="F17" s="147"/>
      <c r="G17" s="147"/>
      <c r="H17" s="147"/>
      <c r="I17" s="147"/>
      <c r="J17" s="22"/>
      <c r="K17" s="22"/>
      <c r="L17" s="22"/>
      <c r="M17" s="147"/>
      <c r="N17" s="147"/>
      <c r="O17" s="22"/>
      <c r="P17" s="22"/>
      <c r="Q17" s="22"/>
      <c r="R17" s="147"/>
      <c r="S17" s="147"/>
      <c r="T17" s="147"/>
      <c r="U17" s="147"/>
    </row>
    <row r="18" spans="1:21" ht="14.45" customHeight="1" x14ac:dyDescent="0.25">
      <c r="A18" s="32"/>
      <c r="B18" s="32"/>
      <c r="C18" s="32"/>
      <c r="D18" s="32"/>
      <c r="F18" s="241"/>
      <c r="G18" s="241"/>
      <c r="H18" s="241"/>
      <c r="I18" s="241"/>
      <c r="M18" s="35"/>
      <c r="N18" s="35"/>
      <c r="R18" s="241"/>
      <c r="S18" s="241"/>
      <c r="T18" s="241"/>
      <c r="U18" s="241"/>
    </row>
    <row r="19" spans="1:21" ht="14.45" customHeight="1" x14ac:dyDescent="0.25"/>
    <row r="20" spans="1:21" ht="14.45" customHeight="1" x14ac:dyDescent="0.25"/>
    <row r="21" spans="1:21" ht="14.45" customHeight="1" x14ac:dyDescent="0.25"/>
    <row r="22" spans="1:21" ht="14.45" customHeight="1" x14ac:dyDescent="0.25"/>
  </sheetData>
  <mergeCells count="21">
    <mergeCell ref="A16:D16"/>
    <mergeCell ref="F16:I16"/>
    <mergeCell ref="L16:O16"/>
    <mergeCell ref="R16:U16"/>
    <mergeCell ref="S9:T9"/>
    <mergeCell ref="B13:C13"/>
    <mergeCell ref="F14:I14"/>
    <mergeCell ref="L14:O14"/>
    <mergeCell ref="R14:U14"/>
    <mergeCell ref="A15:D15"/>
    <mergeCell ref="A8:A9"/>
    <mergeCell ref="D8:D9"/>
    <mergeCell ref="G9:H9"/>
    <mergeCell ref="K9:L9"/>
    <mergeCell ref="O9:P9"/>
    <mergeCell ref="G3:L3"/>
    <mergeCell ref="O3:T3"/>
    <mergeCell ref="I5:J5"/>
    <mergeCell ref="Q5:R5"/>
    <mergeCell ref="I7:J8"/>
    <mergeCell ref="Q7:R8"/>
  </mergeCells>
  <printOptions horizontalCentered="1"/>
  <pageMargins left="0.7" right="0.7" top="0.75" bottom="0.75" header="0.3" footer="0.3"/>
  <pageSetup scale="93" orientation="portrait" r:id="rId1"/>
  <headerFooter scaleWithDoc="0">
    <oddHeader>&amp;C&amp;"-,Bold"&amp;14Weighted Average Awarded Return Recommendation&amp;RExhibit DJG-2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A1:P29"/>
  <sheetViews>
    <sheetView zoomScaleNormal="100" workbookViewId="0">
      <selection activeCell="H26" sqref="H26"/>
    </sheetView>
  </sheetViews>
  <sheetFormatPr defaultRowHeight="15" x14ac:dyDescent="0.25"/>
  <cols>
    <col min="1" max="1" width="35.5703125" style="314" bestFit="1" customWidth="1"/>
    <col min="2" max="2" width="2.7109375" style="314" customWidth="1"/>
    <col min="3" max="3" width="6.7109375" style="314" customWidth="1"/>
    <col min="4" max="4" width="2.7109375" style="314" customWidth="1"/>
    <col min="5" max="5" width="12.28515625" style="314" customWidth="1"/>
    <col min="6" max="6" width="2.7109375" style="314" customWidth="1"/>
    <col min="7" max="7" width="12.28515625" style="314" customWidth="1"/>
    <col min="8" max="8" width="2.7109375" style="314" customWidth="1"/>
    <col min="9" max="9" width="12.28515625" style="314" customWidth="1"/>
    <col min="10" max="10" width="2.7109375" style="314" customWidth="1"/>
    <col min="11" max="11" width="12.28515625" style="314" customWidth="1"/>
    <col min="12" max="12" width="2.7109375" style="314" customWidth="1"/>
    <col min="13" max="13" width="12.28515625" style="314" customWidth="1"/>
    <col min="14" max="14" width="2.7109375" style="314" customWidth="1"/>
    <col min="15" max="15" width="12.28515625" style="314" customWidth="1"/>
    <col min="16" max="16" width="2.7109375" style="314" customWidth="1"/>
    <col min="17" max="16384" width="9.140625" style="314"/>
  </cols>
  <sheetData>
    <row r="1" spans="1:16" ht="18.75" x14ac:dyDescent="0.3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3"/>
    </row>
    <row r="2" spans="1:16" ht="19.5" customHeight="1" x14ac:dyDescent="0.3">
      <c r="A2" s="313"/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1:16" ht="19.5" customHeight="1" x14ac:dyDescent="0.25">
      <c r="E3" s="315" t="s">
        <v>3</v>
      </c>
      <c r="F3" s="315"/>
      <c r="G3" s="315" t="s">
        <v>4</v>
      </c>
      <c r="H3" s="315"/>
      <c r="I3" s="315" t="s">
        <v>5</v>
      </c>
      <c r="J3" s="315"/>
      <c r="K3" s="315" t="s">
        <v>6</v>
      </c>
      <c r="L3" s="315"/>
      <c r="M3" s="315" t="s">
        <v>7</v>
      </c>
      <c r="N3" s="315"/>
      <c r="O3" s="315" t="s">
        <v>23</v>
      </c>
    </row>
    <row r="4" spans="1:16" ht="19.5" customHeight="1" x14ac:dyDescent="0.25"/>
    <row r="5" spans="1:16" ht="30" x14ac:dyDescent="0.25">
      <c r="A5" s="316" t="s">
        <v>0</v>
      </c>
      <c r="B5" s="317"/>
      <c r="C5" s="316" t="s">
        <v>1</v>
      </c>
      <c r="D5" s="317"/>
      <c r="E5" s="318" t="s">
        <v>69</v>
      </c>
      <c r="F5" s="319"/>
      <c r="G5" s="318" t="s">
        <v>68</v>
      </c>
      <c r="H5" s="319"/>
      <c r="I5" s="318" t="s">
        <v>173</v>
      </c>
      <c r="J5" s="319"/>
      <c r="K5" s="318" t="s">
        <v>67</v>
      </c>
      <c r="L5" s="319"/>
      <c r="M5" s="318" t="s">
        <v>26</v>
      </c>
      <c r="N5" s="319"/>
      <c r="O5" s="318" t="s">
        <v>66</v>
      </c>
    </row>
    <row r="6" spans="1:16" ht="19.5" customHeight="1" x14ac:dyDescent="0.25">
      <c r="A6" s="314" t="s">
        <v>138</v>
      </c>
      <c r="C6" s="320" t="s">
        <v>149</v>
      </c>
      <c r="E6" s="321">
        <v>4000</v>
      </c>
      <c r="F6" s="322"/>
      <c r="G6" s="323" t="str">
        <f t="shared" ref="G6:G23" si="0">IF(E6&gt;=200000,"Mega Cap",IF(E6&gt;=10000,"Large Cap",IF(E6&gt;=2000,"Mid Cap",IF(E6&gt;=300,"Small Cap",IF(E6&gt;=50,"Micro Cap",IF(E6&lt;50,"Nano Cap"))))))</f>
        <v>Mid Cap</v>
      </c>
      <c r="H6" s="324"/>
      <c r="I6" s="325" t="s">
        <v>174</v>
      </c>
      <c r="J6" s="326"/>
      <c r="K6" s="327">
        <v>2</v>
      </c>
      <c r="M6" s="328" t="s">
        <v>115</v>
      </c>
      <c r="N6" s="328"/>
      <c r="O6" s="329" t="str">
        <f>IF(OR(C6="ALE",C6="LNT",C6="AEE",C6="AEP",C6="CNL",C6="CMS",C6="CNP",C6="DTE",C6="EDE",C6="ETR",C6="GXP",C6="TEG",C6="ITC",C6="MGEE",C6="OGE",C6="OTTR",C6="VVC",C6="WEC",C6="WR"),"Central",IF(OR(C6="AGR",C6="ED",C6="D",C6="DUK",C6="ES",C6="EXC",C6="FE",C6="NEE",C6="PPL",C6="POM",C6="PEG",C6="SCG",C6="SO",C6="TE",C6="UIL",C6="UTL"),"East",IF(OR(C6="AVA",C6="BKH",C6="EIX",C6="EE",C6="HE",C6="IDA",C6="NWE",C6="PCG",C6="PNM",C6="PNW",C6="POR",C6="SRE",C6="XEL"),"West",0)))</f>
        <v>Central</v>
      </c>
    </row>
    <row r="7" spans="1:16" ht="19.5" customHeight="1" x14ac:dyDescent="0.25">
      <c r="A7" s="314" t="s">
        <v>126</v>
      </c>
      <c r="C7" s="320" t="s">
        <v>64</v>
      </c>
      <c r="E7" s="321">
        <v>15000</v>
      </c>
      <c r="F7" s="322"/>
      <c r="G7" s="323" t="str">
        <f t="shared" si="0"/>
        <v>Large Cap</v>
      </c>
      <c r="H7" s="324"/>
      <c r="I7" s="325" t="s">
        <v>175</v>
      </c>
      <c r="J7" s="326"/>
      <c r="K7" s="327">
        <v>2</v>
      </c>
      <c r="M7" s="328" t="s">
        <v>115</v>
      </c>
      <c r="N7" s="328"/>
      <c r="O7" s="329" t="str">
        <f t="shared" ref="O7:O23" si="1">IF(OR(C7="ALE",C7="LNT",C7="AEE",C7="AEP",C7="CNL",C7="CMS",C7="CNP",C7="DTE",C7="EDE",C7="ETR",C7="GXP",C7="TEG",C7="ITC",C7="MGEE",C7="OGE",C7="OTTR",C7="VVC",C7="WEC",C7="WR"),"Central",IF(OR(C7="AGR",C7="ED",C7="D",C7="DUK",C7="ES",C7="EXC",C7="FE",C7="NEE",C7="PPL",C7="POM",C7="PEG",C7="SCG",C7="SO",C7="TE",C7="UIL",C7="UTL"),"East",IF(OR(C7="AVA",C7="BKH",C7="EIX",C7="EE",C7="HE",C7="IDA",C7="NWE",C7="PCG",C7="PNM",C7="PNW",C7="POR",C7="SRE",C7="XEL"),"West",0)))</f>
        <v>Central</v>
      </c>
      <c r="P7" s="330"/>
    </row>
    <row r="8" spans="1:16" ht="19.5" customHeight="1" x14ac:dyDescent="0.25">
      <c r="A8" s="314" t="s">
        <v>331</v>
      </c>
      <c r="C8" s="320" t="s">
        <v>338</v>
      </c>
      <c r="E8" s="321">
        <v>15000</v>
      </c>
      <c r="F8" s="322"/>
      <c r="G8" s="323" t="str">
        <f t="shared" si="0"/>
        <v>Large Cap</v>
      </c>
      <c r="H8" s="324"/>
      <c r="I8" s="325" t="s">
        <v>175</v>
      </c>
      <c r="J8" s="326"/>
      <c r="K8" s="327">
        <v>2</v>
      </c>
      <c r="M8" s="328" t="s">
        <v>116</v>
      </c>
      <c r="N8" s="328"/>
      <c r="O8" s="329" t="str">
        <f t="shared" si="1"/>
        <v>East</v>
      </c>
      <c r="P8" s="330"/>
    </row>
    <row r="9" spans="1:16" ht="19.5" customHeight="1" x14ac:dyDescent="0.25">
      <c r="A9" s="314" t="s">
        <v>147</v>
      </c>
      <c r="C9" s="320" t="s">
        <v>150</v>
      </c>
      <c r="D9" s="315"/>
      <c r="E9" s="321">
        <v>3300</v>
      </c>
      <c r="F9" s="322"/>
      <c r="G9" s="323" t="str">
        <f t="shared" si="0"/>
        <v>Mid Cap</v>
      </c>
      <c r="H9" s="324"/>
      <c r="I9" s="325" t="s">
        <v>175</v>
      </c>
      <c r="J9" s="326"/>
      <c r="K9" s="327">
        <v>2</v>
      </c>
      <c r="L9" s="315"/>
      <c r="M9" s="328" t="s">
        <v>115</v>
      </c>
      <c r="N9" s="328"/>
      <c r="O9" s="329" t="str">
        <f t="shared" si="1"/>
        <v>West</v>
      </c>
    </row>
    <row r="10" spans="1:16" ht="19.5" customHeight="1" x14ac:dyDescent="0.25">
      <c r="A10" s="314" t="s">
        <v>146</v>
      </c>
      <c r="C10" s="320" t="s">
        <v>151</v>
      </c>
      <c r="E10" s="321">
        <v>3700</v>
      </c>
      <c r="F10" s="322"/>
      <c r="G10" s="323" t="str">
        <f t="shared" si="0"/>
        <v>Mid Cap</v>
      </c>
      <c r="H10" s="324"/>
      <c r="I10" s="325" t="s">
        <v>348</v>
      </c>
      <c r="J10" s="326"/>
      <c r="K10" s="327">
        <v>2</v>
      </c>
      <c r="M10" s="328" t="s">
        <v>115</v>
      </c>
      <c r="N10" s="328"/>
      <c r="O10" s="329" t="str">
        <f t="shared" si="1"/>
        <v>West</v>
      </c>
    </row>
    <row r="11" spans="1:16" ht="19.5" customHeight="1" x14ac:dyDescent="0.25">
      <c r="A11" s="314" t="s">
        <v>127</v>
      </c>
      <c r="C11" s="320" t="s">
        <v>113</v>
      </c>
      <c r="E11" s="321">
        <v>14000</v>
      </c>
      <c r="F11" s="322"/>
      <c r="G11" s="323" t="str">
        <f t="shared" si="0"/>
        <v>Large Cap</v>
      </c>
      <c r="H11" s="324"/>
      <c r="I11" s="325" t="s">
        <v>175</v>
      </c>
      <c r="J11" s="326"/>
      <c r="K11" s="327">
        <v>2</v>
      </c>
      <c r="M11" s="328" t="s">
        <v>116</v>
      </c>
      <c r="N11" s="328"/>
      <c r="O11" s="329" t="str">
        <f t="shared" si="1"/>
        <v>Central</v>
      </c>
    </row>
    <row r="12" spans="1:16" ht="19.5" customHeight="1" x14ac:dyDescent="0.25">
      <c r="A12" s="314" t="s">
        <v>339</v>
      </c>
      <c r="C12" s="320" t="s">
        <v>340</v>
      </c>
      <c r="E12" s="321">
        <v>50000</v>
      </c>
      <c r="F12" s="322"/>
      <c r="G12" s="323" t="str">
        <f t="shared" si="0"/>
        <v>Large Cap</v>
      </c>
      <c r="H12" s="324"/>
      <c r="I12" s="325" t="s">
        <v>348</v>
      </c>
      <c r="J12" s="326"/>
      <c r="K12" s="327">
        <v>2</v>
      </c>
      <c r="M12" s="328" t="s">
        <v>116</v>
      </c>
      <c r="N12" s="328"/>
      <c r="O12" s="329" t="str">
        <f t="shared" si="1"/>
        <v>East</v>
      </c>
    </row>
    <row r="13" spans="1:16" ht="19.5" customHeight="1" x14ac:dyDescent="0.25">
      <c r="A13" s="314" t="s">
        <v>169</v>
      </c>
      <c r="C13" s="320" t="s">
        <v>170</v>
      </c>
      <c r="E13" s="321">
        <v>20000</v>
      </c>
      <c r="F13" s="322"/>
      <c r="G13" s="323" t="str">
        <f t="shared" si="0"/>
        <v>Large Cap</v>
      </c>
      <c r="H13" s="324"/>
      <c r="I13" s="325" t="s">
        <v>175</v>
      </c>
      <c r="J13" s="326"/>
      <c r="K13" s="327">
        <v>2</v>
      </c>
      <c r="M13" s="328" t="s">
        <v>116</v>
      </c>
      <c r="N13" s="328"/>
      <c r="O13" s="329" t="str">
        <f t="shared" si="1"/>
        <v>Central</v>
      </c>
    </row>
    <row r="14" spans="1:16" ht="19.5" customHeight="1" x14ac:dyDescent="0.25">
      <c r="A14" s="314" t="s">
        <v>332</v>
      </c>
      <c r="C14" s="320" t="s">
        <v>341</v>
      </c>
      <c r="E14" s="321">
        <v>25000</v>
      </c>
      <c r="F14" s="322"/>
      <c r="G14" s="323" t="str">
        <f t="shared" si="0"/>
        <v>Large Cap</v>
      </c>
      <c r="H14" s="324"/>
      <c r="I14" s="325" t="s">
        <v>174</v>
      </c>
      <c r="J14" s="326"/>
      <c r="K14" s="327">
        <v>2</v>
      </c>
      <c r="M14" s="328" t="s">
        <v>115</v>
      </c>
      <c r="N14" s="328"/>
      <c r="O14" s="329" t="str">
        <f t="shared" si="1"/>
        <v>West</v>
      </c>
    </row>
    <row r="15" spans="1:16" ht="19.5" customHeight="1" x14ac:dyDescent="0.25">
      <c r="A15" s="314" t="s">
        <v>139</v>
      </c>
      <c r="C15" s="320" t="s">
        <v>152</v>
      </c>
      <c r="E15" s="321">
        <v>2100</v>
      </c>
      <c r="F15" s="322"/>
      <c r="G15" s="323" t="str">
        <f t="shared" si="0"/>
        <v>Mid Cap</v>
      </c>
      <c r="H15" s="324"/>
      <c r="I15" s="325" t="s">
        <v>175</v>
      </c>
      <c r="J15" s="326"/>
      <c r="K15" s="327">
        <v>2</v>
      </c>
      <c r="M15" s="328" t="s">
        <v>116</v>
      </c>
      <c r="N15" s="328"/>
      <c r="O15" s="329" t="str">
        <f t="shared" si="1"/>
        <v>West</v>
      </c>
    </row>
    <row r="16" spans="1:16" ht="19.5" customHeight="1" x14ac:dyDescent="0.25">
      <c r="A16" s="314" t="s">
        <v>333</v>
      </c>
      <c r="C16" s="320" t="s">
        <v>342</v>
      </c>
      <c r="D16" s="315"/>
      <c r="E16" s="321">
        <v>37000</v>
      </c>
      <c r="F16" s="331"/>
      <c r="G16" s="323" t="str">
        <f t="shared" si="0"/>
        <v>Large Cap</v>
      </c>
      <c r="H16" s="324"/>
      <c r="I16" s="325" t="s">
        <v>348</v>
      </c>
      <c r="J16" s="326"/>
      <c r="K16" s="327">
        <v>3</v>
      </c>
      <c r="L16" s="315"/>
      <c r="M16" s="328" t="s">
        <v>116</v>
      </c>
      <c r="N16" s="328"/>
      <c r="O16" s="329" t="str">
        <f t="shared" si="1"/>
        <v>East</v>
      </c>
    </row>
    <row r="17" spans="1:16" ht="19.5" customHeight="1" x14ac:dyDescent="0.25">
      <c r="A17" s="314" t="s">
        <v>334</v>
      </c>
      <c r="C17" s="320" t="s">
        <v>343</v>
      </c>
      <c r="D17" s="315"/>
      <c r="E17" s="321">
        <v>3500</v>
      </c>
      <c r="F17" s="322"/>
      <c r="G17" s="323" t="str">
        <f t="shared" si="0"/>
        <v>Mid Cap</v>
      </c>
      <c r="H17" s="324"/>
      <c r="I17" s="325" t="s">
        <v>348</v>
      </c>
      <c r="J17" s="326"/>
      <c r="K17" s="327">
        <v>2</v>
      </c>
      <c r="L17" s="315"/>
      <c r="M17" s="328" t="s">
        <v>115</v>
      </c>
      <c r="N17" s="328"/>
      <c r="O17" s="329" t="str">
        <f t="shared" si="1"/>
        <v>West</v>
      </c>
    </row>
    <row r="18" spans="1:16" ht="19.5" customHeight="1" x14ac:dyDescent="0.25">
      <c r="A18" s="314" t="s">
        <v>335</v>
      </c>
      <c r="C18" s="320" t="s">
        <v>171</v>
      </c>
      <c r="E18" s="321">
        <v>4200</v>
      </c>
      <c r="F18" s="322"/>
      <c r="G18" s="323" t="str">
        <f t="shared" si="0"/>
        <v>Mid Cap</v>
      </c>
      <c r="H18" s="324"/>
      <c r="I18" s="325" t="s">
        <v>175</v>
      </c>
      <c r="J18" s="326"/>
      <c r="K18" s="327">
        <v>2</v>
      </c>
      <c r="M18" s="328" t="s">
        <v>115</v>
      </c>
      <c r="N18" s="328"/>
      <c r="O18" s="329" t="str">
        <f t="shared" si="1"/>
        <v>West</v>
      </c>
    </row>
    <row r="19" spans="1:16" ht="19.5" customHeight="1" x14ac:dyDescent="0.25">
      <c r="A19" s="314" t="s">
        <v>148</v>
      </c>
      <c r="C19" s="320" t="s">
        <v>153</v>
      </c>
      <c r="D19" s="315"/>
      <c r="E19" s="321">
        <v>2900</v>
      </c>
      <c r="F19" s="322"/>
      <c r="G19" s="323" t="str">
        <f t="shared" si="0"/>
        <v>Mid Cap</v>
      </c>
      <c r="H19" s="324"/>
      <c r="I19" s="325" t="s">
        <v>175</v>
      </c>
      <c r="J19" s="326"/>
      <c r="K19" s="327">
        <v>3</v>
      </c>
      <c r="L19" s="315"/>
      <c r="M19" s="328" t="s">
        <v>117</v>
      </c>
      <c r="N19" s="328"/>
      <c r="O19" s="329" t="str">
        <f t="shared" si="1"/>
        <v>West</v>
      </c>
    </row>
    <row r="20" spans="1:16" ht="19.5" customHeight="1" x14ac:dyDescent="0.25">
      <c r="A20" s="314" t="s">
        <v>140</v>
      </c>
      <c r="C20" s="320" t="s">
        <v>154</v>
      </c>
      <c r="E20" s="321">
        <v>1700</v>
      </c>
      <c r="F20" s="322"/>
      <c r="G20" s="323" t="str">
        <f t="shared" si="0"/>
        <v>Small Cap</v>
      </c>
      <c r="H20" s="324"/>
      <c r="I20" s="325" t="s">
        <v>174</v>
      </c>
      <c r="J20" s="326"/>
      <c r="K20" s="327">
        <v>2</v>
      </c>
      <c r="M20" s="328" t="s">
        <v>115</v>
      </c>
      <c r="N20" s="328"/>
      <c r="O20" s="329" t="str">
        <f t="shared" si="1"/>
        <v>Central</v>
      </c>
    </row>
    <row r="21" spans="1:16" ht="19.5" customHeight="1" x14ac:dyDescent="0.25">
      <c r="A21" s="314" t="s">
        <v>336</v>
      </c>
      <c r="C21" s="320" t="s">
        <v>344</v>
      </c>
      <c r="E21" s="321">
        <v>34000</v>
      </c>
      <c r="F21" s="322"/>
      <c r="G21" s="323" t="str">
        <f t="shared" si="0"/>
        <v>Large Cap</v>
      </c>
      <c r="H21" s="324"/>
      <c r="I21" s="325" t="s">
        <v>174</v>
      </c>
      <c r="J21" s="326"/>
      <c r="K21" s="327">
        <v>2</v>
      </c>
      <c r="M21" s="328" t="s">
        <v>116</v>
      </c>
      <c r="N21" s="328"/>
      <c r="O21" s="329" t="str">
        <f t="shared" si="1"/>
        <v>West</v>
      </c>
    </row>
    <row r="22" spans="1:16" ht="19.5" customHeight="1" x14ac:dyDescent="0.25">
      <c r="A22" s="314" t="s">
        <v>128</v>
      </c>
      <c r="C22" s="320" t="s">
        <v>65</v>
      </c>
      <c r="E22" s="321">
        <v>4000</v>
      </c>
      <c r="F22" s="322"/>
      <c r="G22" s="323" t="str">
        <f t="shared" si="0"/>
        <v>Mid Cap</v>
      </c>
      <c r="H22" s="324"/>
      <c r="I22" s="325" t="s">
        <v>174</v>
      </c>
      <c r="J22" s="326"/>
      <c r="K22" s="327">
        <v>2</v>
      </c>
      <c r="M22" s="328" t="s">
        <v>116</v>
      </c>
      <c r="N22" s="328"/>
      <c r="O22" s="329" t="str">
        <f t="shared" si="1"/>
        <v>West</v>
      </c>
    </row>
    <row r="23" spans="1:16" ht="19.5" customHeight="1" x14ac:dyDescent="0.25">
      <c r="A23" s="314" t="s">
        <v>337</v>
      </c>
      <c r="C23" s="320" t="s">
        <v>345</v>
      </c>
      <c r="E23" s="321">
        <v>28000</v>
      </c>
      <c r="F23" s="322"/>
      <c r="G23" s="323" t="str">
        <f t="shared" si="0"/>
        <v>Large Cap</v>
      </c>
      <c r="H23" s="324"/>
      <c r="I23" s="325" t="s">
        <v>175</v>
      </c>
      <c r="J23" s="326"/>
      <c r="K23" s="327">
        <v>2</v>
      </c>
      <c r="M23" s="328" t="s">
        <v>115</v>
      </c>
      <c r="N23" s="328"/>
      <c r="O23" s="329" t="str">
        <f t="shared" si="1"/>
        <v>West</v>
      </c>
    </row>
    <row r="24" spans="1:16" ht="19.5" customHeight="1" x14ac:dyDescent="0.25">
      <c r="A24" s="332"/>
      <c r="B24" s="332"/>
      <c r="C24" s="333"/>
      <c r="D24" s="332"/>
      <c r="E24" s="334"/>
      <c r="F24" s="335"/>
      <c r="G24" s="336"/>
      <c r="H24" s="337"/>
      <c r="I24" s="338"/>
      <c r="J24" s="339"/>
      <c r="K24" s="316"/>
      <c r="L24" s="332"/>
      <c r="M24" s="340"/>
      <c r="N24" s="340"/>
      <c r="O24" s="336"/>
      <c r="P24" s="341"/>
    </row>
    <row r="25" spans="1:16" x14ac:dyDescent="0.25">
      <c r="C25" s="342"/>
      <c r="E25" s="343"/>
      <c r="F25" s="322"/>
      <c r="G25" s="344"/>
      <c r="H25" s="344"/>
      <c r="I25" s="345"/>
      <c r="J25" s="346"/>
      <c r="K25" s="315"/>
      <c r="M25" s="328"/>
      <c r="N25" s="328"/>
      <c r="O25" s="328"/>
    </row>
    <row r="27" spans="1:16" s="347" customFormat="1" ht="14.45" customHeight="1" x14ac:dyDescent="0.2">
      <c r="A27" s="406" t="s">
        <v>172</v>
      </c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</row>
    <row r="28" spans="1:16" s="347" customFormat="1" ht="14.45" customHeight="1" x14ac:dyDescent="0.2">
      <c r="A28" s="406" t="s">
        <v>118</v>
      </c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</row>
    <row r="29" spans="1:16" s="347" customFormat="1" ht="14.45" customHeight="1" x14ac:dyDescent="0.2">
      <c r="A29" s="406" t="s">
        <v>176</v>
      </c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6"/>
    </row>
  </sheetData>
  <sortState ref="A6:O23">
    <sortCondition ref="A6:A23"/>
  </sortState>
  <mergeCells count="3">
    <mergeCell ref="A27:O27"/>
    <mergeCell ref="A28:O28"/>
    <mergeCell ref="A29:O29"/>
  </mergeCells>
  <printOptions horizontalCentered="1"/>
  <pageMargins left="0.7" right="0.7" top="0.75" bottom="0.75" header="0.3" footer="0.3"/>
  <pageSetup scale="88" orientation="landscape" r:id="rId1"/>
  <headerFooter scaleWithDoc="0">
    <oddHeader>&amp;C&amp;"-,Bold"&amp;14Proxy Group Summary&amp;RExhibit DJG-4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T49"/>
  <sheetViews>
    <sheetView topLeftCell="A4" zoomScale="80" zoomScaleNormal="80" workbookViewId="0">
      <selection activeCell="J40" sqref="J40"/>
    </sheetView>
  </sheetViews>
  <sheetFormatPr defaultRowHeight="15" x14ac:dyDescent="0.25"/>
  <cols>
    <col min="1" max="1" width="20.28515625" customWidth="1"/>
    <col min="2" max="2" width="7.7109375" style="51" customWidth="1"/>
    <col min="3" max="21" width="7.7109375" customWidth="1"/>
    <col min="22" max="23" width="12.7109375" customWidth="1"/>
  </cols>
  <sheetData>
    <row r="1" spans="1:20" ht="18.75" x14ac:dyDescent="0.3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899999999999999" customHeight="1" x14ac:dyDescent="0.25">
      <c r="A3" s="91" t="s">
        <v>1</v>
      </c>
      <c r="B3" s="36" t="s">
        <v>12</v>
      </c>
      <c r="C3" s="1" t="str">
        <f>'3 Proxy Sum'!C6</f>
        <v>ALE</v>
      </c>
      <c r="D3" s="91" t="str">
        <f>'3 Proxy Sum'!C7</f>
        <v>AEE</v>
      </c>
      <c r="E3" s="91" t="str">
        <f>'3 Proxy Sum'!C8</f>
        <v>AGR</v>
      </c>
      <c r="F3" s="91" t="str">
        <f>'3 Proxy Sum'!C9</f>
        <v>AVA</v>
      </c>
      <c r="G3" s="91" t="str">
        <f>'3 Proxy Sum'!C10</f>
        <v>BKH</v>
      </c>
      <c r="H3" s="91" t="str">
        <f>'3 Proxy Sum'!C11</f>
        <v>CMS</v>
      </c>
      <c r="I3" s="91" t="str">
        <f>'3 Proxy Sum'!C12</f>
        <v>D</v>
      </c>
      <c r="J3" s="91" t="str">
        <f>'3 Proxy Sum'!C13</f>
        <v>DTE</v>
      </c>
      <c r="K3" s="91" t="str">
        <f>'3 Proxy Sum'!C14</f>
        <v>EIX</v>
      </c>
      <c r="L3" s="91" t="str">
        <f>'3 Proxy Sum'!C15</f>
        <v>EE</v>
      </c>
      <c r="M3" s="91" t="str">
        <f>'3 Proxy Sum'!C16</f>
        <v>EXC</v>
      </c>
      <c r="N3" s="91" t="str">
        <f>'3 Proxy Sum'!C17</f>
        <v>HE</v>
      </c>
      <c r="O3" s="91" t="str">
        <f>'3 Proxy Sum'!C18</f>
        <v>IDA</v>
      </c>
      <c r="P3" s="99" t="str">
        <f>'3 Proxy Sum'!C19</f>
        <v>NWE</v>
      </c>
      <c r="Q3" s="91" t="str">
        <f>'3 Proxy Sum'!C20</f>
        <v>OTTR</v>
      </c>
      <c r="R3" s="91" t="str">
        <f>'3 Proxy Sum'!C21</f>
        <v>PCG</v>
      </c>
      <c r="S3" s="91" t="str">
        <f>'3 Proxy Sum'!C22</f>
        <v>POR</v>
      </c>
      <c r="T3" s="91" t="str">
        <f>'3 Proxy Sum'!C23</f>
        <v>SRE</v>
      </c>
    </row>
    <row r="4" spans="1:20" ht="19.899999999999999" customHeight="1" x14ac:dyDescent="0.25">
      <c r="B4"/>
      <c r="C4" s="1"/>
      <c r="D4" s="1"/>
      <c r="E4" s="1"/>
      <c r="F4" s="1"/>
    </row>
    <row r="5" spans="1:20" ht="19.899999999999999" customHeight="1" x14ac:dyDescent="0.25">
      <c r="A5" s="93" t="s">
        <v>9</v>
      </c>
      <c r="B5" s="44">
        <f>AVERAGE(B8:B37)</f>
        <v>2516.5656900333333</v>
      </c>
      <c r="C5" s="43">
        <f t="shared" ref="C5:T5" si="0">AVERAGE(C8:C37)</f>
        <v>78.05199953333333</v>
      </c>
      <c r="D5" s="43">
        <f t="shared" si="0"/>
        <v>59.238125400000008</v>
      </c>
      <c r="E5" s="43">
        <f t="shared" si="0"/>
        <v>47.533266533333332</v>
      </c>
      <c r="F5" s="43">
        <f t="shared" si="0"/>
        <v>51.787000099999993</v>
      </c>
      <c r="G5" s="43">
        <f t="shared" si="0"/>
        <v>68.887667266666668</v>
      </c>
      <c r="H5" s="43">
        <f t="shared" si="0"/>
        <v>47.243999800000012</v>
      </c>
      <c r="I5" s="43">
        <f t="shared" si="0"/>
        <v>77.897999633333328</v>
      </c>
      <c r="J5" s="43">
        <f t="shared" si="0"/>
        <v>109.37969156666665</v>
      </c>
      <c r="K5" s="43">
        <f t="shared" si="0"/>
        <v>78.636581333333353</v>
      </c>
      <c r="L5" s="43">
        <f t="shared" si="0"/>
        <v>55.905694133333327</v>
      </c>
      <c r="M5" s="43">
        <f t="shared" si="0"/>
        <v>37.979332999999997</v>
      </c>
      <c r="N5" s="43">
        <f t="shared" si="0"/>
        <v>33.843333066666666</v>
      </c>
      <c r="O5" s="43">
        <f t="shared" si="0"/>
        <v>89.358333033333338</v>
      </c>
      <c r="P5" s="43">
        <f t="shared" si="0"/>
        <v>58.272868166666669</v>
      </c>
      <c r="Q5" s="43">
        <f t="shared" si="0"/>
        <v>43.753333099999992</v>
      </c>
      <c r="R5" s="43">
        <f t="shared" si="0"/>
        <v>67.523620466666657</v>
      </c>
      <c r="S5" s="43">
        <f t="shared" si="0"/>
        <v>46.303821866666667</v>
      </c>
      <c r="T5" s="43">
        <f t="shared" si="0"/>
        <v>115.60493880000003</v>
      </c>
    </row>
    <row r="6" spans="1:20" ht="19.899999999999999" customHeight="1" x14ac:dyDescent="0.25">
      <c r="A6" s="101" t="s">
        <v>8</v>
      </c>
      <c r="B6" s="102">
        <f>STDEV(B8:B37)</f>
        <v>29.367799744901781</v>
      </c>
      <c r="C6" s="103">
        <f t="shared" ref="C6:T6" si="1">STDEV(C8:C37)</f>
        <v>0.62525179193300107</v>
      </c>
      <c r="D6" s="103">
        <f t="shared" si="1"/>
        <v>0.81516575880786313</v>
      </c>
      <c r="E6" s="103">
        <f t="shared" si="1"/>
        <v>0.58978663029132394</v>
      </c>
      <c r="F6" s="103">
        <f t="shared" si="1"/>
        <v>0.34293006817238036</v>
      </c>
      <c r="G6" s="103">
        <f t="shared" si="1"/>
        <v>0.90815788143570408</v>
      </c>
      <c r="H6" s="103">
        <f t="shared" si="1"/>
        <v>0.80073495481555956</v>
      </c>
      <c r="I6" s="103">
        <f t="shared" si="1"/>
        <v>0.9964952441382614</v>
      </c>
      <c r="J6" s="103">
        <f t="shared" si="1"/>
        <v>1.5599783658544244</v>
      </c>
      <c r="K6" s="103">
        <f t="shared" si="1"/>
        <v>1.2026093622857466</v>
      </c>
      <c r="L6" s="103">
        <f t="shared" si="1"/>
        <v>1.1425922063040732</v>
      </c>
      <c r="M6" s="103">
        <f t="shared" si="1"/>
        <v>0.70857241796202597</v>
      </c>
      <c r="N6" s="103">
        <f t="shared" si="1"/>
        <v>0.38895359709273158</v>
      </c>
      <c r="O6" s="103">
        <f t="shared" si="1"/>
        <v>1.0402320702082235</v>
      </c>
      <c r="P6" s="103">
        <f t="shared" si="1"/>
        <v>0.79198091510452406</v>
      </c>
      <c r="Q6" s="103">
        <f t="shared" si="1"/>
        <v>1.1011696228977859</v>
      </c>
      <c r="R6" s="103">
        <f t="shared" si="1"/>
        <v>4.0342027134728324</v>
      </c>
      <c r="S6" s="103">
        <f t="shared" si="1"/>
        <v>0.61358105673630092</v>
      </c>
      <c r="T6" s="103">
        <f t="shared" si="1"/>
        <v>1.9323766707510179</v>
      </c>
    </row>
    <row r="7" spans="1:20" ht="19.899999999999999" customHeight="1" x14ac:dyDescent="0.25">
      <c r="A7" s="42"/>
      <c r="B7"/>
      <c r="C7" s="1"/>
      <c r="D7" s="1"/>
      <c r="E7" s="1"/>
      <c r="F7" s="1"/>
    </row>
    <row r="8" spans="1:20" ht="19.899999999999999" customHeight="1" x14ac:dyDescent="0.25">
      <c r="A8" s="89">
        <v>42984</v>
      </c>
      <c r="B8" s="45">
        <v>2465.540039</v>
      </c>
      <c r="C8" s="4">
        <v>77.629997000000003</v>
      </c>
      <c r="D8" s="4">
        <v>59.040401000000003</v>
      </c>
      <c r="E8" s="4">
        <v>47.498001000000002</v>
      </c>
      <c r="F8" s="4">
        <v>51.68</v>
      </c>
      <c r="G8" s="4">
        <v>69.800003000000004</v>
      </c>
      <c r="H8" s="4">
        <v>48.18</v>
      </c>
      <c r="I8" s="4">
        <v>77.989998</v>
      </c>
      <c r="J8" s="4">
        <v>110.854263</v>
      </c>
      <c r="K8" s="4">
        <v>78.996780000000001</v>
      </c>
      <c r="L8" s="4">
        <v>54.714694999999999</v>
      </c>
      <c r="M8" s="4">
        <v>37.549999</v>
      </c>
      <c r="N8" s="4">
        <v>33.479999999999997</v>
      </c>
      <c r="O8" s="4">
        <v>89.720000999999996</v>
      </c>
      <c r="P8" s="4">
        <v>59.170746000000001</v>
      </c>
      <c r="Q8" s="4">
        <v>42.049999</v>
      </c>
      <c r="R8" s="4">
        <v>69.136664999999994</v>
      </c>
      <c r="S8" s="4">
        <v>46.823608</v>
      </c>
      <c r="T8" s="4">
        <v>116.37262</v>
      </c>
    </row>
    <row r="9" spans="1:20" ht="19.899999999999999" customHeight="1" x14ac:dyDescent="0.25">
      <c r="A9" s="89">
        <v>42985</v>
      </c>
      <c r="B9" s="45">
        <v>2465.1000979999999</v>
      </c>
      <c r="C9" s="4">
        <v>78.650002000000001</v>
      </c>
      <c r="D9" s="4">
        <v>59.447440999999998</v>
      </c>
      <c r="E9" s="4">
        <v>48.040000999999997</v>
      </c>
      <c r="F9" s="4">
        <v>52.02</v>
      </c>
      <c r="G9" s="4">
        <v>69.930000000000007</v>
      </c>
      <c r="H9" s="4">
        <v>48.459999000000003</v>
      </c>
      <c r="I9" s="4">
        <v>78.25</v>
      </c>
      <c r="J9" s="4">
        <v>111.03293600000001</v>
      </c>
      <c r="K9" s="4">
        <v>79.612465</v>
      </c>
      <c r="L9" s="4">
        <v>55.161957000000001</v>
      </c>
      <c r="M9" s="4">
        <v>38.029998999999997</v>
      </c>
      <c r="N9" s="4">
        <v>33.599997999999999</v>
      </c>
      <c r="O9" s="4">
        <v>90.830001999999993</v>
      </c>
      <c r="P9" s="4">
        <v>59.458176000000002</v>
      </c>
      <c r="Q9" s="4">
        <v>42.650002000000001</v>
      </c>
      <c r="R9" s="4">
        <v>69.761748999999995</v>
      </c>
      <c r="S9" s="4">
        <v>47.250453999999998</v>
      </c>
      <c r="T9" s="4">
        <v>118.130135</v>
      </c>
    </row>
    <row r="10" spans="1:20" ht="19.899999999999999" customHeight="1" x14ac:dyDescent="0.25">
      <c r="A10" s="89">
        <v>42986</v>
      </c>
      <c r="B10" s="45">
        <v>2461.429932</v>
      </c>
      <c r="C10" s="4">
        <v>79.139999000000003</v>
      </c>
      <c r="D10" s="4">
        <v>59.655921999999997</v>
      </c>
      <c r="E10" s="4">
        <v>48.369999</v>
      </c>
      <c r="F10" s="4">
        <v>51.740001999999997</v>
      </c>
      <c r="G10" s="4">
        <v>70.220000999999996</v>
      </c>
      <c r="H10" s="4">
        <v>48.66</v>
      </c>
      <c r="I10" s="4">
        <v>79.239998</v>
      </c>
      <c r="J10" s="4">
        <v>112.005684</v>
      </c>
      <c r="K10" s="4">
        <v>80.178496999999993</v>
      </c>
      <c r="L10" s="4">
        <v>55.609214999999999</v>
      </c>
      <c r="M10" s="4">
        <v>38.169998</v>
      </c>
      <c r="N10" s="4">
        <v>34.130001</v>
      </c>
      <c r="O10" s="4">
        <v>91.400002000000001</v>
      </c>
      <c r="P10" s="4">
        <v>59.705959</v>
      </c>
      <c r="Q10" s="4">
        <v>42.799999</v>
      </c>
      <c r="R10" s="4">
        <v>70.089179999999999</v>
      </c>
      <c r="S10" s="4">
        <v>47.518470999999998</v>
      </c>
      <c r="T10" s="4">
        <v>118.318794</v>
      </c>
    </row>
    <row r="11" spans="1:20" ht="19.899999999999999" customHeight="1" x14ac:dyDescent="0.25">
      <c r="A11" s="89">
        <v>42989</v>
      </c>
      <c r="B11" s="45">
        <v>2488.110107</v>
      </c>
      <c r="C11" s="4">
        <v>79.139999000000003</v>
      </c>
      <c r="D11" s="4">
        <v>60.469996999999999</v>
      </c>
      <c r="E11" s="4">
        <v>48.619999</v>
      </c>
      <c r="F11" s="4">
        <v>51.560001</v>
      </c>
      <c r="G11" s="4">
        <v>70.830001999999993</v>
      </c>
      <c r="H11" s="4">
        <v>49.099997999999999</v>
      </c>
      <c r="I11" s="4">
        <v>79.919998000000007</v>
      </c>
      <c r="J11" s="4">
        <v>112.670738</v>
      </c>
      <c r="K11" s="4">
        <v>80.923278999999994</v>
      </c>
      <c r="L11" s="4">
        <v>56.006779000000002</v>
      </c>
      <c r="M11" s="4">
        <v>38.470001000000003</v>
      </c>
      <c r="N11" s="4">
        <v>34.419998</v>
      </c>
      <c r="O11" s="4">
        <v>91.879997000000003</v>
      </c>
      <c r="P11" s="4">
        <v>60.112324000000001</v>
      </c>
      <c r="Q11" s="4">
        <v>43.200001</v>
      </c>
      <c r="R11" s="4">
        <v>71.002007000000006</v>
      </c>
      <c r="S11" s="4">
        <v>47.836120999999999</v>
      </c>
      <c r="T11" s="4">
        <v>119.212433</v>
      </c>
    </row>
    <row r="12" spans="1:20" ht="19.899999999999999" customHeight="1" x14ac:dyDescent="0.25">
      <c r="A12" s="89">
        <v>42990</v>
      </c>
      <c r="B12" s="45">
        <v>2496.4799800000001</v>
      </c>
      <c r="C12" s="4">
        <v>77.75</v>
      </c>
      <c r="D12" s="4">
        <v>59.450001</v>
      </c>
      <c r="E12" s="4">
        <v>47.689999</v>
      </c>
      <c r="F12" s="4">
        <v>51.389999000000003</v>
      </c>
      <c r="G12" s="4">
        <v>69.5</v>
      </c>
      <c r="H12" s="4">
        <v>48.080002</v>
      </c>
      <c r="I12" s="4">
        <v>78.180000000000007</v>
      </c>
      <c r="J12" s="4">
        <v>110.46714799999999</v>
      </c>
      <c r="K12" s="4">
        <v>80.178496999999993</v>
      </c>
      <c r="L12" s="4">
        <v>54.963172999999998</v>
      </c>
      <c r="M12" s="4">
        <v>37.880001</v>
      </c>
      <c r="N12" s="4">
        <v>33.860000999999997</v>
      </c>
      <c r="O12" s="4">
        <v>89.870002999999997</v>
      </c>
      <c r="P12" s="4">
        <v>58.823844999999999</v>
      </c>
      <c r="Q12" s="4">
        <v>42.099997999999999</v>
      </c>
      <c r="R12" s="4">
        <v>69.612930000000006</v>
      </c>
      <c r="S12" s="4">
        <v>46.893101000000001</v>
      </c>
      <c r="T12" s="4">
        <v>117.50457</v>
      </c>
    </row>
    <row r="13" spans="1:20" ht="19.899999999999999" customHeight="1" x14ac:dyDescent="0.25">
      <c r="A13" s="89">
        <v>42991</v>
      </c>
      <c r="B13" s="45">
        <v>2498.3701169999999</v>
      </c>
      <c r="C13" s="4">
        <v>77.559997999999993</v>
      </c>
      <c r="D13" s="4">
        <v>58.889999000000003</v>
      </c>
      <c r="E13" s="4">
        <v>47.220001000000003</v>
      </c>
      <c r="F13" s="4">
        <v>51.330002</v>
      </c>
      <c r="G13" s="4">
        <v>69.480002999999996</v>
      </c>
      <c r="H13" s="4">
        <v>47.5</v>
      </c>
      <c r="I13" s="4">
        <v>78.069999999999993</v>
      </c>
      <c r="J13" s="4">
        <v>109.414986</v>
      </c>
      <c r="K13" s="4">
        <v>80.416831999999999</v>
      </c>
      <c r="L13" s="4">
        <v>54.665000999999997</v>
      </c>
      <c r="M13" s="4">
        <v>37.799999</v>
      </c>
      <c r="N13" s="4">
        <v>33.740001999999997</v>
      </c>
      <c r="O13" s="4">
        <v>89.5</v>
      </c>
      <c r="P13" s="4">
        <v>58.695003999999997</v>
      </c>
      <c r="Q13" s="4">
        <v>42.150002000000001</v>
      </c>
      <c r="R13" s="4">
        <v>69.007683</v>
      </c>
      <c r="S13" s="4">
        <v>46.535744000000001</v>
      </c>
      <c r="T13" s="4">
        <v>117.28613300000001</v>
      </c>
    </row>
    <row r="14" spans="1:20" ht="19.899999999999999" customHeight="1" x14ac:dyDescent="0.25">
      <c r="A14" s="89">
        <v>42992</v>
      </c>
      <c r="B14" s="45">
        <v>2495.6201169999999</v>
      </c>
      <c r="C14" s="4">
        <v>78.199996999999996</v>
      </c>
      <c r="D14" s="4">
        <v>59.560001</v>
      </c>
      <c r="E14" s="4">
        <v>47.419998</v>
      </c>
      <c r="F14" s="4">
        <v>51.389999000000003</v>
      </c>
      <c r="G14" s="4">
        <v>69.819999999999993</v>
      </c>
      <c r="H14" s="4">
        <v>47.889999000000003</v>
      </c>
      <c r="I14" s="4">
        <v>79.169998000000007</v>
      </c>
      <c r="J14" s="4">
        <v>110.755005</v>
      </c>
      <c r="K14" s="4">
        <v>80.466483999999994</v>
      </c>
      <c r="L14" s="4">
        <v>55.150002000000001</v>
      </c>
      <c r="M14" s="4">
        <v>38.099997999999999</v>
      </c>
      <c r="N14" s="4">
        <v>33.82</v>
      </c>
      <c r="O14" s="4">
        <v>89.959998999999996</v>
      </c>
      <c r="P14" s="4">
        <v>59.23</v>
      </c>
      <c r="Q14" s="4">
        <v>42.599997999999999</v>
      </c>
      <c r="R14" s="4">
        <v>69.543464999999998</v>
      </c>
      <c r="S14" s="4">
        <v>46.744197999999997</v>
      </c>
      <c r="T14" s="4">
        <v>118.249275</v>
      </c>
    </row>
    <row r="15" spans="1:20" ht="19.899999999999999" customHeight="1" x14ac:dyDescent="0.25">
      <c r="A15" s="89">
        <v>42993</v>
      </c>
      <c r="B15" s="45">
        <v>2500.2299800000001</v>
      </c>
      <c r="C15" s="4">
        <v>78.410004000000001</v>
      </c>
      <c r="D15" s="4">
        <v>59.810001</v>
      </c>
      <c r="E15" s="4">
        <v>47.509998000000003</v>
      </c>
      <c r="F15" s="4">
        <v>51.639999000000003</v>
      </c>
      <c r="G15" s="4">
        <v>69.629997000000003</v>
      </c>
      <c r="H15" s="4">
        <v>47.869999</v>
      </c>
      <c r="I15" s="4">
        <v>79.5</v>
      </c>
      <c r="J15" s="4">
        <v>111.449997</v>
      </c>
      <c r="K15" s="4">
        <v>80.635300000000001</v>
      </c>
      <c r="L15" s="4">
        <v>55.150002000000001</v>
      </c>
      <c r="M15" s="4">
        <v>37.610000999999997</v>
      </c>
      <c r="N15" s="4">
        <v>33.720001000000003</v>
      </c>
      <c r="O15" s="4">
        <v>90.059997999999993</v>
      </c>
      <c r="P15" s="4">
        <v>58.959999000000003</v>
      </c>
      <c r="Q15" s="4">
        <v>43</v>
      </c>
      <c r="R15" s="4">
        <v>69.731987000000004</v>
      </c>
      <c r="S15" s="4">
        <v>46.615153999999997</v>
      </c>
      <c r="T15" s="4">
        <v>118.447868</v>
      </c>
    </row>
    <row r="16" spans="1:20" ht="19.899999999999999" customHeight="1" x14ac:dyDescent="0.25">
      <c r="A16" s="89">
        <v>42996</v>
      </c>
      <c r="B16" s="45">
        <v>2503.8701169999999</v>
      </c>
      <c r="C16" s="4">
        <v>77.650002000000001</v>
      </c>
      <c r="D16" s="4">
        <v>59.25</v>
      </c>
      <c r="E16" s="4">
        <v>47.02</v>
      </c>
      <c r="F16" s="4">
        <v>51.389999000000003</v>
      </c>
      <c r="G16" s="4">
        <v>68.949996999999996</v>
      </c>
      <c r="H16" s="4">
        <v>47.630001</v>
      </c>
      <c r="I16" s="4">
        <v>78.550003000000004</v>
      </c>
      <c r="J16" s="4">
        <v>110.529999</v>
      </c>
      <c r="K16" s="4">
        <v>79.989822000000004</v>
      </c>
      <c r="L16" s="4">
        <v>54.799999</v>
      </c>
      <c r="M16" s="4">
        <v>37.400002000000001</v>
      </c>
      <c r="N16" s="4">
        <v>33.490001999999997</v>
      </c>
      <c r="O16" s="4">
        <v>89.18</v>
      </c>
      <c r="P16" s="4">
        <v>58.41</v>
      </c>
      <c r="Q16" s="4">
        <v>42.900002000000001</v>
      </c>
      <c r="R16" s="4">
        <v>69.106903000000003</v>
      </c>
      <c r="S16" s="4">
        <v>46.019562000000001</v>
      </c>
      <c r="T16" s="4">
        <v>116.829384</v>
      </c>
    </row>
    <row r="17" spans="1:20" ht="19.899999999999999" customHeight="1" x14ac:dyDescent="0.25">
      <c r="A17" s="89">
        <v>42997</v>
      </c>
      <c r="B17" s="45">
        <v>2506.6499020000001</v>
      </c>
      <c r="C17" s="4">
        <v>77.680000000000007</v>
      </c>
      <c r="D17" s="4">
        <v>59.25</v>
      </c>
      <c r="E17" s="4">
        <v>46.77</v>
      </c>
      <c r="F17" s="4">
        <v>51.529998999999997</v>
      </c>
      <c r="G17" s="4">
        <v>69</v>
      </c>
      <c r="H17" s="4">
        <v>47.389999000000003</v>
      </c>
      <c r="I17" s="4">
        <v>78.330001999999993</v>
      </c>
      <c r="J17" s="4">
        <v>110.18</v>
      </c>
      <c r="K17" s="4">
        <v>79.155663000000004</v>
      </c>
      <c r="L17" s="4">
        <v>54.849997999999999</v>
      </c>
      <c r="M17" s="4">
        <v>37.279998999999997</v>
      </c>
      <c r="N17" s="4">
        <v>33.369999</v>
      </c>
      <c r="O17" s="4">
        <v>89.110000999999997</v>
      </c>
      <c r="P17" s="4">
        <v>58.470001000000003</v>
      </c>
      <c r="Q17" s="4">
        <v>43.049999</v>
      </c>
      <c r="R17" s="4">
        <v>68.739784</v>
      </c>
      <c r="S17" s="4">
        <v>46.228015999999997</v>
      </c>
      <c r="T17" s="4">
        <v>116.74994700000001</v>
      </c>
    </row>
    <row r="18" spans="1:20" ht="19.899999999999999" customHeight="1" x14ac:dyDescent="0.25">
      <c r="A18" s="89">
        <v>42998</v>
      </c>
      <c r="B18" s="45">
        <v>2508.23999</v>
      </c>
      <c r="C18" s="4">
        <v>77.290001000000004</v>
      </c>
      <c r="D18" s="4">
        <v>58.740001999999997</v>
      </c>
      <c r="E18" s="4">
        <v>46.490001999999997</v>
      </c>
      <c r="F18" s="4">
        <v>51.43</v>
      </c>
      <c r="G18" s="4">
        <v>68.510002</v>
      </c>
      <c r="H18" s="4">
        <v>47.07</v>
      </c>
      <c r="I18" s="4">
        <v>77.620002999999997</v>
      </c>
      <c r="J18" s="4">
        <v>108.879997</v>
      </c>
      <c r="K18" s="4">
        <v>78.539969999999997</v>
      </c>
      <c r="L18" s="4">
        <v>54.400002000000001</v>
      </c>
      <c r="M18" s="4">
        <v>36.909999999999997</v>
      </c>
      <c r="N18" s="4">
        <v>33.369999</v>
      </c>
      <c r="O18" s="4">
        <v>88.599997999999999</v>
      </c>
      <c r="P18" s="4">
        <v>58.34</v>
      </c>
      <c r="Q18" s="4">
        <v>42.950001</v>
      </c>
      <c r="R18" s="4">
        <v>68.511581000000007</v>
      </c>
      <c r="S18" s="4">
        <v>45.930222000000001</v>
      </c>
      <c r="T18" s="4">
        <v>115.75700399999999</v>
      </c>
    </row>
    <row r="19" spans="1:20" ht="19.899999999999999" customHeight="1" x14ac:dyDescent="0.25">
      <c r="A19" s="89">
        <v>42999</v>
      </c>
      <c r="B19" s="45">
        <v>2500.6000979999999</v>
      </c>
      <c r="C19" s="4">
        <v>77.150002000000001</v>
      </c>
      <c r="D19" s="4">
        <v>58.810001</v>
      </c>
      <c r="E19" s="4">
        <v>46.560001</v>
      </c>
      <c r="F19" s="4">
        <v>51.299999</v>
      </c>
      <c r="G19" s="4">
        <v>68.730002999999996</v>
      </c>
      <c r="H19" s="4">
        <v>47.060001</v>
      </c>
      <c r="I19" s="4">
        <v>77.300003000000004</v>
      </c>
      <c r="J19" s="4">
        <v>109.019997</v>
      </c>
      <c r="K19" s="4">
        <v>78.112967999999995</v>
      </c>
      <c r="L19" s="4">
        <v>54.900002000000001</v>
      </c>
      <c r="M19" s="4">
        <v>37.150002000000001</v>
      </c>
      <c r="N19" s="4">
        <v>33.560001</v>
      </c>
      <c r="O19" s="4">
        <v>88.519997000000004</v>
      </c>
      <c r="P19" s="4">
        <v>58.639999000000003</v>
      </c>
      <c r="Q19" s="4">
        <v>43</v>
      </c>
      <c r="R19" s="4">
        <v>68.640563999999998</v>
      </c>
      <c r="S19" s="4">
        <v>45.959999000000003</v>
      </c>
      <c r="T19" s="4">
        <v>115.910004</v>
      </c>
    </row>
    <row r="20" spans="1:20" ht="19.899999999999999" customHeight="1" x14ac:dyDescent="0.25">
      <c r="A20" s="89">
        <v>43000</v>
      </c>
      <c r="B20" s="45">
        <v>2502.219971</v>
      </c>
      <c r="C20" s="4">
        <v>76.910004000000001</v>
      </c>
      <c r="D20" s="4">
        <v>58.509998000000003</v>
      </c>
      <c r="E20" s="4">
        <v>46.5</v>
      </c>
      <c r="F20" s="4">
        <v>51.400002000000001</v>
      </c>
      <c r="G20" s="4">
        <v>68.599997999999999</v>
      </c>
      <c r="H20" s="4">
        <v>46.470001000000003</v>
      </c>
      <c r="I20" s="4">
        <v>77.040001000000004</v>
      </c>
      <c r="J20" s="4">
        <v>108.379997</v>
      </c>
      <c r="K20" s="4">
        <v>77.735602999999998</v>
      </c>
      <c r="L20" s="4">
        <v>54.650002000000001</v>
      </c>
      <c r="M20" s="4">
        <v>37.119999</v>
      </c>
      <c r="N20" s="4">
        <v>33.479999999999997</v>
      </c>
      <c r="O20" s="4">
        <v>87.75</v>
      </c>
      <c r="P20" s="4">
        <v>57.75</v>
      </c>
      <c r="Q20" s="4">
        <v>42.799999</v>
      </c>
      <c r="R20" s="4">
        <v>68.362755000000007</v>
      </c>
      <c r="S20" s="4">
        <v>45.580002</v>
      </c>
      <c r="T20" s="4">
        <v>115.94000200000001</v>
      </c>
    </row>
    <row r="21" spans="1:20" ht="19.899999999999999" customHeight="1" x14ac:dyDescent="0.25">
      <c r="A21" s="89">
        <v>43003</v>
      </c>
      <c r="B21" s="45">
        <v>2496.6599120000001</v>
      </c>
      <c r="C21" s="4">
        <v>77.559997999999993</v>
      </c>
      <c r="D21" s="4">
        <v>59.380001</v>
      </c>
      <c r="E21" s="4">
        <v>47.099997999999999</v>
      </c>
      <c r="F21" s="4">
        <v>51.529998999999997</v>
      </c>
      <c r="G21" s="4">
        <v>69.230002999999996</v>
      </c>
      <c r="H21" s="4">
        <v>47.099997999999999</v>
      </c>
      <c r="I21" s="4">
        <v>78.019997000000004</v>
      </c>
      <c r="J21" s="4">
        <v>109.739998</v>
      </c>
      <c r="K21" s="4">
        <v>78.718718999999993</v>
      </c>
      <c r="L21" s="4">
        <v>55.299999</v>
      </c>
      <c r="M21" s="4">
        <v>37.599997999999999</v>
      </c>
      <c r="N21" s="4">
        <v>33.799999</v>
      </c>
      <c r="O21" s="4">
        <v>88.669998000000007</v>
      </c>
      <c r="P21" s="4">
        <v>57.869999</v>
      </c>
      <c r="Q21" s="4">
        <v>43.150002000000001</v>
      </c>
      <c r="R21" s="4">
        <v>68.749709999999993</v>
      </c>
      <c r="S21" s="4">
        <v>45.950001</v>
      </c>
      <c r="T21" s="4">
        <v>116.879997</v>
      </c>
    </row>
    <row r="22" spans="1:20" ht="19.899999999999999" customHeight="1" x14ac:dyDescent="0.25">
      <c r="A22" s="89">
        <v>43004</v>
      </c>
      <c r="B22" s="45">
        <v>2496.8400879999999</v>
      </c>
      <c r="C22" s="4">
        <v>77.419998000000007</v>
      </c>
      <c r="D22" s="4">
        <v>59.139999000000003</v>
      </c>
      <c r="E22" s="4">
        <v>47.139999000000003</v>
      </c>
      <c r="F22" s="4">
        <v>51.490001999999997</v>
      </c>
      <c r="G22" s="4">
        <v>68.959998999999996</v>
      </c>
      <c r="H22" s="4">
        <v>46.939999</v>
      </c>
      <c r="I22" s="4">
        <v>78.209998999999996</v>
      </c>
      <c r="J22" s="4">
        <v>109.529999</v>
      </c>
      <c r="K22" s="4">
        <v>78.599556000000007</v>
      </c>
      <c r="L22" s="4">
        <v>55.200001</v>
      </c>
      <c r="M22" s="4">
        <v>37.169998</v>
      </c>
      <c r="N22" s="4">
        <v>33.700001</v>
      </c>
      <c r="O22" s="4">
        <v>88.410004000000001</v>
      </c>
      <c r="P22" s="4">
        <v>57.779998999999997</v>
      </c>
      <c r="Q22" s="4">
        <v>43.349997999999999</v>
      </c>
      <c r="R22" s="4">
        <v>68.501655999999997</v>
      </c>
      <c r="S22" s="4">
        <v>46.060001</v>
      </c>
      <c r="T22" s="4">
        <v>116.260002</v>
      </c>
    </row>
    <row r="23" spans="1:20" ht="19.899999999999999" customHeight="1" x14ac:dyDescent="0.25">
      <c r="A23" s="89">
        <v>43005</v>
      </c>
      <c r="B23" s="45">
        <v>2507.040039</v>
      </c>
      <c r="C23" s="4">
        <v>77.699996999999996</v>
      </c>
      <c r="D23" s="4">
        <v>57.919998</v>
      </c>
      <c r="E23" s="4">
        <v>46.75</v>
      </c>
      <c r="F23" s="4">
        <v>51.540000999999997</v>
      </c>
      <c r="G23" s="4">
        <v>69.069999999999993</v>
      </c>
      <c r="H23" s="4">
        <v>46.23</v>
      </c>
      <c r="I23" s="4">
        <v>76.779999000000004</v>
      </c>
      <c r="J23" s="4">
        <v>107.239998</v>
      </c>
      <c r="K23" s="4">
        <v>77.537002999999999</v>
      </c>
      <c r="L23" s="4">
        <v>55.299999</v>
      </c>
      <c r="M23" s="4">
        <v>37.150002000000001</v>
      </c>
      <c r="N23" s="4">
        <v>33.549999</v>
      </c>
      <c r="O23" s="4">
        <v>88.349997999999999</v>
      </c>
      <c r="P23" s="4">
        <v>57.419998</v>
      </c>
      <c r="Q23" s="4">
        <v>44.049999</v>
      </c>
      <c r="R23" s="4">
        <v>67.440002000000007</v>
      </c>
      <c r="S23" s="4">
        <v>45.900002000000001</v>
      </c>
      <c r="T23" s="4">
        <v>114.5</v>
      </c>
    </row>
    <row r="24" spans="1:20" ht="19.899999999999999" customHeight="1" x14ac:dyDescent="0.25">
      <c r="A24" s="89">
        <v>43006</v>
      </c>
      <c r="B24" s="45">
        <v>2510.0600589999999</v>
      </c>
      <c r="C24" s="4">
        <v>77.839995999999999</v>
      </c>
      <c r="D24" s="4">
        <v>58.360000999999997</v>
      </c>
      <c r="E24" s="4">
        <v>47.189999</v>
      </c>
      <c r="F24" s="4">
        <v>51.619999</v>
      </c>
      <c r="G24" s="4">
        <v>69.330001999999993</v>
      </c>
      <c r="H24" s="4">
        <v>46.349997999999999</v>
      </c>
      <c r="I24" s="4">
        <v>77.029999000000004</v>
      </c>
      <c r="J24" s="4">
        <v>107.660004</v>
      </c>
      <c r="K24" s="4">
        <v>77.569999999999993</v>
      </c>
      <c r="L24" s="4">
        <v>55.599997999999999</v>
      </c>
      <c r="M24" s="4">
        <v>37.400002000000001</v>
      </c>
      <c r="N24" s="4">
        <v>33.669998</v>
      </c>
      <c r="O24" s="4">
        <v>88.580001999999993</v>
      </c>
      <c r="P24" s="4">
        <v>57.5</v>
      </c>
      <c r="Q24" s="4">
        <v>44.299999</v>
      </c>
      <c r="R24" s="4">
        <v>68.050003000000004</v>
      </c>
      <c r="S24" s="4">
        <v>46.110000999999997</v>
      </c>
      <c r="T24" s="4">
        <v>114.58000199999999</v>
      </c>
    </row>
    <row r="25" spans="1:20" ht="19.899999999999999" customHeight="1" x14ac:dyDescent="0.25">
      <c r="A25" s="89">
        <v>43007</v>
      </c>
      <c r="B25" s="45">
        <v>2519.360107</v>
      </c>
      <c r="C25" s="4">
        <v>77.290001000000004</v>
      </c>
      <c r="D25" s="4">
        <v>57.84</v>
      </c>
      <c r="E25" s="4">
        <v>47.419998</v>
      </c>
      <c r="F25" s="4">
        <v>51.77</v>
      </c>
      <c r="G25" s="4">
        <v>68.870002999999997</v>
      </c>
      <c r="H25" s="4">
        <v>46.32</v>
      </c>
      <c r="I25" s="4">
        <v>76.930000000000007</v>
      </c>
      <c r="J25" s="4">
        <v>107.360001</v>
      </c>
      <c r="K25" s="4">
        <v>77.169998000000007</v>
      </c>
      <c r="L25" s="4">
        <v>55.25</v>
      </c>
      <c r="M25" s="4">
        <v>37.669998</v>
      </c>
      <c r="N25" s="4">
        <v>33.369999</v>
      </c>
      <c r="O25" s="4">
        <v>87.93</v>
      </c>
      <c r="P25" s="4">
        <v>56.939999</v>
      </c>
      <c r="Q25" s="4">
        <v>43.349997999999999</v>
      </c>
      <c r="R25" s="4">
        <v>68.089995999999999</v>
      </c>
      <c r="S25" s="4">
        <v>45.639999000000003</v>
      </c>
      <c r="T25" s="4">
        <v>114.129997</v>
      </c>
    </row>
    <row r="26" spans="1:20" ht="19.899999999999999" customHeight="1" x14ac:dyDescent="0.25">
      <c r="A26" s="89">
        <v>43010</v>
      </c>
      <c r="B26" s="45">
        <v>2529.1201169999999</v>
      </c>
      <c r="C26" s="4">
        <v>77.819999999999993</v>
      </c>
      <c r="D26" s="4">
        <v>58.389999000000003</v>
      </c>
      <c r="E26" s="4">
        <v>47.540000999999997</v>
      </c>
      <c r="F26" s="4">
        <v>52.200001</v>
      </c>
      <c r="G26" s="4">
        <v>68.620002999999997</v>
      </c>
      <c r="H26" s="4">
        <v>46.419998</v>
      </c>
      <c r="I26" s="4">
        <v>76.739998</v>
      </c>
      <c r="J26" s="4">
        <v>107.370003</v>
      </c>
      <c r="K26" s="4">
        <v>77</v>
      </c>
      <c r="L26" s="4">
        <v>56.049999</v>
      </c>
      <c r="M26" s="4">
        <v>38.139999000000003</v>
      </c>
      <c r="N26" s="4">
        <v>33.639999000000003</v>
      </c>
      <c r="O26" s="4">
        <v>88.779999000000004</v>
      </c>
      <c r="P26" s="4">
        <v>57.27</v>
      </c>
      <c r="Q26" s="4">
        <v>44.450001</v>
      </c>
      <c r="R26" s="4">
        <v>68.129997000000003</v>
      </c>
      <c r="S26" s="4">
        <v>46.099997999999999</v>
      </c>
      <c r="T26" s="4">
        <v>113.980003</v>
      </c>
    </row>
    <row r="27" spans="1:20" ht="19.899999999999999" customHeight="1" x14ac:dyDescent="0.25">
      <c r="A27" s="89">
        <v>43011</v>
      </c>
      <c r="B27" s="45">
        <v>2534.580078</v>
      </c>
      <c r="C27" s="4">
        <v>77.550003000000004</v>
      </c>
      <c r="D27" s="4">
        <v>57.93</v>
      </c>
      <c r="E27" s="4">
        <v>47.48</v>
      </c>
      <c r="F27" s="4">
        <v>52.18</v>
      </c>
      <c r="G27" s="4">
        <v>69.080001999999993</v>
      </c>
      <c r="H27" s="4">
        <v>45.970001000000003</v>
      </c>
      <c r="I27" s="4">
        <v>75.949996999999996</v>
      </c>
      <c r="J27" s="4">
        <v>106.599998</v>
      </c>
      <c r="K27" s="4">
        <v>77.010002</v>
      </c>
      <c r="L27" s="4">
        <v>56.150002000000001</v>
      </c>
      <c r="M27" s="4">
        <v>37.840000000000003</v>
      </c>
      <c r="N27" s="4">
        <v>33.639999000000003</v>
      </c>
      <c r="O27" s="4">
        <v>88.419998000000007</v>
      </c>
      <c r="P27" s="4">
        <v>57.299999</v>
      </c>
      <c r="Q27" s="4">
        <v>44.349997999999999</v>
      </c>
      <c r="R27" s="4">
        <v>68.309997999999993</v>
      </c>
      <c r="S27" s="4">
        <v>46.119999</v>
      </c>
      <c r="T27" s="4">
        <v>113.870003</v>
      </c>
    </row>
    <row r="28" spans="1:20" ht="19.899999999999999" customHeight="1" x14ac:dyDescent="0.25">
      <c r="A28" s="89">
        <v>43012</v>
      </c>
      <c r="B28" s="45">
        <v>2537.73999</v>
      </c>
      <c r="C28" s="4">
        <v>78.489998</v>
      </c>
      <c r="D28" s="4">
        <v>58.549999</v>
      </c>
      <c r="E28" s="4">
        <v>47.939999</v>
      </c>
      <c r="F28" s="4">
        <v>52.16</v>
      </c>
      <c r="G28" s="4">
        <v>69.730002999999996</v>
      </c>
      <c r="H28" s="4">
        <v>46.490001999999997</v>
      </c>
      <c r="I28" s="4">
        <v>76.870002999999997</v>
      </c>
      <c r="J28" s="4">
        <v>107.550003</v>
      </c>
      <c r="K28" s="4">
        <v>77.849997999999999</v>
      </c>
      <c r="L28" s="4">
        <v>56.700001</v>
      </c>
      <c r="M28" s="4">
        <v>38.189999</v>
      </c>
      <c r="N28" s="4">
        <v>33.82</v>
      </c>
      <c r="O28" s="4">
        <v>89.150002000000001</v>
      </c>
      <c r="P28" s="4">
        <v>57.66</v>
      </c>
      <c r="Q28" s="4">
        <v>44.75</v>
      </c>
      <c r="R28" s="4">
        <v>69.199996999999996</v>
      </c>
      <c r="S28" s="4">
        <v>46.48</v>
      </c>
      <c r="T28" s="4">
        <v>114.55999799999999</v>
      </c>
    </row>
    <row r="29" spans="1:20" s="39" customFormat="1" ht="19.899999999999999" customHeight="1" x14ac:dyDescent="0.25">
      <c r="A29" s="89">
        <v>43013</v>
      </c>
      <c r="B29" s="45">
        <v>2552.070068</v>
      </c>
      <c r="C29" s="4">
        <v>78.489998</v>
      </c>
      <c r="D29" s="4">
        <v>58.84</v>
      </c>
      <c r="E29" s="4">
        <v>48.310001</v>
      </c>
      <c r="F29" s="4">
        <v>52.049999</v>
      </c>
      <c r="G29" s="4">
        <v>69.150002000000001</v>
      </c>
      <c r="H29" s="4">
        <v>46.529998999999997</v>
      </c>
      <c r="I29" s="4">
        <v>76.809997999999993</v>
      </c>
      <c r="J29" s="4">
        <v>107.75</v>
      </c>
      <c r="K29" s="4">
        <v>77.680000000000007</v>
      </c>
      <c r="L29" s="4">
        <v>56.75</v>
      </c>
      <c r="M29" s="4">
        <v>38.349997999999999</v>
      </c>
      <c r="N29" s="4">
        <v>33.779998999999997</v>
      </c>
      <c r="O29" s="4">
        <v>88.690002000000007</v>
      </c>
      <c r="P29" s="4">
        <v>57.73</v>
      </c>
      <c r="Q29" s="4">
        <v>44.849997999999999</v>
      </c>
      <c r="R29" s="4">
        <v>69.069999999999993</v>
      </c>
      <c r="S29" s="4">
        <v>46.310001</v>
      </c>
      <c r="T29" s="4">
        <v>112.019997</v>
      </c>
    </row>
    <row r="30" spans="1:20" s="85" customFormat="1" ht="19.899999999999999" customHeight="1" x14ac:dyDescent="0.25">
      <c r="A30" s="89">
        <v>43014</v>
      </c>
      <c r="B30" s="45">
        <v>2549.330078</v>
      </c>
      <c r="C30" s="4">
        <v>78.309997999999993</v>
      </c>
      <c r="D30" s="4">
        <v>58.779998999999997</v>
      </c>
      <c r="E30" s="4">
        <v>47.639999000000003</v>
      </c>
      <c r="F30" s="4">
        <v>52.02</v>
      </c>
      <c r="G30" s="4">
        <v>67.080001999999993</v>
      </c>
      <c r="H30" s="4">
        <v>46.299999</v>
      </c>
      <c r="I30" s="4">
        <v>76.809997999999993</v>
      </c>
      <c r="J30" s="4">
        <v>107.68</v>
      </c>
      <c r="K30" s="4">
        <v>77.620002999999997</v>
      </c>
      <c r="L30" s="4">
        <v>56.849997999999999</v>
      </c>
      <c r="M30" s="4">
        <v>38.150002000000001</v>
      </c>
      <c r="N30" s="4">
        <v>33.900002000000001</v>
      </c>
      <c r="O30" s="4">
        <v>88.440002000000007</v>
      </c>
      <c r="P30" s="4">
        <v>57.369999</v>
      </c>
      <c r="Q30" s="4">
        <v>44.799999</v>
      </c>
      <c r="R30" s="4">
        <v>68.839995999999999</v>
      </c>
      <c r="S30" s="4">
        <v>46.07</v>
      </c>
      <c r="T30" s="4">
        <v>111.949997</v>
      </c>
    </row>
    <row r="31" spans="1:20" s="85" customFormat="1" ht="19.899999999999999" customHeight="1" x14ac:dyDescent="0.25">
      <c r="A31" s="89">
        <v>43017</v>
      </c>
      <c r="B31" s="45">
        <v>2544.7299800000001</v>
      </c>
      <c r="C31" s="4">
        <v>78.080001999999993</v>
      </c>
      <c r="D31" s="4">
        <v>59.150002000000001</v>
      </c>
      <c r="E31" s="4">
        <v>47.380001</v>
      </c>
      <c r="F31" s="4">
        <v>52.200001</v>
      </c>
      <c r="G31" s="4">
        <v>67.089995999999999</v>
      </c>
      <c r="H31" s="4">
        <v>46.48</v>
      </c>
      <c r="I31" s="4">
        <v>76.639999000000003</v>
      </c>
      <c r="J31" s="4">
        <v>107.93</v>
      </c>
      <c r="K31" s="4">
        <v>77.550003000000004</v>
      </c>
      <c r="L31" s="4">
        <v>57.049999</v>
      </c>
      <c r="M31" s="4">
        <v>38.040000999999997</v>
      </c>
      <c r="N31" s="4">
        <v>33.799999</v>
      </c>
      <c r="O31" s="4">
        <v>88.379997000000003</v>
      </c>
      <c r="P31" s="4">
        <v>57.439999</v>
      </c>
      <c r="Q31" s="4">
        <v>44.400002000000001</v>
      </c>
      <c r="R31" s="4">
        <v>68.650002000000001</v>
      </c>
      <c r="S31" s="4">
        <v>46.049999</v>
      </c>
      <c r="T31" s="4">
        <v>112.629997</v>
      </c>
    </row>
    <row r="32" spans="1:20" s="85" customFormat="1" ht="19.899999999999999" customHeight="1" x14ac:dyDescent="0.25">
      <c r="A32" s="89">
        <v>43018</v>
      </c>
      <c r="B32" s="45">
        <v>2550.639893</v>
      </c>
      <c r="C32" s="4">
        <v>78.809997999999993</v>
      </c>
      <c r="D32" s="4">
        <v>59.860000999999997</v>
      </c>
      <c r="E32" s="4">
        <v>47.880001</v>
      </c>
      <c r="F32" s="4">
        <v>52.349997999999999</v>
      </c>
      <c r="G32" s="4">
        <v>68.040001000000004</v>
      </c>
      <c r="H32" s="4">
        <v>47</v>
      </c>
      <c r="I32" s="4">
        <v>77.739998</v>
      </c>
      <c r="J32" s="4">
        <v>109.290001</v>
      </c>
      <c r="K32" s="4">
        <v>78.540001000000004</v>
      </c>
      <c r="L32" s="4">
        <v>57.650002000000001</v>
      </c>
      <c r="M32" s="4">
        <v>38.299999</v>
      </c>
      <c r="N32" s="4">
        <v>34.07</v>
      </c>
      <c r="O32" s="4">
        <v>89.25</v>
      </c>
      <c r="P32" s="4">
        <v>57.91</v>
      </c>
      <c r="Q32" s="4">
        <v>45.200001</v>
      </c>
      <c r="R32" s="4">
        <v>69.190002000000007</v>
      </c>
      <c r="S32" s="4">
        <v>46.580002</v>
      </c>
      <c r="T32" s="4">
        <v>113.80999799999999</v>
      </c>
    </row>
    <row r="33" spans="1:20" s="85" customFormat="1" ht="19.899999999999999" customHeight="1" x14ac:dyDescent="0.25">
      <c r="A33" s="89">
        <v>43019</v>
      </c>
      <c r="B33" s="45">
        <v>2555.23999</v>
      </c>
      <c r="C33" s="4">
        <v>79.059997999999993</v>
      </c>
      <c r="D33" s="4">
        <v>59.779998999999997</v>
      </c>
      <c r="E33" s="4">
        <v>48.25</v>
      </c>
      <c r="F33" s="4">
        <v>52.240001999999997</v>
      </c>
      <c r="G33" s="4">
        <v>68</v>
      </c>
      <c r="H33" s="4">
        <v>47.349997999999999</v>
      </c>
      <c r="I33" s="4">
        <v>78.010002</v>
      </c>
      <c r="J33" s="4">
        <v>109.699997</v>
      </c>
      <c r="K33" s="4">
        <v>78.419998000000007</v>
      </c>
      <c r="L33" s="4">
        <v>57.849997999999999</v>
      </c>
      <c r="M33" s="4">
        <v>38.459999000000003</v>
      </c>
      <c r="N33" s="4">
        <v>34.279998999999997</v>
      </c>
      <c r="O33" s="4">
        <v>89.540001000000004</v>
      </c>
      <c r="P33" s="4">
        <v>58</v>
      </c>
      <c r="Q33" s="4">
        <v>45.25</v>
      </c>
      <c r="R33" s="4">
        <v>69.150002000000001</v>
      </c>
      <c r="S33" s="4">
        <v>46.700001</v>
      </c>
      <c r="T33" s="4">
        <v>114.94000200000001</v>
      </c>
    </row>
    <row r="34" spans="1:20" s="85" customFormat="1" ht="19.899999999999999" customHeight="1" x14ac:dyDescent="0.25">
      <c r="A34" s="89">
        <v>43020</v>
      </c>
      <c r="B34" s="45">
        <v>2550.929932</v>
      </c>
      <c r="C34" s="4">
        <v>78.809997999999993</v>
      </c>
      <c r="D34" s="4">
        <v>60.34</v>
      </c>
      <c r="E34" s="4">
        <v>48.389999000000003</v>
      </c>
      <c r="F34" s="4">
        <v>52.23</v>
      </c>
      <c r="G34" s="4">
        <v>68.419998000000007</v>
      </c>
      <c r="H34" s="4">
        <v>47.720001000000003</v>
      </c>
      <c r="I34" s="4">
        <v>78.629997000000003</v>
      </c>
      <c r="J34" s="4">
        <v>110.66999800000001</v>
      </c>
      <c r="K34" s="4">
        <v>79.660004000000001</v>
      </c>
      <c r="L34" s="4">
        <v>58.200001</v>
      </c>
      <c r="M34" s="4">
        <v>38.939999</v>
      </c>
      <c r="N34" s="4">
        <v>34.349997999999999</v>
      </c>
      <c r="O34" s="4">
        <v>90.669998000000007</v>
      </c>
      <c r="P34" s="4">
        <v>58.66</v>
      </c>
      <c r="Q34" s="4">
        <v>45.450001</v>
      </c>
      <c r="R34" s="4">
        <v>64.5</v>
      </c>
      <c r="S34" s="4">
        <v>46.59</v>
      </c>
      <c r="T34" s="4">
        <v>115.959999</v>
      </c>
    </row>
    <row r="35" spans="1:20" s="85" customFormat="1" ht="19.899999999999999" customHeight="1" x14ac:dyDescent="0.25">
      <c r="A35" s="89">
        <v>43021</v>
      </c>
      <c r="B35" s="45">
        <v>2553.169922</v>
      </c>
      <c r="C35" s="4">
        <v>78.379997000000003</v>
      </c>
      <c r="D35" s="4">
        <v>60.41</v>
      </c>
      <c r="E35" s="4">
        <v>47.990001999999997</v>
      </c>
      <c r="F35" s="4">
        <v>52.23</v>
      </c>
      <c r="G35" s="4">
        <v>67.669998000000007</v>
      </c>
      <c r="H35" s="4">
        <v>47.540000999999997</v>
      </c>
      <c r="I35" s="4">
        <v>78.620002999999997</v>
      </c>
      <c r="J35" s="4">
        <v>109.889999</v>
      </c>
      <c r="K35" s="4">
        <v>77.989998</v>
      </c>
      <c r="L35" s="4">
        <v>58.099997999999999</v>
      </c>
      <c r="M35" s="4">
        <v>39.240001999999997</v>
      </c>
      <c r="N35" s="4">
        <v>34.330002</v>
      </c>
      <c r="O35" s="4">
        <v>90.339995999999999</v>
      </c>
      <c r="P35" s="4">
        <v>58.439999</v>
      </c>
      <c r="Q35" s="4">
        <v>45.299999</v>
      </c>
      <c r="R35" s="4">
        <v>57.720001000000003</v>
      </c>
      <c r="S35" s="4">
        <v>46.25</v>
      </c>
      <c r="T35" s="4">
        <v>114.870003</v>
      </c>
    </row>
    <row r="36" spans="1:20" s="85" customFormat="1" ht="19.899999999999999" customHeight="1" x14ac:dyDescent="0.25">
      <c r="A36" s="89">
        <v>43024</v>
      </c>
      <c r="B36" s="45">
        <v>2557.639893</v>
      </c>
      <c r="C36" s="4">
        <v>78.010002</v>
      </c>
      <c r="D36" s="4">
        <v>60.639999000000003</v>
      </c>
      <c r="E36" s="4">
        <v>47.779998999999997</v>
      </c>
      <c r="F36" s="4">
        <v>52.009998000000003</v>
      </c>
      <c r="G36" s="4">
        <v>67.690002000000007</v>
      </c>
      <c r="H36" s="4">
        <v>47.41</v>
      </c>
      <c r="I36" s="4">
        <v>79.029999000000004</v>
      </c>
      <c r="J36" s="4">
        <v>109.629997</v>
      </c>
      <c r="K36" s="4">
        <v>77.639999000000003</v>
      </c>
      <c r="L36" s="4">
        <v>57</v>
      </c>
      <c r="M36" s="4">
        <v>39.669998</v>
      </c>
      <c r="N36" s="4">
        <v>34.669998</v>
      </c>
      <c r="O36" s="4">
        <v>90.18</v>
      </c>
      <c r="P36" s="4">
        <v>58.5</v>
      </c>
      <c r="Q36" s="4">
        <v>45.099997999999999</v>
      </c>
      <c r="R36" s="4">
        <v>53.43</v>
      </c>
      <c r="S36" s="4">
        <v>44.77</v>
      </c>
      <c r="T36" s="4">
        <v>114.459999</v>
      </c>
    </row>
    <row r="37" spans="1:20" s="85" customFormat="1" ht="19.899999999999999" customHeight="1" x14ac:dyDescent="0.25">
      <c r="A37" s="89">
        <v>43025</v>
      </c>
      <c r="B37" s="45">
        <v>2559.360107</v>
      </c>
      <c r="C37" s="4">
        <v>78.779999000000004</v>
      </c>
      <c r="D37" s="4">
        <v>60.950001</v>
      </c>
      <c r="E37" s="4">
        <v>48.110000999999997</v>
      </c>
      <c r="F37" s="4">
        <v>51.990001999999997</v>
      </c>
      <c r="G37" s="4">
        <v>67.599997999999999</v>
      </c>
      <c r="H37" s="4">
        <v>47.810001</v>
      </c>
      <c r="I37" s="4">
        <v>78.959998999999996</v>
      </c>
      <c r="J37" s="4">
        <v>110.160004</v>
      </c>
      <c r="K37" s="4">
        <v>77.599997999999999</v>
      </c>
      <c r="L37" s="4">
        <v>57.150002000000001</v>
      </c>
      <c r="M37" s="4">
        <v>39.599997999999999</v>
      </c>
      <c r="N37" s="4">
        <v>34.889999000000003</v>
      </c>
      <c r="O37" s="4">
        <v>90.589995999999999</v>
      </c>
      <c r="P37" s="4">
        <v>58.630001</v>
      </c>
      <c r="Q37" s="4">
        <v>45.25</v>
      </c>
      <c r="R37" s="4">
        <v>57.439999</v>
      </c>
      <c r="S37" s="4">
        <v>45.5</v>
      </c>
      <c r="T37" s="4">
        <v>114.040001</v>
      </c>
    </row>
    <row r="38" spans="1:20" s="85" customFormat="1" x14ac:dyDescent="0.25">
      <c r="A38" s="148"/>
      <c r="B38" s="148"/>
      <c r="C38" s="43"/>
      <c r="D38" s="93"/>
      <c r="E38" s="43"/>
      <c r="F38" s="43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 s="134" customFormat="1" x14ac:dyDescent="0.25">
      <c r="A39" s="149"/>
      <c r="B39" s="149"/>
      <c r="C39" s="81"/>
      <c r="D39" s="94"/>
      <c r="E39" s="81"/>
      <c r="F39" s="81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25">
      <c r="A40" s="7"/>
      <c r="B40" s="7"/>
    </row>
    <row r="41" spans="1:20" s="150" customFormat="1" ht="14.45" customHeight="1" x14ac:dyDescent="0.2">
      <c r="A41" s="407" t="s">
        <v>121</v>
      </c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</row>
    <row r="42" spans="1:20" x14ac:dyDescent="0.25">
      <c r="A42" s="7"/>
      <c r="B42" s="7"/>
    </row>
    <row r="43" spans="1:20" x14ac:dyDescent="0.25">
      <c r="A43" s="7"/>
      <c r="B43" s="7"/>
    </row>
    <row r="44" spans="1:20" x14ac:dyDescent="0.25">
      <c r="A44" s="7"/>
      <c r="B44" s="7"/>
    </row>
    <row r="45" spans="1:20" x14ac:dyDescent="0.25">
      <c r="A45" s="7"/>
      <c r="B45" s="7"/>
    </row>
    <row r="46" spans="1:20" x14ac:dyDescent="0.25">
      <c r="A46" s="7"/>
      <c r="B46" s="7"/>
    </row>
    <row r="47" spans="1:20" x14ac:dyDescent="0.25">
      <c r="A47" s="7"/>
      <c r="B47" s="7"/>
    </row>
    <row r="48" spans="1:20" x14ac:dyDescent="0.25">
      <c r="A48" s="7"/>
      <c r="B48" s="7"/>
    </row>
    <row r="49" spans="1:2" x14ac:dyDescent="0.25">
      <c r="A49" s="7"/>
      <c r="B49" s="7"/>
    </row>
  </sheetData>
  <mergeCells count="1">
    <mergeCell ref="A41:T41"/>
  </mergeCells>
  <printOptions horizontalCentered="1"/>
  <pageMargins left="0.7" right="0.7" top="0.75" bottom="0.75" header="0.3" footer="0.3"/>
  <pageSetup scale="66" orientation="landscape" r:id="rId1"/>
  <headerFooter scaleWithDoc="0">
    <oddHeader>&amp;C&amp;"-,Bold"&amp;14Stock and Index Prices&amp;RExhibit DJG-4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I34"/>
  <sheetViews>
    <sheetView topLeftCell="A4" zoomScaleNormal="100" workbookViewId="0">
      <selection activeCell="G18" sqref="G18"/>
    </sheetView>
  </sheetViews>
  <sheetFormatPr defaultColWidth="8.85546875" defaultRowHeight="15" x14ac:dyDescent="0.25"/>
  <cols>
    <col min="1" max="1" width="30.28515625" style="87" customWidth="1"/>
    <col min="2" max="2" width="2.7109375" style="92" customWidth="1"/>
    <col min="3" max="3" width="6.7109375" style="87" customWidth="1"/>
    <col min="4" max="4" width="2.7109375" style="92" customWidth="1"/>
    <col min="5" max="5" width="11.7109375" style="87" customWidth="1"/>
    <col min="6" max="6" width="2.7109375" style="92" customWidth="1"/>
    <col min="7" max="7" width="11.7109375" style="87" customWidth="1"/>
    <col min="8" max="8" width="2.7109375" style="92" customWidth="1"/>
    <col min="9" max="9" width="11.7109375" style="87" customWidth="1"/>
    <col min="10" max="16384" width="8.85546875" style="87"/>
  </cols>
  <sheetData>
    <row r="1" spans="1:9" ht="18.75" x14ac:dyDescent="0.3">
      <c r="A1" s="409"/>
      <c r="B1" s="409"/>
      <c r="C1" s="409"/>
      <c r="D1" s="409"/>
      <c r="E1" s="409"/>
      <c r="F1" s="409"/>
      <c r="G1" s="409"/>
      <c r="H1" s="409"/>
      <c r="I1" s="409"/>
    </row>
    <row r="3" spans="1:9" ht="19.899999999999999" customHeight="1" x14ac:dyDescent="0.25">
      <c r="E3" s="94" t="s">
        <v>3</v>
      </c>
      <c r="F3" s="94"/>
      <c r="G3" s="94" t="s">
        <v>4</v>
      </c>
      <c r="H3" s="94"/>
      <c r="I3" s="94" t="s">
        <v>5</v>
      </c>
    </row>
    <row r="4" spans="1:9" s="92" customFormat="1" ht="19.899999999999999" customHeight="1" x14ac:dyDescent="0.25">
      <c r="E4" s="94"/>
      <c r="F4" s="94"/>
      <c r="G4" s="94"/>
      <c r="H4" s="94"/>
      <c r="I4" s="94"/>
    </row>
    <row r="5" spans="1:9" ht="19.899999999999999" customHeight="1" x14ac:dyDescent="0.25">
      <c r="A5" s="27"/>
      <c r="B5" s="27"/>
      <c r="C5" s="94"/>
      <c r="D5" s="94"/>
      <c r="E5" s="91"/>
      <c r="F5" s="91"/>
      <c r="G5" s="91" t="s">
        <v>131</v>
      </c>
      <c r="H5" s="91"/>
      <c r="I5" s="91" t="s">
        <v>70</v>
      </c>
    </row>
    <row r="6" spans="1:9" ht="19.899999999999999" customHeight="1" x14ac:dyDescent="0.25">
      <c r="A6" s="93" t="s">
        <v>0</v>
      </c>
      <c r="B6" s="94"/>
      <c r="C6" s="93" t="s">
        <v>1</v>
      </c>
      <c r="D6" s="94"/>
      <c r="E6" s="5" t="s">
        <v>70</v>
      </c>
      <c r="F6" s="6"/>
      <c r="G6" s="5" t="s">
        <v>2</v>
      </c>
      <c r="H6" s="6"/>
      <c r="I6" s="5" t="s">
        <v>130</v>
      </c>
    </row>
    <row r="7" spans="1:9" ht="19.899999999999999" customHeight="1" x14ac:dyDescent="0.25">
      <c r="A7" s="88"/>
      <c r="B7" s="94"/>
      <c r="C7" s="88"/>
      <c r="D7" s="94"/>
      <c r="E7" s="6"/>
      <c r="F7" s="6"/>
      <c r="G7" s="6"/>
      <c r="H7" s="6"/>
      <c r="I7" s="6"/>
    </row>
    <row r="8" spans="1:9" ht="19.899999999999999" customHeight="1" x14ac:dyDescent="0.25">
      <c r="A8" s="87" t="str">
        <f>'3 Proxy Sum'!A6</f>
        <v>ALLETE</v>
      </c>
      <c r="C8" s="90" t="str">
        <f>'3 Proxy Sum'!C6</f>
        <v>ALE</v>
      </c>
      <c r="D8" s="91"/>
      <c r="E8" s="230">
        <v>0.53500000000000003</v>
      </c>
      <c r="F8" s="196"/>
      <c r="G8" s="195">
        <f>'4 Stock Price'!C5</f>
        <v>78.05199953333333</v>
      </c>
      <c r="H8" s="9"/>
      <c r="I8" s="46">
        <f>E8/G8</f>
        <v>6.8544047967857621E-3</v>
      </c>
    </row>
    <row r="9" spans="1:9" ht="19.899999999999999" customHeight="1" x14ac:dyDescent="0.25">
      <c r="A9" s="283" t="str">
        <f>'3 Proxy Sum'!A7</f>
        <v>Ameren Corp.</v>
      </c>
      <c r="C9" s="90" t="str">
        <f>'3 Proxy Sum'!C7</f>
        <v>AEE</v>
      </c>
      <c r="D9" s="91"/>
      <c r="E9" s="231">
        <v>0.44</v>
      </c>
      <c r="F9" s="197"/>
      <c r="G9" s="195">
        <f>'4 Stock Price'!D5</f>
        <v>59.238125400000008</v>
      </c>
      <c r="H9" s="9"/>
      <c r="I9" s="46">
        <f t="shared" ref="I9:I25" si="0">E9/G9</f>
        <v>7.4276489512276151E-3</v>
      </c>
    </row>
    <row r="10" spans="1:9" ht="19.899999999999999" customHeight="1" x14ac:dyDescent="0.25">
      <c r="A10" s="283" t="str">
        <f>'3 Proxy Sum'!A8</f>
        <v>Avangrid, Inc.</v>
      </c>
      <c r="C10" s="90" t="str">
        <f>'3 Proxy Sum'!C8</f>
        <v>AGR</v>
      </c>
      <c r="D10" s="91"/>
      <c r="E10" s="230">
        <v>0.432</v>
      </c>
      <c r="F10" s="196"/>
      <c r="G10" s="195">
        <f>'4 Stock Price'!E5</f>
        <v>47.533266533333332</v>
      </c>
      <c r="H10" s="9"/>
      <c r="I10" s="46">
        <f t="shared" si="0"/>
        <v>9.0883718184411807E-3</v>
      </c>
    </row>
    <row r="11" spans="1:9" ht="19.899999999999999" customHeight="1" x14ac:dyDescent="0.25">
      <c r="A11" s="283" t="str">
        <f>'3 Proxy Sum'!A9</f>
        <v>Avista Corp.</v>
      </c>
      <c r="B11" s="27"/>
      <c r="C11" s="90" t="str">
        <f>'3 Proxy Sum'!C9</f>
        <v>AVA</v>
      </c>
      <c r="D11" s="91"/>
      <c r="E11" s="230">
        <v>0.35699999999999998</v>
      </c>
      <c r="F11" s="196"/>
      <c r="G11" s="195">
        <f>'4 Stock Price'!F5</f>
        <v>51.787000099999993</v>
      </c>
      <c r="H11" s="9"/>
      <c r="I11" s="46">
        <f t="shared" si="0"/>
        <v>6.8936219381435081E-3</v>
      </c>
    </row>
    <row r="12" spans="1:9" ht="19.899999999999999" customHeight="1" x14ac:dyDescent="0.25">
      <c r="A12" s="283" t="str">
        <f>'3 Proxy Sum'!A10</f>
        <v>Black Hills</v>
      </c>
      <c r="B12" s="27"/>
      <c r="C12" s="90" t="str">
        <f>'3 Proxy Sum'!C10</f>
        <v>BKH</v>
      </c>
      <c r="D12" s="91"/>
      <c r="E12" s="230">
        <v>0.44500000000000001</v>
      </c>
      <c r="F12" s="196"/>
      <c r="G12" s="195">
        <f>'4 Stock Price'!G5</f>
        <v>68.887667266666668</v>
      </c>
      <c r="H12" s="9"/>
      <c r="I12" s="46">
        <f t="shared" si="0"/>
        <v>6.4597919723045462E-3</v>
      </c>
    </row>
    <row r="13" spans="1:9" ht="19.899999999999999" customHeight="1" x14ac:dyDescent="0.25">
      <c r="A13" s="283" t="str">
        <f>'3 Proxy Sum'!A11</f>
        <v>CMS Energy Corp.</v>
      </c>
      <c r="B13" s="27"/>
      <c r="C13" s="90" t="str">
        <f>'3 Proxy Sum'!C11</f>
        <v>CMS</v>
      </c>
      <c r="D13" s="91"/>
      <c r="E13" s="230">
        <v>0.33300000000000002</v>
      </c>
      <c r="F13" s="196"/>
      <c r="G13" s="195">
        <f>'4 Stock Price'!H5</f>
        <v>47.243999800000012</v>
      </c>
      <c r="H13" s="9"/>
      <c r="I13" s="46">
        <f t="shared" si="0"/>
        <v>7.0485141268669619E-3</v>
      </c>
    </row>
    <row r="14" spans="1:9" ht="19.899999999999999" customHeight="1" x14ac:dyDescent="0.25">
      <c r="A14" s="283" t="str">
        <f>'3 Proxy Sum'!A12</f>
        <v>Dominion Energy</v>
      </c>
      <c r="B14" s="27"/>
      <c r="C14" s="90" t="str">
        <f>'3 Proxy Sum'!C12</f>
        <v>D</v>
      </c>
      <c r="D14" s="91"/>
      <c r="E14" s="230">
        <v>0.755</v>
      </c>
      <c r="F14" s="196"/>
      <c r="G14" s="195">
        <f>'4 Stock Price'!I5</f>
        <v>77.897999633333328</v>
      </c>
      <c r="H14" s="9"/>
      <c r="I14" s="46">
        <f t="shared" si="0"/>
        <v>9.6921615902050458E-3</v>
      </c>
    </row>
    <row r="15" spans="1:9" ht="19.899999999999999" customHeight="1" x14ac:dyDescent="0.25">
      <c r="A15" s="283" t="str">
        <f>'3 Proxy Sum'!A13</f>
        <v>DTE Energy Co.</v>
      </c>
      <c r="B15" s="27"/>
      <c r="C15" s="90" t="str">
        <f>'3 Proxy Sum'!C13</f>
        <v>DTE</v>
      </c>
      <c r="D15" s="91"/>
      <c r="E15" s="230">
        <v>0.82499999999999996</v>
      </c>
      <c r="F15" s="196"/>
      <c r="G15" s="195">
        <f>'4 Stock Price'!J5</f>
        <v>109.37969156666665</v>
      </c>
      <c r="H15" s="9"/>
      <c r="I15" s="46">
        <f t="shared" si="0"/>
        <v>7.5425336109780899E-3</v>
      </c>
    </row>
    <row r="16" spans="1:9" ht="19.899999999999999" customHeight="1" x14ac:dyDescent="0.25">
      <c r="A16" s="283" t="str">
        <f>'3 Proxy Sum'!A14</f>
        <v>Edison International</v>
      </c>
      <c r="B16" s="27"/>
      <c r="C16" s="90" t="str">
        <f>'3 Proxy Sum'!C14</f>
        <v>EIX</v>
      </c>
      <c r="D16" s="91"/>
      <c r="E16" s="230">
        <v>0.54300000000000004</v>
      </c>
      <c r="F16" s="196"/>
      <c r="G16" s="195">
        <f>'4 Stock Price'!K5</f>
        <v>78.636581333333353</v>
      </c>
      <c r="H16" s="9"/>
      <c r="I16" s="46">
        <f t="shared" si="0"/>
        <v>6.9051831958242462E-3</v>
      </c>
    </row>
    <row r="17" spans="1:9" ht="19.899999999999999" customHeight="1" x14ac:dyDescent="0.25">
      <c r="A17" s="283" t="str">
        <f>'3 Proxy Sum'!A15</f>
        <v>El Paso Electric</v>
      </c>
      <c r="B17" s="27"/>
      <c r="C17" s="90" t="str">
        <f>'3 Proxy Sum'!C15</f>
        <v>EE</v>
      </c>
      <c r="D17" s="91"/>
      <c r="E17" s="230">
        <v>0.33500000000000002</v>
      </c>
      <c r="F17" s="196"/>
      <c r="G17" s="195">
        <f>'4 Stock Price'!L5</f>
        <v>55.905694133333327</v>
      </c>
      <c r="H17" s="9"/>
      <c r="I17" s="46">
        <f t="shared" si="0"/>
        <v>5.9922339789044658E-3</v>
      </c>
    </row>
    <row r="18" spans="1:9" ht="19.899999999999999" customHeight="1" x14ac:dyDescent="0.25">
      <c r="A18" s="283" t="str">
        <f>'3 Proxy Sum'!A16</f>
        <v>Exelon Corp.</v>
      </c>
      <c r="B18" s="27"/>
      <c r="C18" s="90" t="str">
        <f>'3 Proxy Sum'!C16</f>
        <v>EXC</v>
      </c>
      <c r="D18" s="91"/>
      <c r="E18" s="230">
        <v>0.32700000000000001</v>
      </c>
      <c r="F18" s="196"/>
      <c r="G18" s="195">
        <f>'4 Stock Price'!M5</f>
        <v>37.979332999999997</v>
      </c>
      <c r="H18" s="9"/>
      <c r="I18" s="46">
        <f t="shared" si="0"/>
        <v>8.6099458355416627E-3</v>
      </c>
    </row>
    <row r="19" spans="1:9" ht="19.899999999999999" customHeight="1" x14ac:dyDescent="0.25">
      <c r="A19" s="283" t="str">
        <f>'3 Proxy Sum'!A17</f>
        <v>Hawaiian Elec.</v>
      </c>
      <c r="B19" s="27"/>
      <c r="C19" s="90" t="str">
        <f>'3 Proxy Sum'!C17</f>
        <v>HE</v>
      </c>
      <c r="D19" s="91"/>
      <c r="E19" s="230">
        <v>0.31</v>
      </c>
      <c r="F19" s="196"/>
      <c r="G19" s="195">
        <f>'4 Stock Price'!N5</f>
        <v>33.843333066666666</v>
      </c>
      <c r="H19" s="9"/>
      <c r="I19" s="46">
        <f t="shared" si="0"/>
        <v>9.1598543024513299E-3</v>
      </c>
    </row>
    <row r="20" spans="1:9" ht="19.899999999999999" customHeight="1" x14ac:dyDescent="0.25">
      <c r="A20" s="283" t="str">
        <f>'3 Proxy Sum'!A18</f>
        <v>IDACORP, Inc.</v>
      </c>
      <c r="B20" s="27"/>
      <c r="C20" s="90" t="str">
        <f>'3 Proxy Sum'!C18</f>
        <v>IDA</v>
      </c>
      <c r="D20" s="91"/>
      <c r="E20" s="230">
        <v>0.55000000000000004</v>
      </c>
      <c r="F20" s="196"/>
      <c r="G20" s="195">
        <f>'4 Stock Price'!O5</f>
        <v>89.358333033333338</v>
      </c>
      <c r="H20" s="9"/>
      <c r="I20" s="46">
        <f t="shared" si="0"/>
        <v>6.1549939589275191E-3</v>
      </c>
    </row>
    <row r="21" spans="1:9" ht="19.899999999999999" customHeight="1" x14ac:dyDescent="0.25">
      <c r="A21" s="283" t="str">
        <f>'3 Proxy Sum'!A19</f>
        <v>NorthWestern Corp.</v>
      </c>
      <c r="B21" s="27"/>
      <c r="C21" s="90" t="str">
        <f>'3 Proxy Sum'!C19</f>
        <v>NWE</v>
      </c>
      <c r="D21" s="91"/>
      <c r="E21" s="230">
        <v>0.52500000000000002</v>
      </c>
      <c r="F21" s="196"/>
      <c r="G21" s="195">
        <f>'4 Stock Price'!P5</f>
        <v>58.272868166666669</v>
      </c>
      <c r="H21" s="9"/>
      <c r="I21" s="46">
        <f t="shared" si="0"/>
        <v>9.0093385913053662E-3</v>
      </c>
    </row>
    <row r="22" spans="1:9" ht="19.899999999999999" customHeight="1" x14ac:dyDescent="0.25">
      <c r="A22" s="283" t="str">
        <f>'3 Proxy Sum'!A20</f>
        <v>Otter Tail Corp.</v>
      </c>
      <c r="B22" s="27"/>
      <c r="C22" s="90" t="str">
        <f>'3 Proxy Sum'!C20</f>
        <v>OTTR</v>
      </c>
      <c r="D22" s="91"/>
      <c r="E22" s="230">
        <v>0.32</v>
      </c>
      <c r="F22" s="196"/>
      <c r="G22" s="195">
        <f>'4 Stock Price'!Q5</f>
        <v>43.753333099999992</v>
      </c>
      <c r="H22" s="9"/>
      <c r="I22" s="46">
        <f t="shared" si="0"/>
        <v>7.3137285168338425E-3</v>
      </c>
    </row>
    <row r="23" spans="1:9" ht="19.899999999999999" customHeight="1" x14ac:dyDescent="0.25">
      <c r="A23" s="283" t="str">
        <f>'3 Proxy Sum'!A21</f>
        <v>PG&amp;E Corp.</v>
      </c>
      <c r="B23" s="27"/>
      <c r="C23" s="90" t="str">
        <f>'3 Proxy Sum'!C21</f>
        <v>PCG</v>
      </c>
      <c r="D23" s="91"/>
      <c r="E23" s="230">
        <v>0.53</v>
      </c>
      <c r="F23" s="196"/>
      <c r="G23" s="195">
        <f>'4 Stock Price'!R5</f>
        <v>67.523620466666657</v>
      </c>
      <c r="H23" s="9"/>
      <c r="I23" s="46">
        <f t="shared" si="0"/>
        <v>7.8491051921843694E-3</v>
      </c>
    </row>
    <row r="24" spans="1:9" ht="19.899999999999999" customHeight="1" x14ac:dyDescent="0.25">
      <c r="A24" s="283" t="str">
        <f>'3 Proxy Sum'!A22</f>
        <v>Portland General</v>
      </c>
      <c r="B24" s="27"/>
      <c r="C24" s="90" t="str">
        <f>'3 Proxy Sum'!C22</f>
        <v>POR</v>
      </c>
      <c r="D24" s="91"/>
      <c r="E24" s="230">
        <v>0.34</v>
      </c>
      <c r="F24" s="196"/>
      <c r="G24" s="195">
        <f>'4 Stock Price'!S5</f>
        <v>46.303821866666667</v>
      </c>
      <c r="H24" s="9"/>
      <c r="I24" s="46">
        <f t="shared" si="0"/>
        <v>7.3428064097827792E-3</v>
      </c>
    </row>
    <row r="25" spans="1:9" ht="19.899999999999999" customHeight="1" x14ac:dyDescent="0.25">
      <c r="A25" s="22" t="str">
        <f>'3 Proxy Sum'!A23</f>
        <v>Sempra Energy</v>
      </c>
      <c r="B25" s="27"/>
      <c r="C25" s="90" t="str">
        <f>'3 Proxy Sum'!C23</f>
        <v>SRE</v>
      </c>
      <c r="D25" s="91"/>
      <c r="E25" s="232">
        <v>0.82199999999999995</v>
      </c>
      <c r="F25" s="196"/>
      <c r="G25" s="200">
        <f>'4 Stock Price'!T5</f>
        <v>115.60493880000003</v>
      </c>
      <c r="H25" s="9"/>
      <c r="I25" s="41">
        <f t="shared" si="0"/>
        <v>7.1104228636986204E-3</v>
      </c>
    </row>
    <row r="26" spans="1:9" ht="19.899999999999999" customHeight="1" x14ac:dyDescent="0.25">
      <c r="A26" s="27"/>
      <c r="B26" s="27"/>
      <c r="C26" s="86"/>
      <c r="D26" s="91"/>
      <c r="E26" s="194"/>
      <c r="F26" s="196"/>
      <c r="G26" s="195"/>
      <c r="H26" s="9"/>
      <c r="I26" s="83"/>
    </row>
    <row r="27" spans="1:9" ht="19.899999999999999" customHeight="1" x14ac:dyDescent="0.25">
      <c r="A27" s="18" t="s">
        <v>80</v>
      </c>
      <c r="B27" s="18"/>
      <c r="C27" s="86"/>
      <c r="D27" s="91"/>
      <c r="E27" s="201">
        <f>AVERAGE(E8:E25)</f>
        <v>0.48466666666666669</v>
      </c>
      <c r="F27" s="198"/>
      <c r="G27" s="201">
        <f>AVERAGE(G8:G25)</f>
        <v>64.844533711111112</v>
      </c>
      <c r="H27" s="198"/>
      <c r="I27" s="202">
        <f>AVERAGE(I8:I25)</f>
        <v>7.5808145361337164E-3</v>
      </c>
    </row>
    <row r="28" spans="1:9" x14ac:dyDescent="0.25">
      <c r="A28" s="133"/>
      <c r="B28" s="133"/>
      <c r="C28" s="93"/>
      <c r="D28" s="93"/>
      <c r="E28" s="151"/>
      <c r="F28" s="151"/>
      <c r="G28" s="152"/>
      <c r="H28" s="152"/>
      <c r="I28" s="153"/>
    </row>
    <row r="29" spans="1:9" x14ac:dyDescent="0.25">
      <c r="A29" s="18"/>
      <c r="B29" s="18"/>
      <c r="C29" s="86"/>
      <c r="D29" s="91"/>
      <c r="E29" s="8"/>
      <c r="F29" s="8"/>
      <c r="G29" s="9"/>
      <c r="H29" s="9"/>
      <c r="I29" s="82"/>
    </row>
    <row r="31" spans="1:9" s="150" customFormat="1" ht="14.45" customHeight="1" x14ac:dyDescent="0.2">
      <c r="A31" s="410" t="s">
        <v>347</v>
      </c>
      <c r="B31" s="410"/>
      <c r="C31" s="410"/>
      <c r="D31" s="410"/>
      <c r="E31" s="410"/>
      <c r="F31" s="410"/>
      <c r="G31" s="410"/>
      <c r="H31" s="410"/>
      <c r="I31" s="410"/>
    </row>
    <row r="32" spans="1:9" s="150" customFormat="1" ht="14.45" customHeight="1" x14ac:dyDescent="0.2">
      <c r="A32" s="411" t="s">
        <v>316</v>
      </c>
      <c r="B32" s="411"/>
      <c r="C32" s="411"/>
      <c r="D32" s="411"/>
      <c r="E32" s="411"/>
      <c r="F32" s="411"/>
      <c r="G32" s="411"/>
      <c r="H32" s="411"/>
      <c r="I32" s="411"/>
    </row>
    <row r="33" spans="1:9" s="150" customFormat="1" ht="14.45" customHeight="1" x14ac:dyDescent="0.2">
      <c r="A33" s="411" t="s">
        <v>141</v>
      </c>
      <c r="B33" s="411"/>
      <c r="C33" s="411"/>
      <c r="D33" s="411"/>
      <c r="E33" s="411"/>
      <c r="F33" s="411"/>
      <c r="G33" s="411"/>
      <c r="H33" s="411"/>
      <c r="I33" s="411"/>
    </row>
    <row r="34" spans="1:9" x14ac:dyDescent="0.25">
      <c r="A34" s="408"/>
      <c r="B34" s="408"/>
      <c r="C34" s="408"/>
      <c r="D34" s="408"/>
      <c r="E34" s="408"/>
      <c r="F34" s="408"/>
      <c r="G34" s="408"/>
      <c r="H34" s="408"/>
      <c r="I34" s="408"/>
    </row>
  </sheetData>
  <sortState ref="A8:O29">
    <sortCondition ref="A8"/>
  </sortState>
  <mergeCells count="5">
    <mergeCell ref="A34:I34"/>
    <mergeCell ref="A1:I1"/>
    <mergeCell ref="A31:I31"/>
    <mergeCell ref="A32:I32"/>
    <mergeCell ref="A33:I33"/>
  </mergeCells>
  <printOptions horizontalCentered="1"/>
  <pageMargins left="0.7" right="0.7" top="0.75" bottom="0.75" header="0.3" footer="0.3"/>
  <pageSetup orientation="portrait" r:id="rId1"/>
  <headerFooter scaleWithDoc="0">
    <oddHeader>&amp;C&amp;"-,Bold"&amp;14Dividend Yields&amp;RExhibit DJG-5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G16"/>
  <sheetViews>
    <sheetView workbookViewId="0"/>
  </sheetViews>
  <sheetFormatPr defaultRowHeight="15" x14ac:dyDescent="0.25"/>
  <cols>
    <col min="1" max="1" width="26.42578125" customWidth="1"/>
    <col min="2" max="2" width="2.7109375" style="188" customWidth="1"/>
    <col min="3" max="3" width="12.7109375" style="188" customWidth="1"/>
    <col min="4" max="4" width="4.7109375" customWidth="1"/>
  </cols>
  <sheetData>
    <row r="1" spans="1:7" x14ac:dyDescent="0.25">
      <c r="A1" s="22"/>
      <c r="B1" s="22"/>
      <c r="C1" s="22"/>
    </row>
    <row r="2" spans="1:7" s="188" customFormat="1" x14ac:dyDescent="0.25"/>
    <row r="3" spans="1:7" s="188" customFormat="1" x14ac:dyDescent="0.25">
      <c r="A3" s="235" t="s">
        <v>319</v>
      </c>
      <c r="B3" s="184"/>
      <c r="C3" s="235" t="s">
        <v>27</v>
      </c>
    </row>
    <row r="4" spans="1:7" s="188" customFormat="1" x14ac:dyDescent="0.25"/>
    <row r="5" spans="1:7" x14ac:dyDescent="0.25">
      <c r="A5" t="s">
        <v>129</v>
      </c>
      <c r="B5" s="184"/>
      <c r="C5" s="185">
        <v>4.1000000000000002E-2</v>
      </c>
      <c r="D5" s="184" t="s">
        <v>3</v>
      </c>
    </row>
    <row r="6" spans="1:7" s="188" customFormat="1" x14ac:dyDescent="0.25">
      <c r="B6" s="184"/>
      <c r="C6" s="185"/>
      <c r="D6" s="184"/>
    </row>
    <row r="7" spans="1:7" s="188" customFormat="1" x14ac:dyDescent="0.25">
      <c r="A7" s="188" t="s">
        <v>132</v>
      </c>
      <c r="B7" s="184"/>
      <c r="C7" s="185">
        <v>0.02</v>
      </c>
      <c r="D7" s="184" t="s">
        <v>4</v>
      </c>
    </row>
    <row r="8" spans="1:7" s="188" customFormat="1" x14ac:dyDescent="0.25">
      <c r="B8" s="184"/>
      <c r="C8" s="185"/>
      <c r="D8" s="184"/>
    </row>
    <row r="9" spans="1:7" s="243" customFormat="1" x14ac:dyDescent="0.25">
      <c r="A9" s="22" t="s">
        <v>88</v>
      </c>
      <c r="B9" s="94"/>
      <c r="C9" s="168">
        <f>'8 Risk Free Rate'!E33</f>
        <v>2.7999999999999997E-2</v>
      </c>
      <c r="D9" s="242" t="s">
        <v>5</v>
      </c>
    </row>
    <row r="11" spans="1:7" x14ac:dyDescent="0.25">
      <c r="A11" s="18" t="s">
        <v>80</v>
      </c>
      <c r="C11" s="204">
        <f>AVERAGE(C5:C9)</f>
        <v>2.9666666666666664E-2</v>
      </c>
    </row>
    <row r="12" spans="1:7" x14ac:dyDescent="0.25">
      <c r="A12" s="22"/>
      <c r="B12" s="22"/>
      <c r="C12" s="22"/>
    </row>
    <row r="14" spans="1:7" x14ac:dyDescent="0.25">
      <c r="A14" s="411" t="s">
        <v>317</v>
      </c>
      <c r="B14" s="411"/>
      <c r="C14" s="411"/>
      <c r="D14" s="411"/>
    </row>
    <row r="15" spans="1:7" x14ac:dyDescent="0.25">
      <c r="A15" s="411" t="s">
        <v>318</v>
      </c>
      <c r="B15" s="411"/>
      <c r="C15" s="411"/>
      <c r="D15" s="411"/>
      <c r="E15" s="186"/>
      <c r="F15" s="186"/>
      <c r="G15" s="186"/>
    </row>
    <row r="16" spans="1:7" x14ac:dyDescent="0.25">
      <c r="D16" s="186"/>
      <c r="E16" s="186"/>
      <c r="F16" s="186"/>
      <c r="G16" s="186"/>
    </row>
  </sheetData>
  <mergeCells count="2">
    <mergeCell ref="A14:D14"/>
    <mergeCell ref="A15:D15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&amp;C&amp;"-,Bold"&amp;14Terminal Growth Rate&amp;RExhibit DJG-6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L14"/>
  <sheetViews>
    <sheetView workbookViewId="0">
      <selection activeCell="H15" sqref="H15"/>
    </sheetView>
  </sheetViews>
  <sheetFormatPr defaultRowHeight="15" x14ac:dyDescent="0.25"/>
  <cols>
    <col min="1" max="1" width="11.7109375" customWidth="1"/>
    <col min="2" max="2" width="2.7109375" customWidth="1"/>
    <col min="3" max="3" width="11.7109375" customWidth="1"/>
    <col min="4" max="4" width="2.7109375" customWidth="1"/>
    <col min="5" max="5" width="13" customWidth="1"/>
    <col min="6" max="7" width="2.7109375" customWidth="1"/>
    <col min="8" max="8" width="11.7109375" customWidth="1"/>
  </cols>
  <sheetData>
    <row r="1" spans="1:12" s="188" customFormat="1" x14ac:dyDescent="0.25">
      <c r="A1" s="22"/>
      <c r="B1" s="22"/>
      <c r="C1" s="22"/>
      <c r="D1" s="22"/>
      <c r="E1" s="22"/>
      <c r="F1" s="22"/>
      <c r="G1" s="22"/>
      <c r="H1" s="22"/>
    </row>
    <row r="3" spans="1:12" s="281" customFormat="1" x14ac:dyDescent="0.25">
      <c r="A3" s="280" t="s">
        <v>3</v>
      </c>
      <c r="C3" s="280" t="s">
        <v>4</v>
      </c>
      <c r="D3" s="280"/>
      <c r="E3" s="280" t="s">
        <v>5</v>
      </c>
      <c r="F3" s="280"/>
      <c r="G3" s="280"/>
      <c r="H3" s="280" t="s">
        <v>6</v>
      </c>
    </row>
    <row r="4" spans="1:12" s="281" customFormat="1" x14ac:dyDescent="0.25"/>
    <row r="5" spans="1:12" x14ac:dyDescent="0.25">
      <c r="A5" s="184" t="s">
        <v>70</v>
      </c>
      <c r="B5" s="184"/>
      <c r="C5" s="184" t="s">
        <v>71</v>
      </c>
      <c r="D5" s="184"/>
      <c r="E5" s="184" t="s">
        <v>39</v>
      </c>
      <c r="F5" s="95"/>
      <c r="G5" s="184"/>
      <c r="H5" s="18" t="s">
        <v>114</v>
      </c>
    </row>
    <row r="6" spans="1:12" ht="18" x14ac:dyDescent="0.35">
      <c r="A6" s="5" t="s">
        <v>72</v>
      </c>
      <c r="B6" s="6"/>
      <c r="C6" s="5" t="s">
        <v>73</v>
      </c>
      <c r="D6" s="6"/>
      <c r="E6" s="5" t="s">
        <v>74</v>
      </c>
      <c r="F6" s="49"/>
      <c r="G6" s="6"/>
      <c r="H6" s="203" t="s">
        <v>109</v>
      </c>
    </row>
    <row r="7" spans="1:12" x14ac:dyDescent="0.25">
      <c r="A7" s="6"/>
      <c r="B7" s="6"/>
      <c r="C7" s="6"/>
      <c r="D7" s="6"/>
      <c r="E7" s="6"/>
      <c r="F7" s="49"/>
      <c r="G7" s="6"/>
      <c r="H7" s="6"/>
    </row>
    <row r="8" spans="1:12" x14ac:dyDescent="0.25">
      <c r="A8" s="205">
        <f>'5 Div Yields'!E27</f>
        <v>0.48466666666666669</v>
      </c>
      <c r="B8" s="206"/>
      <c r="C8" s="205">
        <f>'5 Div Yields'!G27</f>
        <v>64.844533711111112</v>
      </c>
      <c r="D8" s="207"/>
      <c r="E8" s="208">
        <f>'6 Growth Determinants'!C5</f>
        <v>4.1000000000000002E-2</v>
      </c>
      <c r="F8" s="199"/>
      <c r="G8" s="84"/>
      <c r="H8" s="218">
        <f t="shared" ref="H8" si="0">(A8*(1+E8)^0.25/C8+(1+E8)^0.25)^4-1</f>
        <v>7.247360632087152E-2</v>
      </c>
    </row>
    <row r="9" spans="1:12" x14ac:dyDescent="0.25">
      <c r="A9" s="22"/>
      <c r="B9" s="22"/>
      <c r="C9" s="22"/>
      <c r="D9" s="22"/>
      <c r="E9" s="22"/>
      <c r="F9" s="22"/>
      <c r="G9" s="22"/>
      <c r="H9" s="22"/>
    </row>
    <row r="11" spans="1:12" x14ac:dyDescent="0.25">
      <c r="A11" s="411" t="s">
        <v>320</v>
      </c>
      <c r="B11" s="411"/>
      <c r="C11" s="411"/>
      <c r="D11" s="411"/>
      <c r="E11" s="411"/>
      <c r="F11" s="411"/>
      <c r="G11" s="411"/>
      <c r="H11" s="411"/>
    </row>
    <row r="12" spans="1:12" x14ac:dyDescent="0.25">
      <c r="A12" s="411" t="s">
        <v>321</v>
      </c>
      <c r="B12" s="411"/>
      <c r="C12" s="411"/>
      <c r="D12" s="411"/>
      <c r="E12" s="411"/>
      <c r="F12" s="411"/>
      <c r="G12" s="411"/>
      <c r="H12" s="411"/>
    </row>
    <row r="13" spans="1:12" x14ac:dyDescent="0.25">
      <c r="A13" s="411" t="s">
        <v>322</v>
      </c>
      <c r="B13" s="411"/>
      <c r="C13" s="411"/>
      <c r="D13" s="411"/>
      <c r="E13" s="411"/>
      <c r="F13" s="411"/>
      <c r="G13" s="411"/>
      <c r="H13" s="411"/>
    </row>
    <row r="14" spans="1:12" x14ac:dyDescent="0.25">
      <c r="A14" s="411" t="s">
        <v>323</v>
      </c>
      <c r="B14" s="411"/>
      <c r="C14" s="411"/>
      <c r="D14" s="411"/>
      <c r="E14" s="411"/>
      <c r="F14" s="411"/>
      <c r="G14" s="411"/>
      <c r="H14" s="411"/>
      <c r="I14" s="282"/>
      <c r="J14" s="282"/>
      <c r="K14" s="282"/>
      <c r="L14" s="282"/>
    </row>
  </sheetData>
  <mergeCells count="4">
    <mergeCell ref="A11:H11"/>
    <mergeCell ref="A12:H12"/>
    <mergeCell ref="A13:H13"/>
    <mergeCell ref="A14:H14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&amp;C&amp;"-,Bold"&amp;14Final DCF Result&amp;RExhibit DJG-7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H40"/>
  <sheetViews>
    <sheetView zoomScaleNormal="100" workbookViewId="0">
      <selection activeCell="H26" sqref="H26"/>
    </sheetView>
  </sheetViews>
  <sheetFormatPr defaultRowHeight="15" x14ac:dyDescent="0.25"/>
  <cols>
    <col min="1" max="2" width="8.85546875" style="51"/>
    <col min="3" max="3" width="12.42578125" customWidth="1"/>
    <col min="4" max="4" width="2.7109375" style="97" customWidth="1"/>
    <col min="5" max="5" width="11.42578125" customWidth="1"/>
    <col min="7" max="7" width="10.7109375" bestFit="1" customWidth="1"/>
  </cols>
  <sheetData>
    <row r="1" spans="1:8" s="51" customFormat="1" x14ac:dyDescent="0.25">
      <c r="A1" s="22"/>
      <c r="B1" s="22"/>
      <c r="C1" s="22"/>
      <c r="D1" s="22"/>
      <c r="E1" s="22"/>
      <c r="F1" s="22"/>
      <c r="G1" s="22"/>
    </row>
    <row r="3" spans="1:8" x14ac:dyDescent="0.25">
      <c r="C3" s="40" t="s">
        <v>10</v>
      </c>
      <c r="D3" s="94"/>
      <c r="E3" s="40" t="s">
        <v>27</v>
      </c>
    </row>
    <row r="4" spans="1:8" x14ac:dyDescent="0.25">
      <c r="C4" s="179">
        <v>42983</v>
      </c>
      <c r="D4" s="89"/>
      <c r="E4" s="236">
        <v>2.69E-2</v>
      </c>
      <c r="G4" s="12"/>
      <c r="H4" s="89"/>
    </row>
    <row r="5" spans="1:8" x14ac:dyDescent="0.25">
      <c r="C5" s="89">
        <v>42984</v>
      </c>
      <c r="D5" s="89"/>
      <c r="E5" s="236">
        <v>2.7200000000000002E-2</v>
      </c>
      <c r="G5" s="12"/>
      <c r="H5" s="89"/>
    </row>
    <row r="6" spans="1:8" x14ac:dyDescent="0.25">
      <c r="C6" s="89">
        <v>42985</v>
      </c>
      <c r="D6" s="89"/>
      <c r="E6" s="236">
        <v>2.6600000000000002E-2</v>
      </c>
      <c r="G6" s="12"/>
      <c r="H6" s="89"/>
    </row>
    <row r="7" spans="1:8" x14ac:dyDescent="0.25">
      <c r="C7" s="89">
        <v>42986</v>
      </c>
      <c r="D7" s="89"/>
      <c r="E7" s="236">
        <v>2.6699999999999998E-2</v>
      </c>
      <c r="G7" s="12"/>
      <c r="H7" s="89"/>
    </row>
    <row r="8" spans="1:8" x14ac:dyDescent="0.25">
      <c r="C8" s="89">
        <v>42989</v>
      </c>
      <c r="D8" s="89"/>
      <c r="E8" s="236">
        <v>2.75E-2</v>
      </c>
      <c r="G8" s="12"/>
      <c r="H8" s="89"/>
    </row>
    <row r="9" spans="1:8" x14ac:dyDescent="0.25">
      <c r="C9" s="89">
        <v>42990</v>
      </c>
      <c r="D9" s="89"/>
      <c r="E9" s="236">
        <v>2.7799999999999998E-2</v>
      </c>
      <c r="G9" s="12"/>
      <c r="H9" s="89"/>
    </row>
    <row r="10" spans="1:8" x14ac:dyDescent="0.25">
      <c r="C10" s="89">
        <v>42991</v>
      </c>
      <c r="D10" s="89"/>
      <c r="E10" s="236">
        <v>2.7900000000000001E-2</v>
      </c>
      <c r="G10" s="12"/>
      <c r="H10" s="89"/>
    </row>
    <row r="11" spans="1:8" x14ac:dyDescent="0.25">
      <c r="C11" s="89">
        <v>42992</v>
      </c>
      <c r="D11" s="89"/>
      <c r="E11" s="236">
        <v>2.7699999999999999E-2</v>
      </c>
      <c r="G11" s="12"/>
      <c r="H11" s="89"/>
    </row>
    <row r="12" spans="1:8" x14ac:dyDescent="0.25">
      <c r="C12" s="89">
        <v>42993</v>
      </c>
      <c r="D12" s="89"/>
      <c r="E12" s="236">
        <v>2.7699999999999999E-2</v>
      </c>
      <c r="G12" s="12"/>
      <c r="H12" s="89"/>
    </row>
    <row r="13" spans="1:8" x14ac:dyDescent="0.25">
      <c r="C13" s="89">
        <v>42996</v>
      </c>
      <c r="D13" s="89"/>
      <c r="E13" s="236">
        <v>2.7999999999999997E-2</v>
      </c>
      <c r="G13" s="12"/>
      <c r="H13" s="89"/>
    </row>
    <row r="14" spans="1:8" x14ac:dyDescent="0.25">
      <c r="C14" s="89">
        <v>42997</v>
      </c>
      <c r="D14" s="89"/>
      <c r="E14" s="236">
        <v>2.81E-2</v>
      </c>
      <c r="G14" s="12"/>
      <c r="H14" s="89"/>
    </row>
    <row r="15" spans="1:8" x14ac:dyDescent="0.25">
      <c r="C15" s="89">
        <v>42998</v>
      </c>
      <c r="D15" s="89"/>
      <c r="E15" s="236">
        <v>2.8199999999999999E-2</v>
      </c>
      <c r="G15" s="12"/>
      <c r="H15" s="89"/>
    </row>
    <row r="16" spans="1:8" x14ac:dyDescent="0.25">
      <c r="C16" s="89">
        <v>42999</v>
      </c>
      <c r="D16" s="89"/>
      <c r="E16" s="236">
        <v>2.7999999999999997E-2</v>
      </c>
      <c r="G16" s="12"/>
      <c r="H16" s="89"/>
    </row>
    <row r="17" spans="3:8" s="178" customFormat="1" x14ac:dyDescent="0.25">
      <c r="C17" s="89">
        <v>43000</v>
      </c>
      <c r="D17" s="89"/>
      <c r="E17" s="236">
        <v>2.7999999999999997E-2</v>
      </c>
      <c r="G17" s="12"/>
      <c r="H17" s="89"/>
    </row>
    <row r="18" spans="3:8" s="178" customFormat="1" x14ac:dyDescent="0.25">
      <c r="C18" s="89">
        <v>43003</v>
      </c>
      <c r="D18" s="89"/>
      <c r="E18" s="236">
        <v>2.76E-2</v>
      </c>
      <c r="G18" s="12"/>
      <c r="H18" s="89"/>
    </row>
    <row r="19" spans="3:8" s="178" customFormat="1" x14ac:dyDescent="0.25">
      <c r="C19" s="89">
        <v>43004</v>
      </c>
      <c r="D19" s="89"/>
      <c r="E19" s="236">
        <v>2.7799999999999998E-2</v>
      </c>
      <c r="G19" s="12"/>
      <c r="H19" s="89"/>
    </row>
    <row r="20" spans="3:8" s="178" customFormat="1" x14ac:dyDescent="0.25">
      <c r="C20" s="89">
        <v>43005</v>
      </c>
      <c r="D20" s="89"/>
      <c r="E20" s="236">
        <v>2.86E-2</v>
      </c>
      <c r="G20" s="12"/>
      <c r="H20" s="89"/>
    </row>
    <row r="21" spans="3:8" s="178" customFormat="1" x14ac:dyDescent="0.25">
      <c r="C21" s="89">
        <v>43006</v>
      </c>
      <c r="D21" s="89"/>
      <c r="E21" s="236">
        <v>2.87E-2</v>
      </c>
      <c r="G21" s="12"/>
      <c r="H21" s="89"/>
    </row>
    <row r="22" spans="3:8" s="178" customFormat="1" x14ac:dyDescent="0.25">
      <c r="C22" s="89">
        <v>43007</v>
      </c>
      <c r="D22" s="89"/>
      <c r="E22" s="236">
        <v>2.86E-2</v>
      </c>
      <c r="G22" s="12"/>
      <c r="H22" s="89"/>
    </row>
    <row r="23" spans="3:8" s="178" customFormat="1" x14ac:dyDescent="0.25">
      <c r="C23" s="89">
        <v>43010</v>
      </c>
      <c r="D23" s="89"/>
      <c r="E23" s="236">
        <v>2.87E-2</v>
      </c>
      <c r="G23" s="12"/>
      <c r="H23" s="89"/>
    </row>
    <row r="24" spans="3:8" s="178" customFormat="1" x14ac:dyDescent="0.25">
      <c r="C24" s="89">
        <v>43011</v>
      </c>
      <c r="D24" s="89"/>
      <c r="E24" s="236">
        <v>2.87E-2</v>
      </c>
      <c r="G24" s="12"/>
      <c r="H24" s="89"/>
    </row>
    <row r="25" spans="3:8" s="178" customFormat="1" x14ac:dyDescent="0.25">
      <c r="C25" s="89">
        <v>43012</v>
      </c>
      <c r="D25" s="89"/>
      <c r="E25" s="236">
        <v>2.87E-2</v>
      </c>
      <c r="G25" s="12"/>
      <c r="H25" s="89"/>
    </row>
    <row r="26" spans="3:8" s="178" customFormat="1" x14ac:dyDescent="0.25">
      <c r="C26" s="89">
        <v>43013</v>
      </c>
      <c r="D26" s="89"/>
      <c r="E26" s="236">
        <v>2.8900000000000002E-2</v>
      </c>
      <c r="G26" s="12"/>
      <c r="H26" s="89"/>
    </row>
    <row r="27" spans="3:8" s="178" customFormat="1" x14ac:dyDescent="0.25">
      <c r="C27" s="89">
        <v>43014</v>
      </c>
      <c r="D27" s="89"/>
      <c r="E27" s="236">
        <v>2.9100000000000001E-2</v>
      </c>
      <c r="G27" s="12"/>
      <c r="H27" s="89"/>
    </row>
    <row r="28" spans="3:8" s="178" customFormat="1" x14ac:dyDescent="0.25">
      <c r="C28" s="89">
        <v>43018</v>
      </c>
      <c r="D28" s="89"/>
      <c r="E28" s="236">
        <v>2.8799999999999999E-2</v>
      </c>
      <c r="G28" s="12"/>
      <c r="H28" s="89"/>
    </row>
    <row r="29" spans="3:8" s="178" customFormat="1" x14ac:dyDescent="0.25">
      <c r="C29" s="89">
        <v>43019</v>
      </c>
      <c r="D29" s="89"/>
      <c r="E29" s="236">
        <v>2.8799999999999999E-2</v>
      </c>
      <c r="G29" s="12"/>
      <c r="H29" s="89"/>
    </row>
    <row r="30" spans="3:8" s="178" customFormat="1" x14ac:dyDescent="0.25">
      <c r="C30" s="89">
        <v>43020</v>
      </c>
      <c r="D30" s="89"/>
      <c r="E30" s="236">
        <v>2.86E-2</v>
      </c>
      <c r="G30" s="12"/>
      <c r="H30" s="89"/>
    </row>
    <row r="31" spans="3:8" s="178" customFormat="1" x14ac:dyDescent="0.25">
      <c r="C31" s="89">
        <v>43021</v>
      </c>
      <c r="D31" s="89"/>
      <c r="E31" s="236">
        <v>2.81E-2</v>
      </c>
      <c r="G31" s="12"/>
      <c r="H31" s="89"/>
    </row>
    <row r="32" spans="3:8" s="178" customFormat="1" x14ac:dyDescent="0.25">
      <c r="C32" s="89">
        <v>43024</v>
      </c>
      <c r="D32" s="89"/>
      <c r="E32" s="236">
        <v>2.8199999999999999E-2</v>
      </c>
      <c r="G32" s="12"/>
      <c r="H32" s="89"/>
    </row>
    <row r="33" spans="1:8" s="178" customFormat="1" x14ac:dyDescent="0.25">
      <c r="C33" s="107">
        <v>43025</v>
      </c>
      <c r="D33" s="179"/>
      <c r="E33" s="41">
        <v>2.7999999999999997E-2</v>
      </c>
      <c r="G33" s="12"/>
      <c r="H33" s="89"/>
    </row>
    <row r="34" spans="1:8" x14ac:dyDescent="0.25">
      <c r="E34" s="38"/>
    </row>
    <row r="35" spans="1:8" x14ac:dyDescent="0.25">
      <c r="C35" s="18" t="s">
        <v>80</v>
      </c>
      <c r="D35" s="18"/>
      <c r="E35" s="63">
        <f>AVERAGE(E4:E33)</f>
        <v>2.8073333333333336E-2</v>
      </c>
    </row>
    <row r="36" spans="1:8" s="39" customFormat="1" x14ac:dyDescent="0.25">
      <c r="A36" s="22"/>
      <c r="B36" s="22"/>
      <c r="C36" s="133"/>
      <c r="D36" s="133"/>
      <c r="E36" s="154"/>
      <c r="F36" s="22"/>
      <c r="G36" s="22"/>
    </row>
    <row r="39" spans="1:8" s="150" customFormat="1" ht="28.15" customHeight="1" x14ac:dyDescent="0.2">
      <c r="A39" s="412" t="s">
        <v>145</v>
      </c>
      <c r="B39" s="412"/>
      <c r="C39" s="412"/>
      <c r="D39" s="412"/>
      <c r="E39" s="412"/>
      <c r="F39" s="412"/>
      <c r="G39" s="412"/>
    </row>
    <row r="40" spans="1:8" x14ac:dyDescent="0.25">
      <c r="A40" s="412"/>
      <c r="B40" s="412"/>
      <c r="C40" s="412"/>
      <c r="D40" s="412"/>
      <c r="E40" s="412"/>
      <c r="F40" s="412"/>
      <c r="G40" s="412"/>
    </row>
  </sheetData>
  <sortState ref="H4:H33">
    <sortCondition ref="H4"/>
  </sortState>
  <mergeCells count="1">
    <mergeCell ref="A39:G40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&amp;C&amp;"-,Bold"&amp;14Risk-Free Rate&amp;RExhibit DJG-8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  <pageSetUpPr fitToPage="1"/>
  </sheetPr>
  <dimension ref="A1:F28"/>
  <sheetViews>
    <sheetView zoomScaleNormal="100" workbookViewId="0">
      <selection activeCell="G14" sqref="G14"/>
    </sheetView>
  </sheetViews>
  <sheetFormatPr defaultRowHeight="15" x14ac:dyDescent="0.25"/>
  <cols>
    <col min="1" max="1" width="29.7109375" customWidth="1"/>
    <col min="2" max="2" width="2.7109375" style="106" customWidth="1"/>
    <col min="3" max="3" width="6.7109375" customWidth="1"/>
    <col min="4" max="4" width="2.7109375" style="106" customWidth="1"/>
    <col min="5" max="5" width="13.7109375" customWidth="1"/>
    <col min="6" max="6" width="2.7109375" style="106" customWidth="1"/>
  </cols>
  <sheetData>
    <row r="1" spans="1:6" x14ac:dyDescent="0.25">
      <c r="A1" s="22"/>
      <c r="B1" s="22"/>
      <c r="C1" s="22"/>
      <c r="D1" s="22"/>
      <c r="E1" s="22"/>
      <c r="F1" s="22"/>
    </row>
    <row r="2" spans="1:6" ht="19.899999999999999" customHeight="1" x14ac:dyDescent="0.25"/>
    <row r="3" spans="1:6" ht="19.899999999999999" customHeight="1" x14ac:dyDescent="0.25">
      <c r="A3" s="2" t="s">
        <v>0</v>
      </c>
      <c r="B3" s="94"/>
      <c r="C3" s="2" t="s">
        <v>1</v>
      </c>
      <c r="D3" s="94"/>
      <c r="E3" s="5" t="s">
        <v>62</v>
      </c>
      <c r="F3" s="6"/>
    </row>
    <row r="4" spans="1:6" ht="19.899999999999999" customHeight="1" x14ac:dyDescent="0.25">
      <c r="A4" s="3"/>
      <c r="B4" s="94"/>
      <c r="C4" s="3"/>
      <c r="D4" s="94"/>
      <c r="E4" s="6"/>
      <c r="F4" s="6"/>
    </row>
    <row r="5" spans="1:6" ht="19.899999999999999" customHeight="1" x14ac:dyDescent="0.25">
      <c r="A5" t="str">
        <f>'3 Proxy Sum'!A6</f>
        <v>ALLETE</v>
      </c>
      <c r="C5" s="90" t="str">
        <f>'3 Proxy Sum'!C6</f>
        <v>ALE</v>
      </c>
      <c r="D5" s="104"/>
      <c r="E5" s="192">
        <v>0.75</v>
      </c>
      <c r="F5" s="54"/>
    </row>
    <row r="6" spans="1:6" ht="19.899999999999999" customHeight="1" x14ac:dyDescent="0.25">
      <c r="A6" s="283" t="str">
        <f>'3 Proxy Sum'!A7</f>
        <v>Ameren Corp.</v>
      </c>
      <c r="C6" s="90" t="str">
        <f>'3 Proxy Sum'!C7</f>
        <v>AEE</v>
      </c>
      <c r="D6" s="104"/>
      <c r="E6" s="193">
        <v>0.65</v>
      </c>
      <c r="F6" s="55"/>
    </row>
    <row r="7" spans="1:6" ht="19.899999999999999" customHeight="1" x14ac:dyDescent="0.25">
      <c r="A7" s="283" t="str">
        <f>'3 Proxy Sum'!A8</f>
        <v>Avangrid, Inc.</v>
      </c>
      <c r="C7" s="90" t="str">
        <f>'3 Proxy Sum'!C8</f>
        <v>AGR</v>
      </c>
      <c r="D7" s="104"/>
      <c r="E7" s="192" t="s">
        <v>346</v>
      </c>
      <c r="F7" s="54"/>
    </row>
    <row r="8" spans="1:6" ht="19.899999999999999" customHeight="1" x14ac:dyDescent="0.25">
      <c r="A8" s="283" t="str">
        <f>'3 Proxy Sum'!A9</f>
        <v>Avista Corp.</v>
      </c>
      <c r="C8" s="90" t="str">
        <f>'3 Proxy Sum'!C9</f>
        <v>AVA</v>
      </c>
      <c r="D8" s="104"/>
      <c r="E8" s="193">
        <v>0.7</v>
      </c>
      <c r="F8" s="55"/>
    </row>
    <row r="9" spans="1:6" ht="19.899999999999999" customHeight="1" x14ac:dyDescent="0.25">
      <c r="A9" s="283" t="str">
        <f>'3 Proxy Sum'!A10</f>
        <v>Black Hills</v>
      </c>
      <c r="C9" s="90" t="str">
        <f>'3 Proxy Sum'!C10</f>
        <v>BKH</v>
      </c>
      <c r="D9" s="104"/>
      <c r="E9" s="192">
        <v>0.85</v>
      </c>
      <c r="F9" s="54"/>
    </row>
    <row r="10" spans="1:6" ht="19.899999999999999" customHeight="1" x14ac:dyDescent="0.25">
      <c r="A10" s="283" t="str">
        <f>'3 Proxy Sum'!A11</f>
        <v>CMS Energy Corp.</v>
      </c>
      <c r="C10" s="90" t="str">
        <f>'3 Proxy Sum'!C11</f>
        <v>CMS</v>
      </c>
      <c r="D10" s="104"/>
      <c r="E10" s="193">
        <v>0.65</v>
      </c>
      <c r="F10" s="55"/>
    </row>
    <row r="11" spans="1:6" ht="19.899999999999999" customHeight="1" x14ac:dyDescent="0.25">
      <c r="A11" s="283" t="str">
        <f>'3 Proxy Sum'!A12</f>
        <v>Dominion Energy</v>
      </c>
      <c r="C11" s="90" t="str">
        <f>'3 Proxy Sum'!C12</f>
        <v>D</v>
      </c>
      <c r="D11" s="104"/>
      <c r="E11" s="192">
        <v>0.65</v>
      </c>
      <c r="F11" s="54"/>
    </row>
    <row r="12" spans="1:6" ht="19.899999999999999" customHeight="1" x14ac:dyDescent="0.25">
      <c r="A12" s="283" t="str">
        <f>'3 Proxy Sum'!A13</f>
        <v>DTE Energy Co.</v>
      </c>
      <c r="C12" s="90" t="str">
        <f>'3 Proxy Sum'!C13</f>
        <v>DTE</v>
      </c>
      <c r="D12" s="104"/>
      <c r="E12" s="193">
        <v>0.65</v>
      </c>
      <c r="F12" s="55"/>
    </row>
    <row r="13" spans="1:6" s="106" customFormat="1" ht="19.899999999999999" customHeight="1" x14ac:dyDescent="0.25">
      <c r="A13" s="283" t="str">
        <f>'3 Proxy Sum'!A14</f>
        <v>Edison International</v>
      </c>
      <c r="C13" s="90" t="str">
        <f>'3 Proxy Sum'!C14</f>
        <v>EIX</v>
      </c>
      <c r="D13" s="104"/>
      <c r="E13" s="193">
        <v>0.6</v>
      </c>
      <c r="F13" s="55"/>
    </row>
    <row r="14" spans="1:6" s="106" customFormat="1" ht="19.899999999999999" customHeight="1" x14ac:dyDescent="0.25">
      <c r="A14" s="283" t="str">
        <f>'3 Proxy Sum'!A15</f>
        <v>El Paso Electric</v>
      </c>
      <c r="C14" s="90" t="str">
        <f>'3 Proxy Sum'!C15</f>
        <v>EE</v>
      </c>
      <c r="D14" s="104"/>
      <c r="E14" s="193">
        <v>0.75</v>
      </c>
      <c r="F14" s="55"/>
    </row>
    <row r="15" spans="1:6" s="106" customFormat="1" ht="19.899999999999999" customHeight="1" x14ac:dyDescent="0.25">
      <c r="A15" s="283" t="str">
        <f>'3 Proxy Sum'!A16</f>
        <v>Exelon Corp.</v>
      </c>
      <c r="C15" s="90" t="str">
        <f>'3 Proxy Sum'!C16</f>
        <v>EXC</v>
      </c>
      <c r="D15" s="104"/>
      <c r="E15" s="193">
        <v>0.7</v>
      </c>
      <c r="F15" s="55"/>
    </row>
    <row r="16" spans="1:6" s="106" customFormat="1" ht="19.899999999999999" customHeight="1" x14ac:dyDescent="0.25">
      <c r="A16" s="283" t="str">
        <f>'3 Proxy Sum'!A17</f>
        <v>Hawaiian Elec.</v>
      </c>
      <c r="C16" s="90" t="str">
        <f>'3 Proxy Sum'!C17</f>
        <v>HE</v>
      </c>
      <c r="D16" s="104"/>
      <c r="E16" s="193">
        <v>0.7</v>
      </c>
      <c r="F16" s="55"/>
    </row>
    <row r="17" spans="1:6" s="106" customFormat="1" ht="19.899999999999999" customHeight="1" x14ac:dyDescent="0.25">
      <c r="A17" s="283" t="str">
        <f>'3 Proxy Sum'!A18</f>
        <v>IDACORP, Inc.</v>
      </c>
      <c r="C17" s="90" t="str">
        <f>'3 Proxy Sum'!C18</f>
        <v>IDA</v>
      </c>
      <c r="D17" s="104"/>
      <c r="E17" s="193">
        <v>0.7</v>
      </c>
      <c r="F17" s="55"/>
    </row>
    <row r="18" spans="1:6" s="106" customFormat="1" ht="19.899999999999999" customHeight="1" x14ac:dyDescent="0.25">
      <c r="A18" s="283" t="str">
        <f>'3 Proxy Sum'!A19</f>
        <v>NorthWestern Corp.</v>
      </c>
      <c r="C18" s="90" t="str">
        <f>'3 Proxy Sum'!C19</f>
        <v>NWE</v>
      </c>
      <c r="D18" s="104"/>
      <c r="E18" s="193">
        <v>0.65</v>
      </c>
      <c r="F18" s="55"/>
    </row>
    <row r="19" spans="1:6" s="106" customFormat="1" ht="19.899999999999999" customHeight="1" x14ac:dyDescent="0.25">
      <c r="A19" s="283" t="str">
        <f>'3 Proxy Sum'!A20</f>
        <v>Otter Tail Corp.</v>
      </c>
      <c r="C19" s="90" t="str">
        <f>'3 Proxy Sum'!C20</f>
        <v>OTTR</v>
      </c>
      <c r="D19" s="104"/>
      <c r="E19" s="193">
        <v>0.9</v>
      </c>
      <c r="F19" s="55"/>
    </row>
    <row r="20" spans="1:6" s="106" customFormat="1" ht="19.899999999999999" customHeight="1" x14ac:dyDescent="0.25">
      <c r="A20" s="283" t="str">
        <f>'3 Proxy Sum'!A21</f>
        <v>PG&amp;E Corp.</v>
      </c>
      <c r="C20" s="90" t="str">
        <f>'3 Proxy Sum'!C21</f>
        <v>PCG</v>
      </c>
      <c r="D20" s="104"/>
      <c r="E20" s="193">
        <v>0.65</v>
      </c>
      <c r="F20" s="55"/>
    </row>
    <row r="21" spans="1:6" s="106" customFormat="1" ht="19.899999999999999" customHeight="1" x14ac:dyDescent="0.25">
      <c r="A21" s="283" t="str">
        <f>'3 Proxy Sum'!A22</f>
        <v>Portland General</v>
      </c>
      <c r="C21" s="90" t="str">
        <f>'3 Proxy Sum'!C22</f>
        <v>POR</v>
      </c>
      <c r="D21" s="104"/>
      <c r="E21" s="193">
        <v>0.7</v>
      </c>
      <c r="F21" s="55"/>
    </row>
    <row r="22" spans="1:6" s="106" customFormat="1" ht="19.899999999999999" customHeight="1" x14ac:dyDescent="0.25">
      <c r="A22" s="22" t="str">
        <f>'3 Proxy Sum'!A23</f>
        <v>Sempra Energy</v>
      </c>
      <c r="C22" s="90" t="str">
        <f>'3 Proxy Sum'!C23</f>
        <v>SRE</v>
      </c>
      <c r="D22" s="104"/>
      <c r="E22" s="209">
        <v>0.8</v>
      </c>
      <c r="F22" s="55"/>
    </row>
    <row r="23" spans="1:6" ht="19.899999999999999" customHeight="1" x14ac:dyDescent="0.25">
      <c r="C23" s="10"/>
      <c r="D23" s="104"/>
      <c r="E23" s="8"/>
      <c r="F23" s="8"/>
    </row>
    <row r="24" spans="1:6" ht="19.899999999999999" customHeight="1" x14ac:dyDescent="0.25">
      <c r="A24" s="16" t="s">
        <v>80</v>
      </c>
      <c r="B24" s="13"/>
      <c r="C24" s="10"/>
      <c r="D24" s="104"/>
      <c r="E24" s="193">
        <f>AVERAGE(E5:E22)</f>
        <v>0.70882352941176474</v>
      </c>
      <c r="F24" s="54"/>
    </row>
    <row r="25" spans="1:6" s="106" customFormat="1" x14ac:dyDescent="0.25">
      <c r="A25" s="93"/>
      <c r="B25" s="22"/>
      <c r="C25" s="93"/>
      <c r="D25" s="93"/>
      <c r="E25" s="110"/>
      <c r="F25" s="110"/>
    </row>
    <row r="26" spans="1:6" x14ac:dyDescent="0.25">
      <c r="C26" s="10"/>
      <c r="D26" s="104"/>
      <c r="E26" s="8"/>
      <c r="F26" s="8"/>
    </row>
    <row r="28" spans="1:6" s="150" customFormat="1" ht="14.45" customHeight="1" x14ac:dyDescent="0.2">
      <c r="A28" s="411" t="s">
        <v>133</v>
      </c>
      <c r="B28" s="411"/>
      <c r="C28" s="411"/>
      <c r="D28" s="411"/>
      <c r="E28" s="411"/>
      <c r="F28" s="411"/>
    </row>
  </sheetData>
  <mergeCells count="1">
    <mergeCell ref="A28:F28"/>
  </mergeCells>
  <printOptions horizontalCentered="1"/>
  <pageMargins left="0.7" right="0.7" top="0.75" bottom="0.75" header="0.3" footer="0.3"/>
  <pageSetup orientation="portrait" r:id="rId1"/>
  <headerFooter scaleWithDoc="0">
    <oddHeader>&amp;C&amp;"-,Bold"&amp;14Beta Results&amp;RExhibit DJG-9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  <pageSetUpPr fitToPage="1"/>
  </sheetPr>
  <dimension ref="A1:Q144"/>
  <sheetViews>
    <sheetView zoomScaleNormal="100" workbookViewId="0"/>
  </sheetViews>
  <sheetFormatPr defaultRowHeight="15" x14ac:dyDescent="0.25"/>
  <cols>
    <col min="1" max="1" width="25.28515625" customWidth="1"/>
    <col min="2" max="2" width="2.7109375" style="61" customWidth="1"/>
    <col min="3" max="3" width="10.7109375" customWidth="1"/>
    <col min="4" max="4" width="2.7109375" style="61" customWidth="1"/>
    <col min="5" max="5" width="10.7109375" customWidth="1"/>
    <col min="6" max="6" width="2.7109375" style="61" customWidth="1"/>
    <col min="7" max="7" width="10.7109375" style="56" customWidth="1"/>
    <col min="8" max="8" width="2.7109375" style="61" customWidth="1"/>
    <col min="9" max="9" width="10.7109375" style="61" customWidth="1"/>
    <col min="10" max="10" width="2.7109375" style="61" customWidth="1"/>
    <col min="11" max="11" width="10.7109375" customWidth="1"/>
    <col min="12" max="12" width="2.7109375" style="61" customWidth="1"/>
    <col min="13" max="13" width="10.7109375" customWidth="1"/>
    <col min="14" max="14" width="2.7109375" style="61" customWidth="1"/>
    <col min="15" max="15" width="10.7109375" customWidth="1"/>
    <col min="16" max="16" width="2.7109375" style="61" customWidth="1"/>
    <col min="17" max="18" width="10.7109375" customWidth="1"/>
  </cols>
  <sheetData>
    <row r="1" spans="1:17" s="61" customFormat="1" ht="18.75" x14ac:dyDescent="0.3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</row>
    <row r="2" spans="1:17" s="56" customFormat="1" x14ac:dyDescent="0.25">
      <c r="B2" s="61"/>
      <c r="D2" s="61"/>
      <c r="F2" s="61"/>
      <c r="H2" s="61"/>
      <c r="I2" s="61"/>
      <c r="J2" s="61"/>
      <c r="L2" s="61"/>
      <c r="N2" s="61"/>
      <c r="P2" s="61"/>
    </row>
    <row r="3" spans="1:17" s="134" customFormat="1" x14ac:dyDescent="0.25">
      <c r="C3" s="58" t="s">
        <v>3</v>
      </c>
      <c r="D3" s="58"/>
      <c r="E3" s="58" t="s">
        <v>4</v>
      </c>
      <c r="F3" s="58"/>
      <c r="G3" s="58" t="s">
        <v>5</v>
      </c>
      <c r="H3" s="58"/>
      <c r="I3" s="58" t="s">
        <v>6</v>
      </c>
      <c r="J3" s="58"/>
      <c r="K3" s="58" t="s">
        <v>7</v>
      </c>
      <c r="L3" s="58"/>
      <c r="M3" s="58" t="s">
        <v>23</v>
      </c>
      <c r="N3" s="58"/>
      <c r="O3" s="58" t="s">
        <v>24</v>
      </c>
      <c r="P3" s="58"/>
      <c r="Q3" s="58" t="s">
        <v>25</v>
      </c>
    </row>
    <row r="4" spans="1:17" s="56" customFormat="1" x14ac:dyDescent="0.25">
      <c r="B4" s="61"/>
    </row>
    <row r="5" spans="1:17" s="56" customFormat="1" ht="30" x14ac:dyDescent="0.25">
      <c r="A5" s="62" t="s">
        <v>34</v>
      </c>
      <c r="B5" s="64"/>
      <c r="C5" s="5" t="s">
        <v>37</v>
      </c>
      <c r="D5" s="6"/>
      <c r="E5" s="5" t="s">
        <v>32</v>
      </c>
      <c r="F5" s="6"/>
      <c r="G5" s="5" t="s">
        <v>29</v>
      </c>
      <c r="H5" s="6"/>
      <c r="I5" s="5" t="s">
        <v>33</v>
      </c>
      <c r="J5" s="6"/>
      <c r="K5" s="5" t="s">
        <v>35</v>
      </c>
      <c r="L5" s="6"/>
      <c r="M5" s="5" t="s">
        <v>31</v>
      </c>
      <c r="N5" s="6"/>
      <c r="O5" s="5" t="s">
        <v>30</v>
      </c>
      <c r="P5" s="6"/>
      <c r="Q5" s="5" t="s">
        <v>36</v>
      </c>
    </row>
    <row r="6" spans="1:17" x14ac:dyDescent="0.25">
      <c r="A6" s="58">
        <v>2011</v>
      </c>
      <c r="B6" s="58"/>
      <c r="C6" s="74">
        <v>11385.007700425625</v>
      </c>
      <c r="D6" s="74"/>
      <c r="E6" s="76">
        <v>876.75740003776309</v>
      </c>
      <c r="F6" s="76"/>
      <c r="G6" s="76">
        <v>240.19540468757725</v>
      </c>
      <c r="H6" s="76"/>
      <c r="I6" s="76">
        <v>405.07782202444332</v>
      </c>
      <c r="J6" s="76"/>
      <c r="K6" s="60">
        <f t="shared" ref="K6:K9" si="0">E6/C6</f>
        <v>7.7009820555939176E-2</v>
      </c>
      <c r="L6" s="60"/>
      <c r="M6" s="60">
        <f t="shared" ref="M6:M9" si="1">G6/C6</f>
        <v>2.1097517982231809E-2</v>
      </c>
      <c r="N6" s="60"/>
      <c r="O6" s="60">
        <f t="shared" ref="O6:O9" si="2">I6/C6</f>
        <v>3.5579933952025314E-2</v>
      </c>
      <c r="P6" s="60"/>
      <c r="Q6" s="59">
        <f t="shared" ref="Q6:Q9" si="3">M6+O6</f>
        <v>5.667745193425712E-2</v>
      </c>
    </row>
    <row r="7" spans="1:17" x14ac:dyDescent="0.25">
      <c r="A7" s="58">
        <v>2012</v>
      </c>
      <c r="B7" s="58"/>
      <c r="C7" s="74">
        <v>12742.436250224304</v>
      </c>
      <c r="D7" s="74"/>
      <c r="E7" s="76">
        <v>870.1948787587462</v>
      </c>
      <c r="F7" s="76"/>
      <c r="G7" s="76">
        <v>280.690417786708</v>
      </c>
      <c r="H7" s="76"/>
      <c r="I7" s="76">
        <v>398.90997200000004</v>
      </c>
      <c r="J7" s="76"/>
      <c r="K7" s="60">
        <f t="shared" si="0"/>
        <v>6.8291091410673396E-2</v>
      </c>
      <c r="L7" s="60"/>
      <c r="M7" s="60">
        <f t="shared" si="1"/>
        <v>2.2028002516533449E-2</v>
      </c>
      <c r="N7" s="60"/>
      <c r="O7" s="60">
        <f t="shared" si="2"/>
        <v>3.1305628230471082E-2</v>
      </c>
      <c r="P7" s="60"/>
      <c r="Q7" s="59">
        <f t="shared" si="3"/>
        <v>5.3333630747004535E-2</v>
      </c>
    </row>
    <row r="8" spans="1:17" x14ac:dyDescent="0.25">
      <c r="A8" s="58">
        <v>2013</v>
      </c>
      <c r="B8" s="58"/>
      <c r="C8" s="74">
        <v>16494.783083987797</v>
      </c>
      <c r="D8" s="74"/>
      <c r="E8" s="76">
        <v>956.00990460087269</v>
      </c>
      <c r="F8" s="76"/>
      <c r="G8" s="76">
        <v>311.77171051674964</v>
      </c>
      <c r="H8" s="76"/>
      <c r="I8" s="76">
        <v>475.58680400000003</v>
      </c>
      <c r="J8" s="76"/>
      <c r="K8" s="60">
        <f t="shared" si="0"/>
        <v>5.7958319289988909E-2</v>
      </c>
      <c r="L8" s="60"/>
      <c r="M8" s="60">
        <f t="shared" si="1"/>
        <v>1.890123131230504E-2</v>
      </c>
      <c r="N8" s="60"/>
      <c r="O8" s="60">
        <f t="shared" si="2"/>
        <v>2.8832558850784333E-2</v>
      </c>
      <c r="P8" s="60"/>
      <c r="Q8" s="59">
        <f t="shared" si="3"/>
        <v>4.7733790163089374E-2</v>
      </c>
    </row>
    <row r="9" spans="1:17" x14ac:dyDescent="0.25">
      <c r="A9" s="99">
        <v>2014</v>
      </c>
      <c r="B9" s="58"/>
      <c r="C9" s="74">
        <v>18245.162915721601</v>
      </c>
      <c r="D9" s="74"/>
      <c r="E9" s="76">
        <v>1004.2233066862408</v>
      </c>
      <c r="F9" s="76"/>
      <c r="G9" s="76">
        <v>350.43209036038417</v>
      </c>
      <c r="H9" s="76"/>
      <c r="I9" s="76">
        <v>553.27531399999998</v>
      </c>
      <c r="J9" s="76"/>
      <c r="K9" s="60">
        <f t="shared" si="0"/>
        <v>5.5040522867620748E-2</v>
      </c>
      <c r="L9" s="60"/>
      <c r="M9" s="60">
        <f t="shared" si="1"/>
        <v>1.9206849068934415E-2</v>
      </c>
      <c r="N9" s="60"/>
      <c r="O9" s="60">
        <f t="shared" si="2"/>
        <v>3.0324492938522921E-2</v>
      </c>
      <c r="P9" s="60"/>
      <c r="Q9" s="59">
        <f t="shared" si="3"/>
        <v>4.9531342007457332E-2</v>
      </c>
    </row>
    <row r="10" spans="1:17" s="191" customFormat="1" x14ac:dyDescent="0.25">
      <c r="A10" s="99">
        <v>2015</v>
      </c>
      <c r="B10" s="190"/>
      <c r="C10" s="74">
        <v>17899.5562447142</v>
      </c>
      <c r="D10" s="74"/>
      <c r="E10" s="76">
        <v>885.38</v>
      </c>
      <c r="F10" s="76"/>
      <c r="G10" s="76">
        <v>382.32</v>
      </c>
      <c r="H10" s="76"/>
      <c r="I10" s="76">
        <v>572.16</v>
      </c>
      <c r="J10" s="76"/>
      <c r="K10" s="189">
        <f t="shared" ref="K10" si="4">E10/C10</f>
        <v>4.9463796079383573E-2</v>
      </c>
      <c r="L10" s="189"/>
      <c r="M10" s="189">
        <f t="shared" ref="M10" si="5">G10/C10</f>
        <v>2.1359188729212233E-2</v>
      </c>
      <c r="N10" s="189"/>
      <c r="O10" s="189">
        <f t="shared" ref="O10" si="6">I10/C10</f>
        <v>3.1965038248865013E-2</v>
      </c>
      <c r="P10" s="189"/>
      <c r="Q10" s="171">
        <f t="shared" ref="Q10" si="7">M10+O10</f>
        <v>5.3324226978077247E-2</v>
      </c>
    </row>
    <row r="11" spans="1:17" s="286" customFormat="1" x14ac:dyDescent="0.25">
      <c r="A11" s="99">
        <v>2015</v>
      </c>
      <c r="B11" s="284"/>
      <c r="C11" s="74">
        <v>19268</v>
      </c>
      <c r="D11" s="74"/>
      <c r="E11" s="76">
        <v>919.85</v>
      </c>
      <c r="F11" s="76"/>
      <c r="G11" s="76">
        <v>397.22</v>
      </c>
      <c r="H11" s="76"/>
      <c r="I11" s="76">
        <v>536.38</v>
      </c>
      <c r="J11" s="76"/>
      <c r="K11" s="285">
        <f t="shared" ref="K11" si="8">E11/C11</f>
        <v>4.7739775794062696E-2</v>
      </c>
      <c r="L11" s="285"/>
      <c r="M11" s="285">
        <f t="shared" ref="M11" si="9">G11/C11</f>
        <v>2.06155283371393E-2</v>
      </c>
      <c r="N11" s="285"/>
      <c r="O11" s="285">
        <f t="shared" ref="O11" si="10">I11/C11</f>
        <v>2.7837865891633798E-2</v>
      </c>
      <c r="P11" s="285"/>
      <c r="Q11" s="171">
        <f t="shared" ref="Q11" si="11">M11+O11</f>
        <v>4.8453394228773095E-2</v>
      </c>
    </row>
    <row r="12" spans="1:17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s="61" customFormat="1" x14ac:dyDescent="0.25">
      <c r="A13" s="18"/>
      <c r="B13" s="18"/>
      <c r="Q13" s="71"/>
    </row>
    <row r="14" spans="1:17" s="61" customFormat="1" x14ac:dyDescent="0.25">
      <c r="A14" s="72" t="s">
        <v>38</v>
      </c>
      <c r="B14" s="72"/>
      <c r="C14" s="59">
        <f>AVERAGE(Q6:Q11)</f>
        <v>5.1508972676443117E-2</v>
      </c>
      <c r="D14" s="15"/>
      <c r="E14" s="58" t="s">
        <v>28</v>
      </c>
      <c r="Q14" s="71"/>
    </row>
    <row r="15" spans="1:17" s="61" customFormat="1" x14ac:dyDescent="0.25">
      <c r="A15" s="72" t="s">
        <v>39</v>
      </c>
      <c r="B15" s="72"/>
      <c r="C15" s="60">
        <f>(E11/E6)^(1/5)-1</f>
        <v>9.6422465777274979E-3</v>
      </c>
      <c r="D15" s="57"/>
      <c r="E15" s="58" t="s">
        <v>40</v>
      </c>
      <c r="G15" s="100"/>
      <c r="Q15" s="71"/>
    </row>
    <row r="16" spans="1:17" s="61" customFormat="1" x14ac:dyDescent="0.25">
      <c r="A16" s="48" t="s">
        <v>41</v>
      </c>
      <c r="B16" s="72"/>
      <c r="C16" s="60">
        <f>'8 Risk Free Rate'!E35</f>
        <v>2.8073333333333336E-2</v>
      </c>
      <c r="E16" s="58" t="s">
        <v>42</v>
      </c>
      <c r="Q16" s="71"/>
    </row>
    <row r="17" spans="1:17" s="61" customFormat="1" x14ac:dyDescent="0.25">
      <c r="A17" s="48" t="s">
        <v>43</v>
      </c>
      <c r="B17" s="72"/>
      <c r="C17" s="75">
        <f>'4 Stock Price'!B5</f>
        <v>2516.5656900333333</v>
      </c>
      <c r="E17" s="58" t="s">
        <v>48</v>
      </c>
      <c r="Q17" s="71"/>
    </row>
    <row r="18" spans="1:17" s="61" customFormat="1" x14ac:dyDescent="0.25">
      <c r="A18" s="77"/>
      <c r="B18" s="77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78"/>
    </row>
    <row r="19" spans="1:17" s="61" customFormat="1" x14ac:dyDescent="0.25">
      <c r="A19" s="79"/>
      <c r="B19" s="79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80"/>
    </row>
    <row r="20" spans="1:17" s="61" customFormat="1" x14ac:dyDescent="0.25">
      <c r="A20" s="79"/>
      <c r="B20" s="79"/>
      <c r="C20" s="64" t="s">
        <v>49</v>
      </c>
      <c r="D20" s="64"/>
      <c r="E20" s="64" t="s">
        <v>50</v>
      </c>
      <c r="F20" s="64"/>
      <c r="G20" s="64" t="s">
        <v>51</v>
      </c>
      <c r="H20" s="64"/>
      <c r="I20" s="64" t="s">
        <v>52</v>
      </c>
      <c r="J20" s="64"/>
      <c r="K20" s="64" t="s">
        <v>53</v>
      </c>
      <c r="L20" s="27"/>
      <c r="M20" s="27"/>
      <c r="N20" s="27"/>
      <c r="O20" s="27"/>
      <c r="P20" s="27"/>
      <c r="Q20" s="80"/>
    </row>
    <row r="21" spans="1:17" s="167" customFormat="1" x14ac:dyDescent="0.25">
      <c r="A21" s="79"/>
      <c r="B21" s="79"/>
      <c r="C21" s="94"/>
      <c r="D21" s="94"/>
      <c r="E21" s="94"/>
      <c r="F21" s="94"/>
      <c r="G21" s="94"/>
      <c r="H21" s="94"/>
      <c r="I21" s="94"/>
      <c r="J21" s="94"/>
      <c r="K21" s="94"/>
      <c r="L21" s="27"/>
      <c r="M21" s="27"/>
      <c r="N21" s="27"/>
      <c r="O21" s="27"/>
      <c r="P21" s="27"/>
      <c r="Q21" s="80"/>
    </row>
    <row r="22" spans="1:17" s="61" customFormat="1" x14ac:dyDescent="0.25">
      <c r="A22" s="62" t="s">
        <v>34</v>
      </c>
      <c r="B22" s="79"/>
      <c r="C22" s="62">
        <v>1</v>
      </c>
      <c r="D22" s="64"/>
      <c r="E22" s="62">
        <v>2</v>
      </c>
      <c r="F22" s="64"/>
      <c r="G22" s="62">
        <v>3</v>
      </c>
      <c r="H22" s="64"/>
      <c r="I22" s="62">
        <v>4</v>
      </c>
      <c r="J22" s="64"/>
      <c r="K22" s="62">
        <v>5</v>
      </c>
      <c r="L22" s="27"/>
      <c r="M22" s="27"/>
      <c r="N22" s="27"/>
      <c r="O22" s="27"/>
      <c r="P22" s="27"/>
      <c r="Q22" s="80"/>
    </row>
    <row r="23" spans="1:17" s="61" customFormat="1" x14ac:dyDescent="0.25">
      <c r="A23" s="72"/>
      <c r="B23" s="18"/>
      <c r="Q23" s="71"/>
    </row>
    <row r="24" spans="1:17" s="61" customFormat="1" x14ac:dyDescent="0.25">
      <c r="A24" s="72" t="s">
        <v>44</v>
      </c>
      <c r="B24" s="18"/>
      <c r="C24" s="45">
        <f>$C$14*$C$17*(1+$C$15)^C22</f>
        <v>130.87559645749386</v>
      </c>
      <c r="D24" s="45"/>
      <c r="E24" s="45">
        <f t="shared" ref="E24:K24" si="12">$C$14*$C$17*(1+$C$15)^E22</f>
        <v>132.13753122954418</v>
      </c>
      <c r="F24" s="45"/>
      <c r="G24" s="45">
        <f t="shared" si="12"/>
        <v>133.41163388783161</v>
      </c>
      <c r="H24" s="45"/>
      <c r="I24" s="45">
        <f t="shared" si="12"/>
        <v>134.69802175811557</v>
      </c>
      <c r="J24" s="45"/>
      <c r="K24" s="220">
        <f t="shared" si="12"/>
        <v>135.99681329743942</v>
      </c>
      <c r="Q24" s="71"/>
    </row>
    <row r="25" spans="1:17" s="61" customFormat="1" x14ac:dyDescent="0.25">
      <c r="A25" s="48" t="s">
        <v>45</v>
      </c>
      <c r="B25" s="18"/>
      <c r="C25" s="221"/>
      <c r="D25" s="221"/>
      <c r="E25" s="221"/>
      <c r="F25" s="221"/>
      <c r="G25" s="221"/>
      <c r="H25" s="221"/>
      <c r="I25" s="221"/>
      <c r="J25" s="221"/>
      <c r="K25" s="222">
        <f>K24*(1+C16)/C32</f>
        <v>2867.6243911744191</v>
      </c>
      <c r="Q25" s="71"/>
    </row>
    <row r="26" spans="1:17" s="61" customFormat="1" x14ac:dyDescent="0.25">
      <c r="A26" s="48" t="s">
        <v>46</v>
      </c>
      <c r="B26" s="18"/>
      <c r="C26" s="44">
        <f>C24/(1+$C$16+$C$32)^C22</f>
        <v>121.53788757444551</v>
      </c>
      <c r="D26" s="129"/>
      <c r="E26" s="44">
        <f t="shared" ref="E26:I26" si="13">E24/(1+$C$16+$C$32)^E22</f>
        <v>113.95469102881943</v>
      </c>
      <c r="F26" s="129"/>
      <c r="G26" s="44">
        <f t="shared" si="13"/>
        <v>106.84463805181403</v>
      </c>
      <c r="H26" s="129"/>
      <c r="I26" s="44">
        <f t="shared" si="13"/>
        <v>100.17820747314448</v>
      </c>
      <c r="J26" s="45"/>
      <c r="K26" s="222">
        <f>(K24+K25)/(1+$C$16+C32)^K22</f>
        <v>2074.4845765918967</v>
      </c>
      <c r="Q26" s="71"/>
    </row>
    <row r="27" spans="1:17" s="61" customFormat="1" x14ac:dyDescent="0.25">
      <c r="A27" s="72"/>
      <c r="B27" s="18"/>
      <c r="Q27" s="71"/>
    </row>
    <row r="28" spans="1:17" s="61" customFormat="1" x14ac:dyDescent="0.25">
      <c r="A28" s="48" t="s">
        <v>47</v>
      </c>
      <c r="B28" s="18"/>
      <c r="C28" s="44">
        <f>SUM(C26,E26,G26,I26,K26)</f>
        <v>2517.0000007201202</v>
      </c>
      <c r="E28" s="58" t="s">
        <v>60</v>
      </c>
      <c r="Q28" s="71"/>
    </row>
    <row r="29" spans="1:17" s="112" customFormat="1" x14ac:dyDescent="0.25">
      <c r="A29" s="48"/>
      <c r="B29" s="18"/>
      <c r="C29" s="129"/>
      <c r="E29" s="111"/>
      <c r="Q29" s="71"/>
    </row>
    <row r="30" spans="1:17" s="112" customFormat="1" x14ac:dyDescent="0.25">
      <c r="A30" s="48" t="s">
        <v>76</v>
      </c>
      <c r="B30" s="18"/>
      <c r="C30" s="130">
        <f>C32+C16</f>
        <v>7.6829613130545274E-2</v>
      </c>
      <c r="D30" s="61"/>
      <c r="E30" s="104" t="s">
        <v>61</v>
      </c>
      <c r="Q30" s="71"/>
    </row>
    <row r="31" spans="1:17" s="61" customFormat="1" ht="15.75" thickBot="1" x14ac:dyDescent="0.3">
      <c r="A31" s="72"/>
      <c r="B31" s="18"/>
      <c r="Q31" s="71"/>
    </row>
    <row r="32" spans="1:17" s="61" customFormat="1" ht="15.75" thickBot="1" x14ac:dyDescent="0.3">
      <c r="A32" s="73" t="s">
        <v>54</v>
      </c>
      <c r="B32" s="18"/>
      <c r="C32" s="348">
        <v>4.8756279797211942E-2</v>
      </c>
      <c r="E32" s="58" t="s">
        <v>77</v>
      </c>
      <c r="Q32" s="71"/>
    </row>
    <row r="33" spans="1:17" s="61" customFormat="1" x14ac:dyDescent="0.25">
      <c r="A33" s="77"/>
      <c r="B33" s="13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78"/>
    </row>
    <row r="34" spans="1:17" s="61" customFormat="1" x14ac:dyDescent="0.25">
      <c r="Q34" s="71"/>
    </row>
    <row r="35" spans="1:17" x14ac:dyDescent="0.25">
      <c r="A35" s="72"/>
    </row>
    <row r="36" spans="1:17" s="158" customFormat="1" ht="14.45" customHeight="1" x14ac:dyDescent="0.2">
      <c r="A36" s="413" t="s">
        <v>349</v>
      </c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</row>
    <row r="37" spans="1:17" s="158" customFormat="1" ht="14.45" customHeight="1" x14ac:dyDescent="0.2">
      <c r="A37" s="413" t="s">
        <v>86</v>
      </c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</row>
    <row r="38" spans="1:17" s="158" customFormat="1" ht="14.45" customHeight="1" x14ac:dyDescent="0.2">
      <c r="A38" s="413" t="s">
        <v>55</v>
      </c>
      <c r="B38" s="413"/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</row>
    <row r="39" spans="1:17" s="158" customFormat="1" ht="14.45" customHeight="1" x14ac:dyDescent="0.2">
      <c r="A39" s="413" t="s">
        <v>56</v>
      </c>
      <c r="B39" s="413"/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</row>
    <row r="40" spans="1:17" s="158" customFormat="1" ht="14.45" customHeight="1" x14ac:dyDescent="0.2">
      <c r="A40" s="413" t="s">
        <v>57</v>
      </c>
      <c r="B40" s="413"/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</row>
    <row r="41" spans="1:17" s="158" customFormat="1" ht="14.45" customHeight="1" x14ac:dyDescent="0.2">
      <c r="A41" s="413" t="s">
        <v>58</v>
      </c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</row>
    <row r="42" spans="1:17" s="158" customFormat="1" ht="14.45" customHeight="1" x14ac:dyDescent="0.2">
      <c r="A42" s="413" t="s">
        <v>59</v>
      </c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</row>
    <row r="43" spans="1:17" s="158" customFormat="1" ht="14.45" customHeight="1" x14ac:dyDescent="0.2">
      <c r="A43" s="413" t="s">
        <v>122</v>
      </c>
      <c r="B43" s="413"/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</row>
    <row r="44" spans="1:17" s="158" customFormat="1" ht="14.45" customHeight="1" x14ac:dyDescent="0.2">
      <c r="A44" s="413" t="s">
        <v>324</v>
      </c>
      <c r="B44" s="413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</row>
    <row r="45" spans="1:17" s="158" customFormat="1" ht="14.45" customHeight="1" x14ac:dyDescent="0.2">
      <c r="A45" s="413" t="s">
        <v>325</v>
      </c>
      <c r="B45" s="413"/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</row>
    <row r="46" spans="1:17" s="158" customFormat="1" ht="14.45" customHeight="1" x14ac:dyDescent="0.2">
      <c r="A46" s="413" t="s">
        <v>95</v>
      </c>
      <c r="B46" s="413"/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</row>
    <row r="47" spans="1:17" s="158" customFormat="1" ht="14.45" customHeight="1" x14ac:dyDescent="0.2">
      <c r="A47" s="413" t="s">
        <v>96</v>
      </c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</row>
    <row r="48" spans="1:17" s="158" customFormat="1" ht="14.45" customHeight="1" x14ac:dyDescent="0.2">
      <c r="A48" s="413" t="s">
        <v>97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</row>
    <row r="49" spans="1:17" s="158" customFormat="1" ht="14.45" customHeight="1" x14ac:dyDescent="0.2">
      <c r="A49" s="413" t="s">
        <v>85</v>
      </c>
      <c r="B49" s="413"/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</row>
    <row r="50" spans="1:17" s="158" customFormat="1" ht="14.45" customHeight="1" x14ac:dyDescent="0.2">
      <c r="A50" s="413" t="s">
        <v>98</v>
      </c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</row>
    <row r="51" spans="1:17" x14ac:dyDescent="0.25">
      <c r="A51" s="72"/>
    </row>
    <row r="52" spans="1:17" x14ac:dyDescent="0.25">
      <c r="A52" s="72"/>
    </row>
    <row r="53" spans="1:17" x14ac:dyDescent="0.25">
      <c r="A53" s="72"/>
    </row>
    <row r="54" spans="1:17" x14ac:dyDescent="0.25">
      <c r="A54" s="72"/>
    </row>
    <row r="55" spans="1:17" x14ac:dyDescent="0.25">
      <c r="A55" s="72"/>
    </row>
    <row r="56" spans="1:17" x14ac:dyDescent="0.25">
      <c r="A56" s="72"/>
    </row>
    <row r="57" spans="1:17" x14ac:dyDescent="0.25">
      <c r="A57" s="72"/>
    </row>
    <row r="58" spans="1:17" x14ac:dyDescent="0.25">
      <c r="A58" s="72"/>
    </row>
    <row r="59" spans="1:17" x14ac:dyDescent="0.25">
      <c r="A59" s="72"/>
    </row>
    <row r="60" spans="1:17" x14ac:dyDescent="0.25">
      <c r="A60" s="72"/>
    </row>
    <row r="61" spans="1:17" x14ac:dyDescent="0.25">
      <c r="A61" s="72"/>
    </row>
    <row r="62" spans="1:17" x14ac:dyDescent="0.25">
      <c r="A62" s="72"/>
    </row>
    <row r="63" spans="1:17" x14ac:dyDescent="0.25">
      <c r="A63" s="72"/>
    </row>
    <row r="64" spans="1:17" x14ac:dyDescent="0.25">
      <c r="A64" s="72"/>
    </row>
    <row r="65" spans="1:1" x14ac:dyDescent="0.25">
      <c r="A65" s="72"/>
    </row>
    <row r="66" spans="1:1" x14ac:dyDescent="0.25">
      <c r="A66" s="72"/>
    </row>
    <row r="67" spans="1:1" x14ac:dyDescent="0.25">
      <c r="A67" s="72"/>
    </row>
    <row r="68" spans="1:1" x14ac:dyDescent="0.25">
      <c r="A68" s="72"/>
    </row>
    <row r="69" spans="1:1" x14ac:dyDescent="0.25">
      <c r="A69" s="72"/>
    </row>
    <row r="70" spans="1:1" x14ac:dyDescent="0.25">
      <c r="A70" s="72"/>
    </row>
    <row r="71" spans="1:1" x14ac:dyDescent="0.25">
      <c r="A71" s="72"/>
    </row>
    <row r="72" spans="1:1" x14ac:dyDescent="0.25">
      <c r="A72" s="72"/>
    </row>
    <row r="73" spans="1:1" x14ac:dyDescent="0.25">
      <c r="A73" s="72"/>
    </row>
    <row r="74" spans="1:1" x14ac:dyDescent="0.25">
      <c r="A74" s="72"/>
    </row>
    <row r="75" spans="1:1" x14ac:dyDescent="0.25">
      <c r="A75" s="72"/>
    </row>
    <row r="76" spans="1:1" x14ac:dyDescent="0.25">
      <c r="A76" s="72"/>
    </row>
    <row r="77" spans="1:1" x14ac:dyDescent="0.25">
      <c r="A77" s="72"/>
    </row>
    <row r="78" spans="1:1" x14ac:dyDescent="0.25">
      <c r="A78" s="72"/>
    </row>
    <row r="79" spans="1:1" x14ac:dyDescent="0.25">
      <c r="A79" s="72"/>
    </row>
    <row r="80" spans="1:1" x14ac:dyDescent="0.25">
      <c r="A80" s="72"/>
    </row>
    <row r="81" spans="1:1" x14ac:dyDescent="0.25">
      <c r="A81" s="72"/>
    </row>
    <row r="82" spans="1:1" x14ac:dyDescent="0.25">
      <c r="A82" s="72"/>
    </row>
    <row r="83" spans="1:1" x14ac:dyDescent="0.25">
      <c r="A83" s="72"/>
    </row>
    <row r="84" spans="1:1" x14ac:dyDescent="0.25">
      <c r="A84" s="72"/>
    </row>
    <row r="85" spans="1:1" x14ac:dyDescent="0.25">
      <c r="A85" s="72"/>
    </row>
    <row r="86" spans="1:1" x14ac:dyDescent="0.25">
      <c r="A86" s="72"/>
    </row>
    <row r="87" spans="1:1" x14ac:dyDescent="0.25">
      <c r="A87" s="72"/>
    </row>
    <row r="88" spans="1:1" x14ac:dyDescent="0.25">
      <c r="A88" s="72"/>
    </row>
    <row r="89" spans="1:1" x14ac:dyDescent="0.25">
      <c r="A89" s="72"/>
    </row>
    <row r="90" spans="1:1" x14ac:dyDescent="0.25">
      <c r="A90" s="72"/>
    </row>
    <row r="91" spans="1:1" x14ac:dyDescent="0.25">
      <c r="A91" s="72"/>
    </row>
    <row r="92" spans="1:1" x14ac:dyDescent="0.25">
      <c r="A92" s="72"/>
    </row>
    <row r="93" spans="1:1" x14ac:dyDescent="0.25">
      <c r="A93" s="72"/>
    </row>
    <row r="94" spans="1:1" x14ac:dyDescent="0.25">
      <c r="A94" s="72"/>
    </row>
    <row r="95" spans="1:1" x14ac:dyDescent="0.25">
      <c r="A95" s="72"/>
    </row>
    <row r="96" spans="1:1" x14ac:dyDescent="0.25">
      <c r="A96" s="72"/>
    </row>
    <row r="97" spans="1:1" x14ac:dyDescent="0.25">
      <c r="A97" s="72"/>
    </row>
    <row r="98" spans="1:1" x14ac:dyDescent="0.25">
      <c r="A98" s="72"/>
    </row>
    <row r="99" spans="1:1" x14ac:dyDescent="0.25">
      <c r="A99" s="72"/>
    </row>
    <row r="100" spans="1:1" x14ac:dyDescent="0.25">
      <c r="A100" s="72"/>
    </row>
    <row r="101" spans="1:1" x14ac:dyDescent="0.25">
      <c r="A101" s="72"/>
    </row>
    <row r="102" spans="1:1" x14ac:dyDescent="0.25">
      <c r="A102" s="72"/>
    </row>
    <row r="103" spans="1:1" x14ac:dyDescent="0.25">
      <c r="A103" s="72"/>
    </row>
    <row r="104" spans="1:1" x14ac:dyDescent="0.25">
      <c r="A104" s="72"/>
    </row>
    <row r="105" spans="1:1" x14ac:dyDescent="0.25">
      <c r="A105" s="72"/>
    </row>
    <row r="106" spans="1:1" x14ac:dyDescent="0.25">
      <c r="A106" s="72"/>
    </row>
    <row r="107" spans="1:1" x14ac:dyDescent="0.25">
      <c r="A107" s="72"/>
    </row>
    <row r="108" spans="1:1" x14ac:dyDescent="0.25">
      <c r="A108" s="72"/>
    </row>
    <row r="109" spans="1:1" x14ac:dyDescent="0.25">
      <c r="A109" s="72"/>
    </row>
    <row r="110" spans="1:1" x14ac:dyDescent="0.25">
      <c r="A110" s="72"/>
    </row>
    <row r="111" spans="1:1" x14ac:dyDescent="0.25">
      <c r="A111" s="72"/>
    </row>
    <row r="112" spans="1:1" x14ac:dyDescent="0.25">
      <c r="A112" s="72"/>
    </row>
    <row r="113" spans="1:1" x14ac:dyDescent="0.25">
      <c r="A113" s="72"/>
    </row>
    <row r="114" spans="1:1" x14ac:dyDescent="0.25">
      <c r="A114" s="72"/>
    </row>
    <row r="115" spans="1:1" x14ac:dyDescent="0.25">
      <c r="A115" s="72"/>
    </row>
    <row r="116" spans="1:1" x14ac:dyDescent="0.25">
      <c r="A116" s="72"/>
    </row>
    <row r="117" spans="1:1" x14ac:dyDescent="0.25">
      <c r="A117" s="72"/>
    </row>
    <row r="118" spans="1:1" x14ac:dyDescent="0.25">
      <c r="A118" s="72"/>
    </row>
    <row r="119" spans="1:1" x14ac:dyDescent="0.25">
      <c r="A119" s="72"/>
    </row>
    <row r="120" spans="1:1" x14ac:dyDescent="0.25">
      <c r="A120" s="72"/>
    </row>
    <row r="121" spans="1:1" x14ac:dyDescent="0.25">
      <c r="A121" s="72"/>
    </row>
    <row r="122" spans="1:1" x14ac:dyDescent="0.25">
      <c r="A122" s="72"/>
    </row>
    <row r="123" spans="1:1" x14ac:dyDescent="0.25">
      <c r="A123" s="72"/>
    </row>
    <row r="124" spans="1:1" x14ac:dyDescent="0.25">
      <c r="A124" s="72"/>
    </row>
    <row r="125" spans="1:1" x14ac:dyDescent="0.25">
      <c r="A125" s="72"/>
    </row>
    <row r="126" spans="1:1" x14ac:dyDescent="0.25">
      <c r="A126" s="72"/>
    </row>
    <row r="127" spans="1:1" x14ac:dyDescent="0.25">
      <c r="A127" s="72"/>
    </row>
    <row r="128" spans="1:1" x14ac:dyDescent="0.25">
      <c r="A128" s="72"/>
    </row>
    <row r="129" spans="1:1" x14ac:dyDescent="0.25">
      <c r="A129" s="72"/>
    </row>
    <row r="130" spans="1:1" x14ac:dyDescent="0.25">
      <c r="A130" s="72"/>
    </row>
    <row r="131" spans="1:1" x14ac:dyDescent="0.25">
      <c r="A131" s="72"/>
    </row>
    <row r="132" spans="1:1" x14ac:dyDescent="0.25">
      <c r="A132" s="72"/>
    </row>
    <row r="133" spans="1:1" x14ac:dyDescent="0.25">
      <c r="A133" s="72"/>
    </row>
    <row r="134" spans="1:1" x14ac:dyDescent="0.25">
      <c r="A134" s="72"/>
    </row>
    <row r="135" spans="1:1" x14ac:dyDescent="0.25">
      <c r="A135" s="72"/>
    </row>
    <row r="136" spans="1:1" x14ac:dyDescent="0.25">
      <c r="A136" s="72"/>
    </row>
    <row r="137" spans="1:1" x14ac:dyDescent="0.25">
      <c r="A137" s="72"/>
    </row>
    <row r="138" spans="1:1" x14ac:dyDescent="0.25">
      <c r="A138" s="72"/>
    </row>
    <row r="139" spans="1:1" x14ac:dyDescent="0.25">
      <c r="A139" s="72"/>
    </row>
    <row r="140" spans="1:1" x14ac:dyDescent="0.25">
      <c r="A140" s="72"/>
    </row>
    <row r="141" spans="1:1" x14ac:dyDescent="0.25">
      <c r="A141" s="72"/>
    </row>
    <row r="142" spans="1:1" x14ac:dyDescent="0.25">
      <c r="A142" s="72"/>
    </row>
    <row r="143" spans="1:1" x14ac:dyDescent="0.25">
      <c r="A143" s="72"/>
    </row>
    <row r="144" spans="1:1" x14ac:dyDescent="0.25">
      <c r="A144" s="72"/>
    </row>
  </sheetData>
  <mergeCells count="15">
    <mergeCell ref="A41:Q41"/>
    <mergeCell ref="A36:Q36"/>
    <mergeCell ref="A38:Q38"/>
    <mergeCell ref="A39:Q39"/>
    <mergeCell ref="A40:Q40"/>
    <mergeCell ref="A37:Q37"/>
    <mergeCell ref="A48:Q48"/>
    <mergeCell ref="A50:Q50"/>
    <mergeCell ref="A42:Q42"/>
    <mergeCell ref="A43:Q43"/>
    <mergeCell ref="A44:Q44"/>
    <mergeCell ref="A45:Q45"/>
    <mergeCell ref="A46:Q46"/>
    <mergeCell ref="A47:Q47"/>
    <mergeCell ref="A49:Q49"/>
  </mergeCells>
  <printOptions horizontalCentered="1"/>
  <pageMargins left="0.7" right="0.7" top="0.75" bottom="0.75" header="0.3" footer="0.3"/>
  <pageSetup scale="68" orientation="landscape" r:id="rId1"/>
  <headerFooter scaleWithDoc="0">
    <oddHeader>&amp;C&amp;"-,Bold"&amp;14Implied Equity Risk Premium&amp;RExhibit DJG-10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N45"/>
  <sheetViews>
    <sheetView zoomScale="90" zoomScaleNormal="90" workbookViewId="0">
      <selection activeCell="A23" sqref="A23:E23"/>
    </sheetView>
  </sheetViews>
  <sheetFormatPr defaultRowHeight="15" x14ac:dyDescent="0.25"/>
  <cols>
    <col min="1" max="1" width="29.7109375" style="288" customWidth="1"/>
    <col min="2" max="2" width="2.7109375" style="288" customWidth="1"/>
    <col min="3" max="3" width="10.7109375" style="288" customWidth="1"/>
    <col min="4" max="4" width="2.7109375" style="288" customWidth="1"/>
    <col min="5" max="5" width="3.28515625" style="288" customWidth="1"/>
    <col min="6" max="7" width="9.140625" style="288"/>
    <col min="8" max="8" width="17.85546875" style="288" customWidth="1"/>
    <col min="9" max="16384" width="9.140625" style="288"/>
  </cols>
  <sheetData>
    <row r="1" spans="1:10" x14ac:dyDescent="0.25">
      <c r="A1" s="287"/>
      <c r="B1" s="287"/>
      <c r="C1" s="287"/>
      <c r="D1" s="287"/>
      <c r="E1" s="287"/>
    </row>
    <row r="3" spans="1:10" x14ac:dyDescent="0.25">
      <c r="A3" s="289"/>
      <c r="C3" s="290"/>
      <c r="D3" s="290"/>
      <c r="E3" s="291"/>
      <c r="H3" s="288" t="s">
        <v>108</v>
      </c>
      <c r="I3" s="349">
        <v>8.6999999999999994E-2</v>
      </c>
    </row>
    <row r="4" spans="1:10" x14ac:dyDescent="0.25">
      <c r="A4" s="293" t="s">
        <v>161</v>
      </c>
      <c r="C4" s="294">
        <v>5.7000000000000002E-2</v>
      </c>
      <c r="D4" s="295"/>
      <c r="E4" s="291" t="s">
        <v>3</v>
      </c>
      <c r="I4" s="292"/>
      <c r="J4" s="292"/>
    </row>
    <row r="5" spans="1:10" x14ac:dyDescent="0.25">
      <c r="A5" s="296"/>
      <c r="C5" s="294"/>
      <c r="D5" s="295"/>
      <c r="E5" s="291"/>
      <c r="I5" s="292"/>
      <c r="J5" s="292"/>
    </row>
    <row r="6" spans="1:10" x14ac:dyDescent="0.25">
      <c r="A6" s="289" t="s">
        <v>162</v>
      </c>
      <c r="C6" s="294">
        <v>4.02E-2</v>
      </c>
      <c r="D6" s="297"/>
      <c r="E6" s="291" t="s">
        <v>4</v>
      </c>
      <c r="I6" s="298"/>
    </row>
    <row r="7" spans="1:10" x14ac:dyDescent="0.25">
      <c r="C7" s="294"/>
      <c r="E7" s="291"/>
      <c r="I7" s="292"/>
    </row>
    <row r="8" spans="1:10" x14ac:dyDescent="0.25">
      <c r="A8" s="288" t="s">
        <v>163</v>
      </c>
      <c r="C8" s="294">
        <v>0.05</v>
      </c>
      <c r="E8" s="291" t="s">
        <v>5</v>
      </c>
      <c r="I8" s="292"/>
    </row>
    <row r="9" spans="1:10" x14ac:dyDescent="0.25">
      <c r="A9" s="299"/>
      <c r="C9" s="294"/>
      <c r="E9" s="291"/>
      <c r="I9" s="292"/>
    </row>
    <row r="10" spans="1:10" x14ac:dyDescent="0.25">
      <c r="A10" s="293" t="s">
        <v>99</v>
      </c>
      <c r="C10" s="294">
        <f>AVERAGE(0.0463,0.0492,0.0616)</f>
        <v>5.2366666666666672E-2</v>
      </c>
      <c r="D10" s="297"/>
      <c r="E10" s="291" t="s">
        <v>6</v>
      </c>
      <c r="I10" s="292"/>
    </row>
    <row r="11" spans="1:10" x14ac:dyDescent="0.25">
      <c r="A11" s="293"/>
      <c r="C11" s="294"/>
      <c r="D11" s="297"/>
      <c r="E11" s="291"/>
      <c r="I11" s="292"/>
    </row>
    <row r="12" spans="1:10" x14ac:dyDescent="0.25">
      <c r="A12" s="289" t="s">
        <v>134</v>
      </c>
      <c r="C12" s="300">
        <f>'10 Implied ERP'!C32</f>
        <v>4.8756279797211942E-2</v>
      </c>
      <c r="D12" s="297"/>
      <c r="E12" s="291" t="s">
        <v>7</v>
      </c>
      <c r="I12" s="292"/>
    </row>
    <row r="13" spans="1:10" x14ac:dyDescent="0.25">
      <c r="C13" s="301"/>
      <c r="D13" s="302"/>
      <c r="E13" s="291"/>
      <c r="I13" s="292"/>
    </row>
    <row r="14" spans="1:10" x14ac:dyDescent="0.25">
      <c r="A14" s="18" t="s">
        <v>351</v>
      </c>
      <c r="C14" s="303">
        <f>MAX(C4:C12)</f>
        <v>5.7000000000000002E-2</v>
      </c>
      <c r="D14" s="304"/>
      <c r="E14" s="291"/>
      <c r="I14" s="292"/>
    </row>
    <row r="15" spans="1:10" x14ac:dyDescent="0.25">
      <c r="A15" s="305"/>
      <c r="B15" s="287"/>
      <c r="C15" s="306"/>
      <c r="D15" s="306"/>
      <c r="E15" s="307"/>
    </row>
    <row r="17" spans="1:14" x14ac:dyDescent="0.25">
      <c r="I17" s="298"/>
    </row>
    <row r="18" spans="1:14" x14ac:dyDescent="0.25">
      <c r="A18" s="414" t="s">
        <v>135</v>
      </c>
      <c r="B18" s="414"/>
      <c r="C18" s="414"/>
      <c r="D18" s="414"/>
      <c r="E18" s="414"/>
    </row>
    <row r="19" spans="1:14" x14ac:dyDescent="0.25">
      <c r="A19" s="414" t="s">
        <v>136</v>
      </c>
      <c r="B19" s="414"/>
      <c r="C19" s="414"/>
      <c r="D19" s="414"/>
      <c r="E19" s="414"/>
    </row>
    <row r="20" spans="1:14" x14ac:dyDescent="0.25">
      <c r="A20" s="414" t="s">
        <v>164</v>
      </c>
      <c r="B20" s="414"/>
      <c r="C20" s="414"/>
      <c r="D20" s="414"/>
      <c r="E20" s="414"/>
    </row>
    <row r="21" spans="1:14" x14ac:dyDescent="0.25">
      <c r="A21" s="415" t="s">
        <v>385</v>
      </c>
      <c r="B21" s="414"/>
      <c r="C21" s="414"/>
      <c r="D21" s="414"/>
      <c r="E21" s="414"/>
    </row>
    <row r="22" spans="1:14" x14ac:dyDescent="0.25">
      <c r="A22" s="387" t="s">
        <v>386</v>
      </c>
    </row>
    <row r="23" spans="1:14" ht="14.25" customHeight="1" x14ac:dyDescent="0.25">
      <c r="A23" s="414" t="s">
        <v>326</v>
      </c>
      <c r="B23" s="414"/>
      <c r="C23" s="414"/>
      <c r="D23" s="414"/>
      <c r="E23" s="414"/>
    </row>
    <row r="25" spans="1:14" s="308" customFormat="1" ht="14.25" customHeight="1" x14ac:dyDescent="0.25">
      <c r="A25" s="288"/>
      <c r="B25" s="288"/>
      <c r="C25" s="288"/>
      <c r="D25" s="288"/>
      <c r="E25" s="288"/>
      <c r="H25" s="288"/>
      <c r="I25" s="288"/>
      <c r="J25" s="288"/>
      <c r="K25" s="288"/>
      <c r="L25" s="288"/>
      <c r="M25" s="288"/>
      <c r="N25" s="288"/>
    </row>
    <row r="26" spans="1:14" s="308" customFormat="1" ht="14.25" customHeight="1" x14ac:dyDescent="0.25">
      <c r="A26" s="288"/>
      <c r="B26" s="288"/>
      <c r="C26" s="288"/>
      <c r="D26" s="288"/>
      <c r="E26" s="288"/>
      <c r="H26" s="288"/>
      <c r="I26" s="288"/>
      <c r="J26" s="288"/>
      <c r="K26" s="288"/>
      <c r="L26" s="288"/>
      <c r="M26" s="288"/>
      <c r="N26" s="288"/>
    </row>
    <row r="27" spans="1:14" s="308" customFormat="1" ht="14.25" customHeight="1" x14ac:dyDescent="0.25">
      <c r="A27" s="288"/>
      <c r="B27" s="288"/>
      <c r="C27" s="288"/>
      <c r="D27" s="288"/>
      <c r="E27" s="288"/>
      <c r="H27" s="288"/>
      <c r="I27" s="288"/>
      <c r="J27" s="288"/>
      <c r="K27" s="288"/>
      <c r="L27" s="288"/>
      <c r="M27" s="288"/>
      <c r="N27" s="288"/>
    </row>
    <row r="28" spans="1:14" s="309" customFormat="1" ht="14.25" customHeight="1" x14ac:dyDescent="0.25">
      <c r="A28" s="288"/>
      <c r="B28" s="288"/>
      <c r="C28" s="288"/>
      <c r="D28" s="288"/>
      <c r="E28" s="288"/>
      <c r="H28" s="288"/>
      <c r="I28" s="288"/>
      <c r="J28" s="288"/>
      <c r="K28" s="288"/>
      <c r="L28" s="288"/>
      <c r="M28" s="288"/>
      <c r="N28" s="288"/>
    </row>
    <row r="29" spans="1:14" s="309" customFormat="1" ht="14.25" customHeight="1" x14ac:dyDescent="0.25">
      <c r="A29" s="288"/>
      <c r="B29" s="288"/>
      <c r="C29" s="288"/>
      <c r="D29" s="288"/>
      <c r="E29" s="288"/>
      <c r="H29" s="288"/>
      <c r="I29" s="288"/>
      <c r="J29" s="288"/>
      <c r="K29" s="288"/>
      <c r="L29" s="288"/>
      <c r="M29" s="288"/>
      <c r="N29" s="288"/>
    </row>
    <row r="30" spans="1:14" s="309" customFormat="1" ht="14.25" customHeight="1" x14ac:dyDescent="0.25">
      <c r="A30" s="288"/>
      <c r="B30" s="288"/>
      <c r="C30" s="288"/>
      <c r="D30" s="288"/>
      <c r="E30" s="288"/>
      <c r="H30" s="288"/>
      <c r="I30" s="288"/>
      <c r="J30" s="288"/>
      <c r="K30" s="288"/>
      <c r="L30" s="288"/>
      <c r="M30" s="288"/>
      <c r="N30" s="288"/>
    </row>
    <row r="31" spans="1:14" s="309" customFormat="1" ht="14.25" customHeight="1" x14ac:dyDescent="0.25">
      <c r="A31" s="288"/>
      <c r="B31" s="288"/>
      <c r="C31" s="288"/>
      <c r="D31" s="288"/>
      <c r="E31" s="288"/>
      <c r="H31" s="288"/>
      <c r="I31" s="288"/>
      <c r="J31" s="288"/>
      <c r="K31" s="288"/>
      <c r="L31" s="288"/>
      <c r="M31" s="288"/>
      <c r="N31" s="288"/>
    </row>
    <row r="32" spans="1:14" s="309" customFormat="1" ht="14.25" customHeight="1" x14ac:dyDescent="0.25">
      <c r="A32" s="288"/>
      <c r="B32" s="288"/>
      <c r="C32" s="288"/>
      <c r="D32" s="288"/>
      <c r="E32" s="288"/>
      <c r="H32" s="288"/>
      <c r="I32" s="288"/>
      <c r="J32" s="288"/>
      <c r="K32" s="288"/>
      <c r="L32" s="288"/>
      <c r="M32" s="288"/>
      <c r="N32" s="288"/>
    </row>
    <row r="33" spans="1:14" s="309" customFormat="1" ht="14.25" customHeight="1" x14ac:dyDescent="0.25">
      <c r="A33" s="288"/>
      <c r="B33" s="288"/>
      <c r="C33" s="288"/>
      <c r="D33" s="288"/>
      <c r="E33" s="288"/>
      <c r="H33" s="308"/>
      <c r="I33" s="308"/>
      <c r="J33" s="288"/>
      <c r="K33" s="288"/>
      <c r="L33" s="288"/>
      <c r="M33" s="288"/>
      <c r="N33" s="288"/>
    </row>
    <row r="34" spans="1:14" s="309" customFormat="1" ht="14.45" customHeight="1" x14ac:dyDescent="0.25">
      <c r="A34" s="288"/>
      <c r="B34" s="288"/>
      <c r="C34" s="288"/>
      <c r="D34" s="288"/>
      <c r="E34" s="288"/>
      <c r="H34" s="308"/>
      <c r="I34" s="308"/>
      <c r="J34" s="308"/>
      <c r="K34" s="308"/>
      <c r="L34" s="308"/>
      <c r="M34" s="308"/>
      <c r="N34" s="308"/>
    </row>
    <row r="35" spans="1:14" s="309" customFormat="1" ht="14.45" customHeight="1" x14ac:dyDescent="0.25">
      <c r="A35" s="288"/>
      <c r="B35" s="288"/>
      <c r="C35" s="288"/>
      <c r="D35" s="288"/>
      <c r="E35" s="288"/>
      <c r="I35" s="308"/>
      <c r="J35" s="308"/>
      <c r="K35" s="308"/>
      <c r="L35" s="308"/>
      <c r="M35" s="308"/>
      <c r="N35" s="308"/>
    </row>
    <row r="36" spans="1:14" s="309" customFormat="1" ht="14.45" customHeight="1" x14ac:dyDescent="0.25">
      <c r="A36" s="288"/>
      <c r="B36" s="288"/>
      <c r="C36" s="288"/>
      <c r="D36" s="288"/>
      <c r="E36" s="288"/>
      <c r="J36" s="308"/>
      <c r="K36" s="308"/>
      <c r="L36" s="308"/>
      <c r="M36" s="308"/>
      <c r="N36" s="308"/>
    </row>
    <row r="37" spans="1:14" x14ac:dyDescent="0.25">
      <c r="H37" s="309"/>
      <c r="I37" s="309"/>
      <c r="J37" s="309"/>
      <c r="K37" s="309"/>
      <c r="L37" s="309"/>
      <c r="M37" s="309"/>
      <c r="N37" s="309"/>
    </row>
    <row r="38" spans="1:14" x14ac:dyDescent="0.25">
      <c r="H38" s="309"/>
      <c r="I38" s="309"/>
      <c r="J38" s="309"/>
      <c r="K38" s="309"/>
      <c r="L38" s="309"/>
      <c r="M38" s="309"/>
      <c r="N38" s="309"/>
    </row>
    <row r="39" spans="1:14" x14ac:dyDescent="0.25">
      <c r="H39" s="309"/>
      <c r="I39" s="309"/>
      <c r="J39" s="309"/>
      <c r="K39" s="309"/>
      <c r="L39" s="309"/>
      <c r="M39" s="309"/>
      <c r="N39" s="309"/>
    </row>
    <row r="40" spans="1:14" x14ac:dyDescent="0.25">
      <c r="H40" s="309"/>
      <c r="I40" s="309"/>
      <c r="J40" s="309"/>
      <c r="K40" s="309"/>
      <c r="L40" s="309"/>
      <c r="M40" s="309"/>
      <c r="N40" s="309"/>
    </row>
    <row r="41" spans="1:14" x14ac:dyDescent="0.25">
      <c r="H41" s="309"/>
      <c r="I41" s="309"/>
      <c r="J41" s="309"/>
      <c r="K41" s="309"/>
      <c r="L41" s="309"/>
      <c r="M41" s="309"/>
      <c r="N41" s="309"/>
    </row>
    <row r="42" spans="1:14" x14ac:dyDescent="0.25">
      <c r="H42" s="309"/>
      <c r="I42" s="309"/>
      <c r="J42" s="309"/>
      <c r="K42" s="309"/>
      <c r="L42" s="309"/>
      <c r="M42" s="309"/>
      <c r="N42" s="309"/>
    </row>
    <row r="43" spans="1:14" x14ac:dyDescent="0.25">
      <c r="H43" s="309"/>
      <c r="I43" s="309"/>
      <c r="J43" s="309"/>
      <c r="K43" s="309"/>
      <c r="L43" s="309"/>
      <c r="M43" s="309"/>
      <c r="N43" s="309"/>
    </row>
    <row r="44" spans="1:14" x14ac:dyDescent="0.25">
      <c r="I44" s="309"/>
      <c r="J44" s="309"/>
      <c r="K44" s="309"/>
      <c r="L44" s="309"/>
      <c r="M44" s="309"/>
      <c r="N44" s="309"/>
    </row>
    <row r="45" spans="1:14" x14ac:dyDescent="0.25">
      <c r="J45" s="309"/>
      <c r="K45" s="309"/>
      <c r="L45" s="309"/>
      <c r="M45" s="309"/>
      <c r="N45" s="309"/>
    </row>
  </sheetData>
  <mergeCells count="5">
    <mergeCell ref="A18:E18"/>
    <mergeCell ref="A19:E19"/>
    <mergeCell ref="A20:E20"/>
    <mergeCell ref="A21:E21"/>
    <mergeCell ref="A23:E23"/>
  </mergeCells>
  <printOptions horizontalCentered="1"/>
  <pageMargins left="0.7" right="0.7" top="0.75" bottom="0.75" header="0.3" footer="0.3"/>
  <pageSetup orientation="portrait" r:id="rId1"/>
  <headerFooter scaleWithDoc="0">
    <oddHeader>&amp;C&amp;"-,Bold"&amp;14Equity Risk Premium Results&amp;RExhibit DJG-11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  <pageSetUpPr fitToPage="1"/>
  </sheetPr>
  <dimension ref="A1:L34"/>
  <sheetViews>
    <sheetView zoomScale="90" zoomScaleNormal="90" workbookViewId="0">
      <selection activeCell="N28" sqref="N28"/>
    </sheetView>
  </sheetViews>
  <sheetFormatPr defaultRowHeight="15" x14ac:dyDescent="0.25"/>
  <cols>
    <col min="1" max="1" width="31.42578125" bestFit="1" customWidth="1"/>
    <col min="2" max="2" width="2.7109375" style="66" customWidth="1"/>
    <col min="3" max="3" width="10.7109375" customWidth="1"/>
    <col min="4" max="4" width="2.7109375" style="66" customWidth="1"/>
    <col min="5" max="5" width="10.7109375" customWidth="1"/>
    <col min="6" max="6" width="2.7109375" style="66" customWidth="1"/>
    <col min="7" max="7" width="10.7109375" style="106" customWidth="1"/>
    <col min="8" max="8" width="2.7109375" style="109" customWidth="1"/>
    <col min="9" max="9" width="10.7109375" customWidth="1"/>
    <col min="10" max="11" width="2.7109375" style="66" customWidth="1"/>
    <col min="12" max="12" width="10.7109375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34" customFormat="1" ht="19.5" customHeight="1" x14ac:dyDescent="0.25"/>
    <row r="3" spans="1:12" ht="19.5" customHeight="1" x14ac:dyDescent="0.25">
      <c r="E3" s="10" t="s">
        <v>3</v>
      </c>
      <c r="F3" s="65"/>
      <c r="G3" s="104" t="s">
        <v>4</v>
      </c>
      <c r="H3" s="108"/>
      <c r="I3" s="69" t="s">
        <v>5</v>
      </c>
      <c r="J3" s="69"/>
      <c r="K3" s="69"/>
      <c r="L3" s="34" t="s">
        <v>6</v>
      </c>
    </row>
    <row r="4" spans="1:12" s="134" customFormat="1" ht="19.5" customHeight="1" x14ac:dyDescent="0.25">
      <c r="E4" s="132"/>
      <c r="F4" s="132"/>
      <c r="G4" s="132"/>
      <c r="H4" s="132"/>
      <c r="I4" s="94"/>
      <c r="J4" s="94"/>
      <c r="K4" s="94"/>
      <c r="L4" s="132"/>
    </row>
    <row r="5" spans="1:12" ht="19.5" customHeight="1" x14ac:dyDescent="0.25">
      <c r="E5" s="132" t="s">
        <v>102</v>
      </c>
      <c r="F5" s="132"/>
      <c r="G5" s="132" t="s">
        <v>103</v>
      </c>
      <c r="H5" s="132"/>
      <c r="I5" s="132" t="s">
        <v>104</v>
      </c>
      <c r="J5" s="95"/>
      <c r="K5" s="132"/>
      <c r="L5" s="132" t="s">
        <v>105</v>
      </c>
    </row>
    <row r="6" spans="1:12" ht="19.5" customHeight="1" x14ac:dyDescent="0.25">
      <c r="A6" s="2" t="s">
        <v>0</v>
      </c>
      <c r="B6" s="69"/>
      <c r="C6" s="2" t="s">
        <v>1</v>
      </c>
      <c r="D6" s="69"/>
      <c r="E6" s="5" t="s">
        <v>106</v>
      </c>
      <c r="F6" s="6"/>
      <c r="G6" s="5" t="s">
        <v>62</v>
      </c>
      <c r="H6" s="6"/>
      <c r="I6" s="5" t="s">
        <v>107</v>
      </c>
      <c r="J6" s="49"/>
      <c r="K6" s="6"/>
      <c r="L6" s="14" t="s">
        <v>75</v>
      </c>
    </row>
    <row r="7" spans="1:12" ht="19.5" customHeight="1" x14ac:dyDescent="0.25">
      <c r="A7" s="3"/>
      <c r="B7" s="69"/>
      <c r="C7" s="3"/>
      <c r="D7" s="69"/>
      <c r="E7" s="6"/>
      <c r="F7" s="6"/>
      <c r="G7" s="6"/>
      <c r="H7" s="6"/>
      <c r="I7" s="6"/>
      <c r="J7" s="49"/>
      <c r="K7" s="6"/>
    </row>
    <row r="8" spans="1:12" ht="19.5" customHeight="1" x14ac:dyDescent="0.25">
      <c r="A8" t="str">
        <f>'3 Proxy Sum'!A6</f>
        <v>ALLETE</v>
      </c>
      <c r="C8" s="98" t="str">
        <f>'3 Proxy Sum'!C6</f>
        <v>ALE</v>
      </c>
      <c r="D8" s="65"/>
      <c r="E8" s="105">
        <f>'8 Risk Free Rate'!$E$35</f>
        <v>2.8073333333333336E-2</v>
      </c>
      <c r="F8" s="8"/>
      <c r="G8" s="210">
        <f>'9 Beta'!E5</f>
        <v>0.75</v>
      </c>
      <c r="H8" s="47"/>
      <c r="I8" s="350">
        <f>'11 ERP Result'!$C$14</f>
        <v>5.7000000000000002E-2</v>
      </c>
      <c r="J8" s="68"/>
      <c r="K8" s="67"/>
      <c r="L8" s="33">
        <f>E8+G8*I8</f>
        <v>7.0823333333333335E-2</v>
      </c>
    </row>
    <row r="9" spans="1:12" ht="19.5" customHeight="1" x14ac:dyDescent="0.25">
      <c r="A9" s="283" t="str">
        <f>'3 Proxy Sum'!A7</f>
        <v>Ameren Corp.</v>
      </c>
      <c r="C9" s="98" t="str">
        <f>'3 Proxy Sum'!C7</f>
        <v>AEE</v>
      </c>
      <c r="D9" s="65"/>
      <c r="E9" s="105">
        <f>'8 Risk Free Rate'!$E$35</f>
        <v>2.8073333333333336E-2</v>
      </c>
      <c r="F9" s="8"/>
      <c r="G9" s="210">
        <f>'9 Beta'!E6</f>
        <v>0.65</v>
      </c>
      <c r="H9" s="47"/>
      <c r="I9" s="350">
        <f>'11 ERP Result'!$C$14</f>
        <v>5.7000000000000002E-2</v>
      </c>
      <c r="J9" s="68"/>
      <c r="K9" s="67"/>
      <c r="L9" s="33">
        <f t="shared" ref="L9:L25" si="0">E9+G9*I9</f>
        <v>6.5123333333333339E-2</v>
      </c>
    </row>
    <row r="10" spans="1:12" ht="19.5" customHeight="1" x14ac:dyDescent="0.25">
      <c r="A10" s="283" t="str">
        <f>'3 Proxy Sum'!A8</f>
        <v>Avangrid, Inc.</v>
      </c>
      <c r="C10" s="98" t="str">
        <f>'3 Proxy Sum'!C8</f>
        <v>AGR</v>
      </c>
      <c r="D10" s="65"/>
      <c r="E10" s="105">
        <f>'8 Risk Free Rate'!$E$35</f>
        <v>2.8073333333333336E-2</v>
      </c>
      <c r="F10" s="8"/>
      <c r="G10" s="210" t="str">
        <f>'9 Beta'!E7</f>
        <v>NMF</v>
      </c>
      <c r="H10" s="47"/>
      <c r="I10" s="350">
        <f>'11 ERP Result'!$C$14</f>
        <v>5.7000000000000002E-2</v>
      </c>
      <c r="J10" s="68"/>
      <c r="K10" s="67"/>
      <c r="L10" s="33" t="s">
        <v>350</v>
      </c>
    </row>
    <row r="11" spans="1:12" ht="19.5" customHeight="1" x14ac:dyDescent="0.25">
      <c r="A11" s="283" t="str">
        <f>'3 Proxy Sum'!A9</f>
        <v>Avista Corp.</v>
      </c>
      <c r="C11" s="98" t="str">
        <f>'3 Proxy Sum'!C9</f>
        <v>AVA</v>
      </c>
      <c r="D11" s="65"/>
      <c r="E11" s="105">
        <f>'8 Risk Free Rate'!$E$35</f>
        <v>2.8073333333333336E-2</v>
      </c>
      <c r="F11" s="8"/>
      <c r="G11" s="210">
        <f>'9 Beta'!E8</f>
        <v>0.7</v>
      </c>
      <c r="H11" s="47"/>
      <c r="I11" s="350">
        <f>'11 ERP Result'!$C$14</f>
        <v>5.7000000000000002E-2</v>
      </c>
      <c r="J11" s="68"/>
      <c r="K11" s="67"/>
      <c r="L11" s="33">
        <f t="shared" si="0"/>
        <v>6.797333333333333E-2</v>
      </c>
    </row>
    <row r="12" spans="1:12" ht="19.5" customHeight="1" x14ac:dyDescent="0.25">
      <c r="A12" s="283" t="str">
        <f>'3 Proxy Sum'!A10</f>
        <v>Black Hills</v>
      </c>
      <c r="C12" s="98" t="str">
        <f>'3 Proxy Sum'!C10</f>
        <v>BKH</v>
      </c>
      <c r="D12" s="65"/>
      <c r="E12" s="105">
        <f>'8 Risk Free Rate'!$E$35</f>
        <v>2.8073333333333336E-2</v>
      </c>
      <c r="F12" s="8"/>
      <c r="G12" s="210">
        <f>'9 Beta'!E9</f>
        <v>0.85</v>
      </c>
      <c r="H12" s="47"/>
      <c r="I12" s="350">
        <f>'11 ERP Result'!$C$14</f>
        <v>5.7000000000000002E-2</v>
      </c>
      <c r="J12" s="68"/>
      <c r="K12" s="67"/>
      <c r="L12" s="33">
        <f t="shared" si="0"/>
        <v>7.6523333333333332E-2</v>
      </c>
    </row>
    <row r="13" spans="1:12" ht="19.5" customHeight="1" x14ac:dyDescent="0.25">
      <c r="A13" s="283" t="str">
        <f>'3 Proxy Sum'!A11</f>
        <v>CMS Energy Corp.</v>
      </c>
      <c r="C13" s="98" t="str">
        <f>'3 Proxy Sum'!C11</f>
        <v>CMS</v>
      </c>
      <c r="D13" s="65"/>
      <c r="E13" s="105">
        <f>'8 Risk Free Rate'!$E$35</f>
        <v>2.8073333333333336E-2</v>
      </c>
      <c r="F13" s="8"/>
      <c r="G13" s="210">
        <f>'9 Beta'!E10</f>
        <v>0.65</v>
      </c>
      <c r="H13" s="47"/>
      <c r="I13" s="350">
        <f>'11 ERP Result'!$C$14</f>
        <v>5.7000000000000002E-2</v>
      </c>
      <c r="J13" s="68"/>
      <c r="K13" s="67"/>
      <c r="L13" s="33">
        <f t="shared" si="0"/>
        <v>6.5123333333333339E-2</v>
      </c>
    </row>
    <row r="14" spans="1:12" ht="19.5" customHeight="1" x14ac:dyDescent="0.25">
      <c r="A14" s="283" t="str">
        <f>'3 Proxy Sum'!A12</f>
        <v>Dominion Energy</v>
      </c>
      <c r="C14" s="98" t="str">
        <f>'3 Proxy Sum'!C12</f>
        <v>D</v>
      </c>
      <c r="D14" s="65"/>
      <c r="E14" s="105">
        <f>'8 Risk Free Rate'!$E$35</f>
        <v>2.8073333333333336E-2</v>
      </c>
      <c r="F14" s="8"/>
      <c r="G14" s="210">
        <f>'9 Beta'!E11</f>
        <v>0.65</v>
      </c>
      <c r="H14" s="47"/>
      <c r="I14" s="350">
        <f>'11 ERP Result'!$C$14</f>
        <v>5.7000000000000002E-2</v>
      </c>
      <c r="J14" s="68"/>
      <c r="K14" s="67"/>
      <c r="L14" s="33">
        <f t="shared" si="0"/>
        <v>6.5123333333333339E-2</v>
      </c>
    </row>
    <row r="15" spans="1:12" ht="19.5" customHeight="1" x14ac:dyDescent="0.25">
      <c r="A15" s="283" t="str">
        <f>'3 Proxy Sum'!A13</f>
        <v>DTE Energy Co.</v>
      </c>
      <c r="C15" s="98" t="str">
        <f>'3 Proxy Sum'!C13</f>
        <v>DTE</v>
      </c>
      <c r="D15" s="65"/>
      <c r="E15" s="105">
        <f>'8 Risk Free Rate'!$E$35</f>
        <v>2.8073333333333336E-2</v>
      </c>
      <c r="F15" s="8"/>
      <c r="G15" s="210">
        <f>'9 Beta'!E12</f>
        <v>0.65</v>
      </c>
      <c r="H15" s="47"/>
      <c r="I15" s="350">
        <f>'11 ERP Result'!$C$14</f>
        <v>5.7000000000000002E-2</v>
      </c>
      <c r="J15" s="68"/>
      <c r="K15" s="67"/>
      <c r="L15" s="33">
        <f t="shared" si="0"/>
        <v>6.5123333333333339E-2</v>
      </c>
    </row>
    <row r="16" spans="1:12" s="106" customFormat="1" ht="19.5" customHeight="1" x14ac:dyDescent="0.25">
      <c r="A16" s="283" t="str">
        <f>'3 Proxy Sum'!A14</f>
        <v>Edison International</v>
      </c>
      <c r="C16" s="98" t="str">
        <f>'3 Proxy Sum'!C14</f>
        <v>EIX</v>
      </c>
      <c r="D16" s="104"/>
      <c r="E16" s="105">
        <f>'8 Risk Free Rate'!$E$35</f>
        <v>2.8073333333333336E-2</v>
      </c>
      <c r="F16" s="8"/>
      <c r="G16" s="210">
        <f>'9 Beta'!E13</f>
        <v>0.6</v>
      </c>
      <c r="H16" s="47"/>
      <c r="I16" s="350">
        <f>'11 ERP Result'!$C$14</f>
        <v>5.7000000000000002E-2</v>
      </c>
      <c r="J16" s="68"/>
      <c r="K16" s="83"/>
      <c r="L16" s="33">
        <f t="shared" si="0"/>
        <v>6.2273333333333333E-2</v>
      </c>
    </row>
    <row r="17" spans="1:12" s="106" customFormat="1" ht="19.5" customHeight="1" x14ac:dyDescent="0.25">
      <c r="A17" s="283" t="str">
        <f>'3 Proxy Sum'!A15</f>
        <v>El Paso Electric</v>
      </c>
      <c r="C17" s="98" t="str">
        <f>'3 Proxy Sum'!C15</f>
        <v>EE</v>
      </c>
      <c r="D17" s="104"/>
      <c r="E17" s="105">
        <f>'8 Risk Free Rate'!$E$35</f>
        <v>2.8073333333333336E-2</v>
      </c>
      <c r="F17" s="8"/>
      <c r="G17" s="210">
        <f>'9 Beta'!E14</f>
        <v>0.75</v>
      </c>
      <c r="H17" s="47"/>
      <c r="I17" s="350">
        <f>'11 ERP Result'!$C$14</f>
        <v>5.7000000000000002E-2</v>
      </c>
      <c r="J17" s="68"/>
      <c r="K17" s="83"/>
      <c r="L17" s="33">
        <f t="shared" si="0"/>
        <v>7.0823333333333335E-2</v>
      </c>
    </row>
    <row r="18" spans="1:12" s="106" customFormat="1" ht="19.5" customHeight="1" x14ac:dyDescent="0.25">
      <c r="A18" s="283" t="str">
        <f>'3 Proxy Sum'!A16</f>
        <v>Exelon Corp.</v>
      </c>
      <c r="C18" s="98" t="str">
        <f>'3 Proxy Sum'!C16</f>
        <v>EXC</v>
      </c>
      <c r="D18" s="104"/>
      <c r="E18" s="105">
        <f>'8 Risk Free Rate'!$E$35</f>
        <v>2.8073333333333336E-2</v>
      </c>
      <c r="F18" s="8"/>
      <c r="G18" s="210">
        <f>'9 Beta'!E15</f>
        <v>0.7</v>
      </c>
      <c r="H18" s="47"/>
      <c r="I18" s="350">
        <f>'11 ERP Result'!$C$14</f>
        <v>5.7000000000000002E-2</v>
      </c>
      <c r="J18" s="68"/>
      <c r="K18" s="83"/>
      <c r="L18" s="33">
        <f t="shared" si="0"/>
        <v>6.797333333333333E-2</v>
      </c>
    </row>
    <row r="19" spans="1:12" s="106" customFormat="1" ht="19.5" customHeight="1" x14ac:dyDescent="0.25">
      <c r="A19" s="283" t="str">
        <f>'3 Proxy Sum'!A17</f>
        <v>Hawaiian Elec.</v>
      </c>
      <c r="C19" s="98" t="str">
        <f>'3 Proxy Sum'!C17</f>
        <v>HE</v>
      </c>
      <c r="D19" s="104"/>
      <c r="E19" s="105">
        <f>'8 Risk Free Rate'!$E$35</f>
        <v>2.8073333333333336E-2</v>
      </c>
      <c r="F19" s="8"/>
      <c r="G19" s="210">
        <f>'9 Beta'!E16</f>
        <v>0.7</v>
      </c>
      <c r="H19" s="47"/>
      <c r="I19" s="350">
        <f>'11 ERP Result'!$C$14</f>
        <v>5.7000000000000002E-2</v>
      </c>
      <c r="J19" s="68"/>
      <c r="K19" s="83"/>
      <c r="L19" s="33">
        <f t="shared" si="0"/>
        <v>6.797333333333333E-2</v>
      </c>
    </row>
    <row r="20" spans="1:12" s="106" customFormat="1" ht="19.5" customHeight="1" x14ac:dyDescent="0.25">
      <c r="A20" s="283" t="str">
        <f>'3 Proxy Sum'!A18</f>
        <v>IDACORP, Inc.</v>
      </c>
      <c r="C20" s="98" t="str">
        <f>'3 Proxy Sum'!C18</f>
        <v>IDA</v>
      </c>
      <c r="D20" s="104"/>
      <c r="E20" s="105">
        <f>'8 Risk Free Rate'!$E$35</f>
        <v>2.8073333333333336E-2</v>
      </c>
      <c r="F20" s="8"/>
      <c r="G20" s="210">
        <f>'9 Beta'!E17</f>
        <v>0.7</v>
      </c>
      <c r="H20" s="47"/>
      <c r="I20" s="350">
        <f>'11 ERP Result'!$C$14</f>
        <v>5.7000000000000002E-2</v>
      </c>
      <c r="J20" s="68"/>
      <c r="K20" s="83"/>
      <c r="L20" s="33">
        <f t="shared" si="0"/>
        <v>6.797333333333333E-2</v>
      </c>
    </row>
    <row r="21" spans="1:12" s="106" customFormat="1" ht="19.5" customHeight="1" x14ac:dyDescent="0.25">
      <c r="A21" s="283" t="str">
        <f>'3 Proxy Sum'!A19</f>
        <v>NorthWestern Corp.</v>
      </c>
      <c r="C21" s="98" t="str">
        <f>'3 Proxy Sum'!C19</f>
        <v>NWE</v>
      </c>
      <c r="D21" s="104"/>
      <c r="E21" s="105">
        <f>'8 Risk Free Rate'!$E$35</f>
        <v>2.8073333333333336E-2</v>
      </c>
      <c r="F21" s="8"/>
      <c r="G21" s="210">
        <f>'9 Beta'!E18</f>
        <v>0.65</v>
      </c>
      <c r="H21" s="47"/>
      <c r="I21" s="350">
        <f>'11 ERP Result'!$C$14</f>
        <v>5.7000000000000002E-2</v>
      </c>
      <c r="J21" s="68"/>
      <c r="K21" s="83"/>
      <c r="L21" s="33">
        <f t="shared" si="0"/>
        <v>6.5123333333333339E-2</v>
      </c>
    </row>
    <row r="22" spans="1:12" s="106" customFormat="1" ht="19.5" customHeight="1" x14ac:dyDescent="0.25">
      <c r="A22" s="283" t="str">
        <f>'3 Proxy Sum'!A20</f>
        <v>Otter Tail Corp.</v>
      </c>
      <c r="C22" s="98" t="str">
        <f>'3 Proxy Sum'!C20</f>
        <v>OTTR</v>
      </c>
      <c r="D22" s="104"/>
      <c r="E22" s="105">
        <f>'8 Risk Free Rate'!$E$35</f>
        <v>2.8073333333333336E-2</v>
      </c>
      <c r="F22" s="8"/>
      <c r="G22" s="210">
        <f>'9 Beta'!E19</f>
        <v>0.9</v>
      </c>
      <c r="H22" s="47"/>
      <c r="I22" s="350">
        <f>'11 ERP Result'!$C$14</f>
        <v>5.7000000000000002E-2</v>
      </c>
      <c r="J22" s="68"/>
      <c r="K22" s="83"/>
      <c r="L22" s="33">
        <f t="shared" si="0"/>
        <v>7.9373333333333337E-2</v>
      </c>
    </row>
    <row r="23" spans="1:12" s="106" customFormat="1" ht="19.5" customHeight="1" x14ac:dyDescent="0.25">
      <c r="A23" s="283" t="str">
        <f>'3 Proxy Sum'!A21</f>
        <v>PG&amp;E Corp.</v>
      </c>
      <c r="C23" s="98" t="str">
        <f>'3 Proxy Sum'!C21</f>
        <v>PCG</v>
      </c>
      <c r="D23" s="104"/>
      <c r="E23" s="105">
        <f>'8 Risk Free Rate'!$E$35</f>
        <v>2.8073333333333336E-2</v>
      </c>
      <c r="F23" s="8"/>
      <c r="G23" s="210">
        <f>'9 Beta'!E20</f>
        <v>0.65</v>
      </c>
      <c r="H23" s="47"/>
      <c r="I23" s="350">
        <f>'11 ERP Result'!$C$14</f>
        <v>5.7000000000000002E-2</v>
      </c>
      <c r="J23" s="68"/>
      <c r="K23" s="83"/>
      <c r="L23" s="33">
        <f t="shared" si="0"/>
        <v>6.5123333333333339E-2</v>
      </c>
    </row>
    <row r="24" spans="1:12" s="106" customFormat="1" ht="19.5" customHeight="1" x14ac:dyDescent="0.25">
      <c r="A24" s="283" t="str">
        <f>'3 Proxy Sum'!A22</f>
        <v>Portland General</v>
      </c>
      <c r="C24" s="98" t="str">
        <f>'3 Proxy Sum'!C22</f>
        <v>POR</v>
      </c>
      <c r="D24" s="104"/>
      <c r="E24" s="105">
        <f>'8 Risk Free Rate'!$E$35</f>
        <v>2.8073333333333336E-2</v>
      </c>
      <c r="F24" s="8"/>
      <c r="G24" s="210">
        <f>'9 Beta'!E21</f>
        <v>0.7</v>
      </c>
      <c r="H24" s="47"/>
      <c r="I24" s="350">
        <f>'11 ERP Result'!$C$14</f>
        <v>5.7000000000000002E-2</v>
      </c>
      <c r="J24" s="68"/>
      <c r="K24" s="83"/>
      <c r="L24" s="33">
        <f t="shared" si="0"/>
        <v>6.797333333333333E-2</v>
      </c>
    </row>
    <row r="25" spans="1:12" s="106" customFormat="1" ht="19.5" customHeight="1" x14ac:dyDescent="0.25">
      <c r="A25" s="22" t="str">
        <f>'3 Proxy Sum'!A23</f>
        <v>Sempra Energy</v>
      </c>
      <c r="C25" s="98" t="str">
        <f>'3 Proxy Sum'!C23</f>
        <v>SRE</v>
      </c>
      <c r="D25" s="104"/>
      <c r="E25" s="105">
        <f>'8 Risk Free Rate'!$E$35</f>
        <v>2.8073333333333336E-2</v>
      </c>
      <c r="F25" s="8"/>
      <c r="G25" s="156">
        <f>'9 Beta'!E22</f>
        <v>0.8</v>
      </c>
      <c r="H25" s="47"/>
      <c r="I25" s="350">
        <f>'11 ERP Result'!$C$14</f>
        <v>5.7000000000000002E-2</v>
      </c>
      <c r="J25" s="68"/>
      <c r="K25" s="83"/>
      <c r="L25" s="138">
        <f t="shared" si="0"/>
        <v>7.3673333333333341E-2</v>
      </c>
    </row>
    <row r="26" spans="1:12" ht="19.5" customHeight="1" thickBot="1" x14ac:dyDescent="0.3">
      <c r="C26" s="10"/>
      <c r="D26" s="65"/>
      <c r="E26" s="8"/>
      <c r="F26" s="8"/>
      <c r="G26" s="8"/>
      <c r="H26" s="8"/>
      <c r="I26" s="11"/>
      <c r="J26" s="70"/>
      <c r="K26" s="70"/>
    </row>
    <row r="27" spans="1:12" ht="19.5" customHeight="1" thickBot="1" x14ac:dyDescent="0.35">
      <c r="A27" s="135" t="s">
        <v>80</v>
      </c>
      <c r="B27" s="13"/>
      <c r="C27" s="10"/>
      <c r="D27" s="65"/>
      <c r="E27" s="8"/>
      <c r="F27" s="8"/>
      <c r="G27" s="47">
        <f>AVERAGE(G8:G25)</f>
        <v>0.70882352941176474</v>
      </c>
      <c r="H27" s="47"/>
      <c r="I27" s="11"/>
      <c r="J27" s="70"/>
      <c r="K27" s="70"/>
      <c r="L27" s="217">
        <f>AVERAGE(L8:L25)</f>
        <v>6.8476274509803911E-2</v>
      </c>
    </row>
    <row r="28" spans="1:12" s="51" customFormat="1" ht="19.5" customHeight="1" x14ac:dyDescent="0.25">
      <c r="A28" s="155"/>
      <c r="B28" s="155"/>
      <c r="C28" s="93"/>
      <c r="D28" s="93"/>
      <c r="E28" s="151"/>
      <c r="F28" s="151"/>
      <c r="G28" s="156"/>
      <c r="H28" s="156"/>
      <c r="I28" s="153"/>
      <c r="J28" s="153"/>
      <c r="K28" s="153"/>
      <c r="L28" s="157"/>
    </row>
    <row r="29" spans="1:12" s="51" customFormat="1" x14ac:dyDescent="0.25">
      <c r="A29" s="13"/>
      <c r="B29" s="13"/>
      <c r="C29" s="50"/>
      <c r="D29" s="65"/>
      <c r="E29" s="8"/>
      <c r="F29" s="8"/>
      <c r="G29" s="9"/>
      <c r="H29" s="9"/>
      <c r="I29" s="52"/>
      <c r="J29" s="70"/>
      <c r="K29" s="70"/>
      <c r="L29" s="53"/>
    </row>
    <row r="31" spans="1:12" s="150" customFormat="1" ht="14.45" customHeight="1" x14ac:dyDescent="0.2">
      <c r="A31" s="411" t="s">
        <v>327</v>
      </c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</row>
    <row r="32" spans="1:12" s="150" customFormat="1" ht="14.45" customHeight="1" x14ac:dyDescent="0.2">
      <c r="A32" s="411" t="s">
        <v>328</v>
      </c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</row>
    <row r="33" spans="1:12" s="150" customFormat="1" ht="14.45" customHeight="1" x14ac:dyDescent="0.2">
      <c r="A33" s="411" t="s">
        <v>329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</row>
    <row r="34" spans="1:12" s="150" customFormat="1" ht="14.45" customHeight="1" x14ac:dyDescent="0.2">
      <c r="A34" s="411" t="s">
        <v>144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</row>
  </sheetData>
  <mergeCells count="4">
    <mergeCell ref="A34:L34"/>
    <mergeCell ref="A31:L31"/>
    <mergeCell ref="A32:L32"/>
    <mergeCell ref="A33:L33"/>
  </mergeCells>
  <printOptions horizontalCentered="1"/>
  <pageMargins left="0.7" right="0.7" top="0.75" bottom="0.75" header="0.3" footer="0.3"/>
  <pageSetup scale="89" orientation="portrait" r:id="rId1"/>
  <headerFooter scaleWithDoc="0">
    <oddHeader>&amp;C&amp;"-,Bold"&amp;14CAPM Final Results&amp;RExhibit DJG-12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C10"/>
  <sheetViews>
    <sheetView zoomScale="110" zoomScaleNormal="110" workbookViewId="0">
      <selection activeCell="A4" sqref="A4"/>
    </sheetView>
  </sheetViews>
  <sheetFormatPr defaultRowHeight="15" x14ac:dyDescent="0.25"/>
  <cols>
    <col min="1" max="1" width="35.7109375" customWidth="1"/>
    <col min="2" max="2" width="4.7109375" style="39" customWidth="1"/>
    <col min="3" max="3" width="28.7109375" customWidth="1"/>
  </cols>
  <sheetData>
    <row r="1" spans="1:3" s="51" customFormat="1" x14ac:dyDescent="0.25">
      <c r="A1" s="22"/>
      <c r="B1" s="22"/>
      <c r="C1" s="22"/>
    </row>
    <row r="3" spans="1:3" ht="18.75" x14ac:dyDescent="0.3">
      <c r="A3" s="172" t="s">
        <v>112</v>
      </c>
      <c r="B3" s="135"/>
      <c r="C3" s="174" t="s">
        <v>87</v>
      </c>
    </row>
    <row r="4" spans="1:3" ht="18.75" x14ac:dyDescent="0.3">
      <c r="A4" s="175"/>
      <c r="B4" s="175"/>
      <c r="C4" s="175"/>
    </row>
    <row r="5" spans="1:3" ht="18.75" x14ac:dyDescent="0.3">
      <c r="A5" s="175" t="s">
        <v>111</v>
      </c>
      <c r="B5" s="175"/>
      <c r="C5" s="215">
        <f>'7 DCF Result'!H8</f>
        <v>7.247360632087152E-2</v>
      </c>
    </row>
    <row r="6" spans="1:3" ht="18.75" x14ac:dyDescent="0.3">
      <c r="A6" s="175"/>
      <c r="B6" s="175"/>
      <c r="C6" s="215"/>
    </row>
    <row r="7" spans="1:3" ht="18.75" x14ac:dyDescent="0.3">
      <c r="A7" s="177" t="s">
        <v>22</v>
      </c>
      <c r="B7" s="175"/>
      <c r="C7" s="216">
        <f>'12 CAPM Result'!L27</f>
        <v>6.8476274509803911E-2</v>
      </c>
    </row>
    <row r="8" spans="1:3" ht="18.75" x14ac:dyDescent="0.3">
      <c r="A8" s="175"/>
      <c r="B8" s="175"/>
      <c r="C8" s="176"/>
    </row>
    <row r="9" spans="1:3" ht="18.75" x14ac:dyDescent="0.3">
      <c r="A9" s="135" t="s">
        <v>80</v>
      </c>
      <c r="B9" s="173"/>
      <c r="C9" s="214">
        <f>AVERAGE(C5,C7)</f>
        <v>7.0474940415337722E-2</v>
      </c>
    </row>
    <row r="10" spans="1:3" x14ac:dyDescent="0.25">
      <c r="A10" s="22"/>
      <c r="B10" s="22"/>
      <c r="C10" s="22"/>
    </row>
  </sheetData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&amp;C&amp;"-,Bold"&amp;14Cost of Equity Summary&amp;RExhibit DJG-13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G20"/>
  <sheetViews>
    <sheetView workbookViewId="0">
      <selection activeCell="C9" sqref="C9"/>
    </sheetView>
  </sheetViews>
  <sheetFormatPr defaultRowHeight="15" x14ac:dyDescent="0.25"/>
  <cols>
    <col min="1" max="1" width="28.140625" style="226" customWidth="1"/>
    <col min="2" max="2" width="4.28515625" style="226" customWidth="1"/>
    <col min="3" max="3" width="12.7109375" style="226" customWidth="1"/>
    <col min="4" max="4" width="4.7109375" style="226" customWidth="1"/>
    <col min="5" max="16384" width="9.140625" style="226"/>
  </cols>
  <sheetData>
    <row r="1" spans="1:4" x14ac:dyDescent="0.25">
      <c r="A1" s="22"/>
      <c r="B1" s="22"/>
      <c r="C1" s="22"/>
      <c r="D1" s="22"/>
    </row>
    <row r="3" spans="1:4" x14ac:dyDescent="0.25">
      <c r="A3" s="225" t="s">
        <v>13</v>
      </c>
      <c r="B3" s="224"/>
      <c r="C3" s="225" t="s">
        <v>155</v>
      </c>
    </row>
    <row r="5" spans="1:4" x14ac:dyDescent="0.25">
      <c r="A5" s="226" t="s">
        <v>157</v>
      </c>
      <c r="C5" s="96">
        <f>'11 ERP Result'!C4+'8 Risk Free Rate'!E35</f>
        <v>8.5073333333333334E-2</v>
      </c>
      <c r="D5" s="224" t="s">
        <v>3</v>
      </c>
    </row>
    <row r="6" spans="1:4" x14ac:dyDescent="0.25">
      <c r="D6" s="224"/>
    </row>
    <row r="7" spans="1:4" x14ac:dyDescent="0.25">
      <c r="A7" s="226" t="s">
        <v>156</v>
      </c>
      <c r="C7" s="96">
        <f>'11 ERP Result'!C6+'8 Risk Free Rate'!E35</f>
        <v>6.8273333333333339E-2</v>
      </c>
      <c r="D7" s="224" t="s">
        <v>4</v>
      </c>
    </row>
    <row r="8" spans="1:4" x14ac:dyDescent="0.25">
      <c r="C8" s="96"/>
      <c r="D8" s="224"/>
    </row>
    <row r="9" spans="1:4" x14ac:dyDescent="0.25">
      <c r="A9" s="226" t="s">
        <v>99</v>
      </c>
      <c r="C9" s="96">
        <f>'11 ERP Result'!C10+'8 Risk Free Rate'!E35</f>
        <v>8.0440000000000011E-2</v>
      </c>
      <c r="D9" s="224" t="s">
        <v>5</v>
      </c>
    </row>
    <row r="10" spans="1:4" x14ac:dyDescent="0.25">
      <c r="C10" s="96"/>
      <c r="D10" s="224"/>
    </row>
    <row r="11" spans="1:4" x14ac:dyDescent="0.25">
      <c r="A11" s="22" t="s">
        <v>134</v>
      </c>
      <c r="B11" s="27"/>
      <c r="C11" s="233">
        <f>'10 Implied ERP'!C30</f>
        <v>7.6829613130545274E-2</v>
      </c>
      <c r="D11" s="224" t="s">
        <v>6</v>
      </c>
    </row>
    <row r="12" spans="1:4" x14ac:dyDescent="0.25">
      <c r="A12" s="27"/>
      <c r="B12" s="27"/>
      <c r="C12" s="223"/>
      <c r="D12" s="224"/>
    </row>
    <row r="13" spans="1:4" x14ac:dyDescent="0.25">
      <c r="A13" s="166" t="s">
        <v>80</v>
      </c>
      <c r="B13" s="31"/>
      <c r="C13" s="234">
        <f>AVERAGE(C5:C12)</f>
        <v>7.765406994930299E-2</v>
      </c>
      <c r="D13" s="224"/>
    </row>
    <row r="14" spans="1:4" x14ac:dyDescent="0.25">
      <c r="A14" s="22"/>
      <c r="B14" s="22"/>
      <c r="C14" s="22"/>
      <c r="D14" s="22"/>
    </row>
    <row r="15" spans="1:4" x14ac:dyDescent="0.25">
      <c r="A15" s="27"/>
      <c r="B15" s="27"/>
      <c r="C15" s="27"/>
    </row>
    <row r="17" spans="1:7" x14ac:dyDescent="0.25">
      <c r="A17" s="411" t="s">
        <v>167</v>
      </c>
      <c r="B17" s="411"/>
      <c r="C17" s="411"/>
      <c r="D17" s="411"/>
    </row>
    <row r="18" spans="1:7" x14ac:dyDescent="0.25">
      <c r="A18" s="411" t="s">
        <v>166</v>
      </c>
      <c r="B18" s="411"/>
      <c r="C18" s="411"/>
      <c r="D18" s="411"/>
    </row>
    <row r="19" spans="1:7" x14ac:dyDescent="0.25">
      <c r="A19" s="411" t="s">
        <v>165</v>
      </c>
      <c r="B19" s="411"/>
      <c r="C19" s="411"/>
      <c r="D19" s="411"/>
      <c r="E19" s="227"/>
      <c r="F19" s="227"/>
      <c r="G19" s="227"/>
    </row>
    <row r="20" spans="1:7" x14ac:dyDescent="0.25">
      <c r="A20" s="411" t="s">
        <v>158</v>
      </c>
      <c r="B20" s="411"/>
      <c r="C20" s="411"/>
      <c r="D20" s="411"/>
      <c r="E20" s="227"/>
      <c r="F20" s="227"/>
      <c r="G20" s="227"/>
    </row>
  </sheetData>
  <mergeCells count="4">
    <mergeCell ref="A17:D17"/>
    <mergeCell ref="A18:D18"/>
    <mergeCell ref="A19:D19"/>
    <mergeCell ref="A20:D20"/>
  </mergeCells>
  <printOptions horizontalCentered="1"/>
  <pageMargins left="0.7" right="0.7" top="0.75" bottom="0.75" header="0.3" footer="0.3"/>
  <pageSetup orientation="portrait" horizontalDpi="1200" verticalDpi="1200" r:id="rId1"/>
  <headerFooter scaleWithDoc="0">
    <oddHeader>&amp;C&amp;"-,Bold"&amp;14Market Cost of Equity&amp;RExhibit DJG-14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R65"/>
  <sheetViews>
    <sheetView topLeftCell="A7" zoomScale="90" zoomScaleNormal="90" workbookViewId="0">
      <selection activeCell="P26" sqref="P26"/>
    </sheetView>
  </sheetViews>
  <sheetFormatPr defaultColWidth="9.140625" defaultRowHeight="15" x14ac:dyDescent="0.25"/>
  <cols>
    <col min="1" max="1" width="15.28515625" style="113" customWidth="1"/>
    <col min="2" max="2" width="2.42578125" style="113" customWidth="1"/>
    <col min="3" max="3" width="15.28515625" style="113" customWidth="1"/>
    <col min="4" max="5" width="2.42578125" style="113" customWidth="1"/>
    <col min="6" max="6" width="15.28515625" style="113" customWidth="1"/>
    <col min="7" max="8" width="2.42578125" style="113" customWidth="1"/>
    <col min="9" max="9" width="15.28515625" style="113" customWidth="1"/>
    <col min="10" max="11" width="5.7109375" style="113" customWidth="1"/>
    <col min="12" max="12" width="15.28515625" style="113" customWidth="1"/>
    <col min="13" max="13" width="9.140625" style="113"/>
    <col min="14" max="15" width="2.7109375" style="113" customWidth="1"/>
    <col min="16" max="16" width="12.85546875" style="113" bestFit="1" customWidth="1"/>
    <col min="17" max="17" width="14.42578125" style="113" customWidth="1"/>
    <col min="18" max="16384" width="9.140625" style="113"/>
  </cols>
  <sheetData>
    <row r="1" spans="1:18" x14ac:dyDescent="0.2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</row>
    <row r="3" spans="1:18" x14ac:dyDescent="0.25">
      <c r="C3" s="228" t="s">
        <v>3</v>
      </c>
      <c r="F3" s="228" t="s">
        <v>4</v>
      </c>
      <c r="I3" s="228"/>
      <c r="J3" s="228"/>
      <c r="L3" s="228" t="s">
        <v>5</v>
      </c>
      <c r="N3" s="140"/>
    </row>
    <row r="4" spans="1:18" x14ac:dyDescent="0.25">
      <c r="N4" s="140"/>
      <c r="P4" s="417" t="s">
        <v>120</v>
      </c>
      <c r="Q4" s="417"/>
    </row>
    <row r="5" spans="1:18" ht="14.45" customHeight="1" x14ac:dyDescent="0.25">
      <c r="F5" s="228" t="s">
        <v>100</v>
      </c>
      <c r="G5" s="140"/>
      <c r="L5" s="228" t="s">
        <v>101</v>
      </c>
      <c r="N5" s="140"/>
      <c r="P5" s="418"/>
      <c r="Q5" s="418"/>
    </row>
    <row r="6" spans="1:18" x14ac:dyDescent="0.25">
      <c r="A6" s="114" t="s">
        <v>78</v>
      </c>
      <c r="B6" s="115"/>
      <c r="C6" s="114" t="s">
        <v>79</v>
      </c>
      <c r="D6" s="115"/>
      <c r="E6" s="115"/>
      <c r="F6" s="114" t="s">
        <v>63</v>
      </c>
      <c r="G6" s="125"/>
      <c r="H6" s="115"/>
      <c r="I6" s="114" t="s">
        <v>34</v>
      </c>
      <c r="J6" s="115"/>
      <c r="K6" s="116"/>
      <c r="L6" s="114" t="s">
        <v>11</v>
      </c>
      <c r="N6" s="140"/>
      <c r="Q6" s="139"/>
    </row>
    <row r="7" spans="1:18" x14ac:dyDescent="0.25">
      <c r="A7" s="117">
        <v>2005.1</v>
      </c>
      <c r="B7" s="118"/>
      <c r="C7" s="119">
        <v>4</v>
      </c>
      <c r="D7" s="119"/>
      <c r="E7" s="120"/>
      <c r="F7" s="144">
        <v>0.10550000000000001</v>
      </c>
      <c r="G7" s="126"/>
      <c r="H7" s="121"/>
      <c r="I7" s="123">
        <v>2005</v>
      </c>
      <c r="J7" s="123"/>
      <c r="K7" s="121"/>
      <c r="L7" s="144">
        <v>4.8300000000000003E-2</v>
      </c>
      <c r="N7" s="140"/>
      <c r="P7" s="123">
        <v>2005</v>
      </c>
      <c r="Q7" s="165">
        <f>AVERAGE(F7:F10)</f>
        <v>0.10522500000000001</v>
      </c>
      <c r="R7" s="165"/>
    </row>
    <row r="8" spans="1:18" x14ac:dyDescent="0.25">
      <c r="A8" s="117">
        <v>2005.2</v>
      </c>
      <c r="B8" s="118"/>
      <c r="C8" s="119">
        <v>12</v>
      </c>
      <c r="D8" s="119"/>
      <c r="E8" s="120"/>
      <c r="F8" s="144">
        <v>0.1013</v>
      </c>
      <c r="G8" s="126"/>
      <c r="H8" s="121"/>
      <c r="I8" s="123">
        <v>2006</v>
      </c>
      <c r="J8" s="123"/>
      <c r="K8" s="121"/>
      <c r="L8" s="144">
        <v>0.15609999999999999</v>
      </c>
      <c r="N8" s="140"/>
      <c r="P8" s="123">
        <v>2006</v>
      </c>
      <c r="Q8" s="165">
        <f>AVERAGE(F11:F14)</f>
        <v>0.10302500000000001</v>
      </c>
      <c r="R8" s="165"/>
    </row>
    <row r="9" spans="1:18" x14ac:dyDescent="0.25">
      <c r="A9" s="117">
        <v>2005.3</v>
      </c>
      <c r="B9" s="118"/>
      <c r="C9" s="119">
        <v>8</v>
      </c>
      <c r="D9" s="119"/>
      <c r="E9" s="120"/>
      <c r="F9" s="144">
        <v>0.1084</v>
      </c>
      <c r="G9" s="126"/>
      <c r="H9" s="121"/>
      <c r="I9" s="123">
        <v>2007</v>
      </c>
      <c r="J9" s="123"/>
      <c r="K9" s="121"/>
      <c r="L9" s="144">
        <v>5.4800000000000001E-2</v>
      </c>
      <c r="N9" s="140"/>
      <c r="P9" s="123">
        <v>2007</v>
      </c>
      <c r="Q9" s="165">
        <f>AVERAGE(F15:F18)</f>
        <v>0.102575</v>
      </c>
      <c r="R9" s="165"/>
    </row>
    <row r="10" spans="1:18" x14ac:dyDescent="0.25">
      <c r="A10" s="117">
        <v>2005.4</v>
      </c>
      <c r="B10" s="118"/>
      <c r="C10" s="119">
        <v>10</v>
      </c>
      <c r="D10" s="119"/>
      <c r="E10" s="120"/>
      <c r="F10" s="144">
        <v>0.1057</v>
      </c>
      <c r="G10" s="126"/>
      <c r="H10" s="121"/>
      <c r="I10" s="123">
        <v>2008</v>
      </c>
      <c r="J10" s="123"/>
      <c r="K10" s="121"/>
      <c r="L10" s="144">
        <v>-0.36549999999999999</v>
      </c>
      <c r="N10" s="140"/>
      <c r="P10" s="123">
        <v>2008</v>
      </c>
      <c r="Q10" s="165">
        <f>AVERAGE(F19:F22)</f>
        <v>0.10340000000000001</v>
      </c>
      <c r="R10" s="165"/>
    </row>
    <row r="11" spans="1:18" x14ac:dyDescent="0.25">
      <c r="A11" s="117">
        <v>2006.1</v>
      </c>
      <c r="B11" s="118"/>
      <c r="C11" s="119">
        <v>11</v>
      </c>
      <c r="D11" s="119"/>
      <c r="E11" s="120"/>
      <c r="F11" s="144">
        <v>0.1038</v>
      </c>
      <c r="G11" s="126"/>
      <c r="H11" s="121"/>
      <c r="I11" s="123">
        <v>2009</v>
      </c>
      <c r="J11" s="123"/>
      <c r="K11" s="121"/>
      <c r="L11" s="144">
        <v>0.25940000000000002</v>
      </c>
      <c r="N11" s="140"/>
      <c r="P11" s="123">
        <v>2009</v>
      </c>
      <c r="Q11" s="165">
        <f>AVERAGE(F23:F26)</f>
        <v>0.10465000000000001</v>
      </c>
      <c r="R11" s="165"/>
    </row>
    <row r="12" spans="1:18" x14ac:dyDescent="0.25">
      <c r="A12" s="117">
        <v>2006.2</v>
      </c>
      <c r="B12" s="118"/>
      <c r="C12" s="119">
        <v>18</v>
      </c>
      <c r="D12" s="119"/>
      <c r="E12" s="120"/>
      <c r="F12" s="144">
        <v>0.10390000000000001</v>
      </c>
      <c r="G12" s="126"/>
      <c r="H12" s="121"/>
      <c r="I12" s="123">
        <v>2010</v>
      </c>
      <c r="J12" s="123"/>
      <c r="K12" s="121"/>
      <c r="L12" s="144">
        <v>0.1482</v>
      </c>
      <c r="N12" s="140"/>
      <c r="P12" s="123">
        <v>2010</v>
      </c>
      <c r="Q12" s="165">
        <f>AVERAGE(F27:F30)</f>
        <v>0.10285</v>
      </c>
      <c r="R12" s="165"/>
    </row>
    <row r="13" spans="1:18" x14ac:dyDescent="0.25">
      <c r="A13" s="117">
        <v>2006.3</v>
      </c>
      <c r="B13" s="118"/>
      <c r="C13" s="119">
        <v>7</v>
      </c>
      <c r="D13" s="119"/>
      <c r="E13" s="120"/>
      <c r="F13" s="144">
        <v>0.10060000000000001</v>
      </c>
      <c r="G13" s="126"/>
      <c r="H13" s="121"/>
      <c r="I13" s="123">
        <v>2011</v>
      </c>
      <c r="J13" s="123"/>
      <c r="K13" s="121"/>
      <c r="L13" s="144">
        <v>2.1000000000000001E-2</v>
      </c>
      <c r="N13" s="140"/>
      <c r="P13" s="123">
        <v>2011</v>
      </c>
      <c r="Q13" s="165">
        <f>AVERAGE(F31:F34)</f>
        <v>0.10252500000000001</v>
      </c>
      <c r="R13" s="165"/>
    </row>
    <row r="14" spans="1:18" x14ac:dyDescent="0.25">
      <c r="A14" s="117">
        <v>2006.4</v>
      </c>
      <c r="B14" s="118"/>
      <c r="C14" s="119">
        <v>12</v>
      </c>
      <c r="D14" s="119"/>
      <c r="E14" s="120"/>
      <c r="F14" s="144">
        <v>0.1038</v>
      </c>
      <c r="G14" s="126"/>
      <c r="H14" s="121"/>
      <c r="I14" s="123">
        <v>2012</v>
      </c>
      <c r="J14" s="123"/>
      <c r="K14" s="121"/>
      <c r="L14" s="144">
        <v>0.15890000000000001</v>
      </c>
      <c r="N14" s="140"/>
      <c r="P14" s="123">
        <v>2012</v>
      </c>
      <c r="Q14" s="165">
        <f>AVERAGE(F35:F38)</f>
        <v>0.10147500000000001</v>
      </c>
      <c r="R14" s="165"/>
    </row>
    <row r="15" spans="1:18" x14ac:dyDescent="0.25">
      <c r="A15" s="117">
        <v>2007.1</v>
      </c>
      <c r="B15" s="118"/>
      <c r="C15" s="119">
        <v>11</v>
      </c>
      <c r="D15" s="119"/>
      <c r="E15" s="120"/>
      <c r="F15" s="144">
        <v>0.10300000000000001</v>
      </c>
      <c r="G15" s="126"/>
      <c r="H15" s="121"/>
      <c r="I15" s="123">
        <v>2013</v>
      </c>
      <c r="J15" s="123"/>
      <c r="K15" s="121"/>
      <c r="L15" s="144">
        <v>0.32150000000000001</v>
      </c>
      <c r="N15" s="140"/>
      <c r="P15" s="123">
        <v>2013</v>
      </c>
      <c r="Q15" s="165">
        <f>AVERAGE(F39:F42)</f>
        <v>9.9899999999999989E-2</v>
      </c>
      <c r="R15" s="165"/>
    </row>
    <row r="16" spans="1:18" x14ac:dyDescent="0.25">
      <c r="A16" s="117">
        <v>2007.2</v>
      </c>
      <c r="B16" s="118"/>
      <c r="C16" s="119">
        <v>16</v>
      </c>
      <c r="D16" s="119"/>
      <c r="E16" s="120"/>
      <c r="F16" s="144">
        <v>0.1027</v>
      </c>
      <c r="G16" s="126"/>
      <c r="H16" s="121"/>
      <c r="I16" s="123">
        <v>2014</v>
      </c>
      <c r="L16" s="144">
        <v>0.13250000000000001</v>
      </c>
      <c r="N16" s="140"/>
      <c r="P16" s="123">
        <v>2014</v>
      </c>
      <c r="Q16" s="165">
        <f>AVERAGE(F43:F46)</f>
        <v>9.9324999999999997E-2</v>
      </c>
      <c r="R16" s="165"/>
    </row>
    <row r="17" spans="1:18" x14ac:dyDescent="0.25">
      <c r="A17" s="117">
        <v>2007.3</v>
      </c>
      <c r="B17" s="118"/>
      <c r="C17" s="119">
        <v>8</v>
      </c>
      <c r="D17" s="119"/>
      <c r="E17" s="120"/>
      <c r="F17" s="144">
        <v>0.1002</v>
      </c>
      <c r="G17" s="126"/>
      <c r="H17" s="121"/>
      <c r="I17" s="123">
        <v>2015</v>
      </c>
      <c r="L17" s="144">
        <v>1.38E-2</v>
      </c>
      <c r="N17" s="140"/>
      <c r="P17" s="123">
        <v>2015</v>
      </c>
      <c r="Q17" s="165">
        <f>AVERAGE(F47:F50)</f>
        <v>9.7800000000000012E-2</v>
      </c>
      <c r="R17" s="165"/>
    </row>
    <row r="18" spans="1:18" x14ac:dyDescent="0.25">
      <c r="A18" s="117">
        <v>2007.4</v>
      </c>
      <c r="B18" s="118"/>
      <c r="C18" s="119">
        <v>11</v>
      </c>
      <c r="D18" s="119"/>
      <c r="E18" s="120"/>
      <c r="F18" s="144">
        <v>0.10439999999999999</v>
      </c>
      <c r="G18" s="126"/>
      <c r="H18" s="121"/>
      <c r="I18" s="127">
        <v>2016</v>
      </c>
      <c r="J18" s="123"/>
      <c r="K18" s="121"/>
      <c r="L18" s="145">
        <v>0.1174</v>
      </c>
      <c r="N18" s="141"/>
      <c r="O18" s="228"/>
      <c r="P18" s="123">
        <v>2016</v>
      </c>
      <c r="Q18" s="165">
        <f>AVERAGE(F51:F54)</f>
        <v>9.7900000000000001E-2</v>
      </c>
    </row>
    <row r="19" spans="1:18" x14ac:dyDescent="0.25">
      <c r="A19" s="117">
        <v>2008.1</v>
      </c>
      <c r="B19" s="118"/>
      <c r="C19" s="119">
        <v>7</v>
      </c>
      <c r="D19" s="119"/>
      <c r="E19" s="120"/>
      <c r="F19" s="144">
        <v>0.10150000000000001</v>
      </c>
      <c r="G19" s="126"/>
      <c r="H19" s="121"/>
      <c r="I19" s="124"/>
      <c r="J19" s="124"/>
      <c r="K19" s="121"/>
      <c r="N19" s="141"/>
      <c r="O19" s="228"/>
    </row>
    <row r="20" spans="1:18" x14ac:dyDescent="0.25">
      <c r="A20" s="117">
        <v>2008.2</v>
      </c>
      <c r="B20" s="118"/>
      <c r="C20" s="119">
        <v>8</v>
      </c>
      <c r="D20" s="119"/>
      <c r="E20" s="120"/>
      <c r="F20" s="144">
        <v>0.1041</v>
      </c>
      <c r="G20" s="126"/>
      <c r="H20" s="121"/>
      <c r="I20" s="127" t="s">
        <v>80</v>
      </c>
      <c r="J20" s="123"/>
      <c r="K20" s="121"/>
      <c r="N20" s="141"/>
      <c r="O20" s="228"/>
    </row>
    <row r="21" spans="1:18" x14ac:dyDescent="0.25">
      <c r="A21" s="117">
        <v>2008.3</v>
      </c>
      <c r="B21" s="118"/>
      <c r="C21" s="119">
        <v>21</v>
      </c>
      <c r="D21" s="119"/>
      <c r="E21" s="120"/>
      <c r="F21" s="144">
        <v>0.1042</v>
      </c>
      <c r="G21" s="126"/>
      <c r="H21" s="121"/>
      <c r="I21" s="128" t="s">
        <v>81</v>
      </c>
      <c r="J21" s="128"/>
      <c r="K21" s="121"/>
      <c r="L21" s="144">
        <f>AVERAGE(L7:L18)</f>
        <v>8.8866666666666663E-2</v>
      </c>
      <c r="M21" s="228" t="s">
        <v>6</v>
      </c>
      <c r="N21" s="141"/>
      <c r="O21" s="228"/>
    </row>
    <row r="22" spans="1:18" x14ac:dyDescent="0.25">
      <c r="A22" s="117">
        <v>2008.4</v>
      </c>
      <c r="B22" s="118"/>
      <c r="C22" s="119">
        <v>6</v>
      </c>
      <c r="D22" s="119"/>
      <c r="E22" s="120"/>
      <c r="F22" s="144">
        <v>0.1038</v>
      </c>
      <c r="G22" s="126"/>
      <c r="H22" s="121"/>
      <c r="I22" s="128" t="s">
        <v>82</v>
      </c>
      <c r="J22" s="128"/>
      <c r="K22" s="121"/>
      <c r="L22" s="144">
        <f t="array" ref="L22">GEOMEAN(1+L7:L18)-1</f>
        <v>7.3907396526160962E-2</v>
      </c>
      <c r="M22" s="228" t="s">
        <v>7</v>
      </c>
      <c r="N22" s="141"/>
      <c r="O22" s="228"/>
    </row>
    <row r="23" spans="1:18" x14ac:dyDescent="0.25">
      <c r="A23" s="117">
        <v>2009.1</v>
      </c>
      <c r="B23" s="118"/>
      <c r="C23" s="119">
        <v>13</v>
      </c>
      <c r="D23" s="119"/>
      <c r="E23" s="120"/>
      <c r="F23" s="144">
        <v>0.10310000000000001</v>
      </c>
      <c r="G23" s="126"/>
      <c r="H23" s="121"/>
      <c r="I23" s="136"/>
      <c r="J23" s="136"/>
      <c r="K23" s="122"/>
      <c r="L23" s="122"/>
      <c r="M23" s="228"/>
      <c r="N23" s="141"/>
      <c r="O23" s="228"/>
      <c r="P23" s="165"/>
    </row>
    <row r="24" spans="1:18" x14ac:dyDescent="0.25">
      <c r="A24" s="117">
        <v>2009.2</v>
      </c>
      <c r="B24" s="118"/>
      <c r="C24" s="119">
        <v>22</v>
      </c>
      <c r="D24" s="119"/>
      <c r="E24" s="120"/>
      <c r="F24" s="144">
        <v>0.10550000000000001</v>
      </c>
      <c r="G24" s="126"/>
      <c r="H24" s="121"/>
      <c r="I24" s="124"/>
      <c r="J24" s="124"/>
      <c r="K24" s="121"/>
      <c r="L24" s="121"/>
      <c r="M24" s="228"/>
      <c r="N24" s="141"/>
      <c r="O24" s="228"/>
    </row>
    <row r="25" spans="1:18" x14ac:dyDescent="0.25">
      <c r="A25" s="117">
        <v>2009.3</v>
      </c>
      <c r="B25" s="118"/>
      <c r="C25" s="119">
        <v>17</v>
      </c>
      <c r="D25" s="119"/>
      <c r="E25" s="120"/>
      <c r="F25" s="144">
        <v>0.10460000000000001</v>
      </c>
      <c r="G25" s="126"/>
      <c r="H25" s="121"/>
      <c r="I25" s="137" t="s">
        <v>89</v>
      </c>
      <c r="J25" s="124"/>
      <c r="K25" s="121"/>
      <c r="L25" s="219">
        <f>AVERAGE(L21:L22)</f>
        <v>8.1387031596413806E-2</v>
      </c>
      <c r="M25" s="228" t="s">
        <v>23</v>
      </c>
      <c r="N25" s="140"/>
    </row>
    <row r="26" spans="1:18" x14ac:dyDescent="0.25">
      <c r="A26" s="117">
        <v>2009.4</v>
      </c>
      <c r="B26" s="118"/>
      <c r="C26" s="119">
        <v>14</v>
      </c>
      <c r="D26" s="119"/>
      <c r="E26" s="120"/>
      <c r="F26" s="144">
        <v>0.10539999999999999</v>
      </c>
      <c r="G26" s="126"/>
      <c r="H26" s="121"/>
      <c r="I26" s="124"/>
      <c r="J26" s="124"/>
      <c r="K26" s="121"/>
      <c r="M26" s="228"/>
      <c r="N26" s="140"/>
    </row>
    <row r="27" spans="1:18" x14ac:dyDescent="0.25">
      <c r="A27" s="117">
        <v>2010.1</v>
      </c>
      <c r="B27" s="118"/>
      <c r="C27" s="119">
        <v>16</v>
      </c>
      <c r="D27" s="119"/>
      <c r="E27" s="120"/>
      <c r="F27" s="144">
        <v>0.1045</v>
      </c>
      <c r="G27" s="126"/>
      <c r="H27" s="121"/>
      <c r="I27" s="137" t="s">
        <v>90</v>
      </c>
      <c r="J27" s="124"/>
      <c r="K27" s="121"/>
      <c r="L27" s="219">
        <f>AVERAGE(F7:F54)</f>
        <v>0.10172083333333333</v>
      </c>
      <c r="M27" s="228" t="s">
        <v>24</v>
      </c>
      <c r="N27" s="140"/>
    </row>
    <row r="28" spans="1:18" x14ac:dyDescent="0.25">
      <c r="A28" s="117">
        <v>2010.2</v>
      </c>
      <c r="B28" s="118"/>
      <c r="C28" s="119">
        <v>19</v>
      </c>
      <c r="D28" s="119"/>
      <c r="E28" s="120"/>
      <c r="F28" s="144">
        <v>0.1012</v>
      </c>
      <c r="G28" s="126"/>
      <c r="H28" s="121"/>
      <c r="I28" s="229"/>
      <c r="J28" s="229"/>
      <c r="K28" s="229"/>
      <c r="L28" s="229"/>
      <c r="N28" s="140"/>
    </row>
    <row r="29" spans="1:18" x14ac:dyDescent="0.25">
      <c r="A29" s="117">
        <v>2010.3</v>
      </c>
      <c r="B29" s="118"/>
      <c r="C29" s="119">
        <v>12</v>
      </c>
      <c r="D29" s="119"/>
      <c r="E29" s="120"/>
      <c r="F29" s="144">
        <v>0.1027</v>
      </c>
      <c r="G29" s="126"/>
      <c r="H29" s="121"/>
      <c r="I29" s="229"/>
      <c r="J29" s="229"/>
      <c r="K29" s="229"/>
      <c r="L29" s="229"/>
      <c r="N29" s="140"/>
    </row>
    <row r="30" spans="1:18" x14ac:dyDescent="0.25">
      <c r="A30" s="117">
        <v>2010.4</v>
      </c>
      <c r="B30" s="118"/>
      <c r="C30" s="119">
        <v>8</v>
      </c>
      <c r="D30" s="119"/>
      <c r="E30" s="120"/>
      <c r="F30" s="144">
        <v>0.10300000000000001</v>
      </c>
      <c r="G30" s="126"/>
      <c r="H30" s="121"/>
      <c r="I30" s="124"/>
      <c r="J30" s="124"/>
      <c r="K30" s="121"/>
      <c r="N30" s="140"/>
    </row>
    <row r="31" spans="1:18" x14ac:dyDescent="0.2">
      <c r="A31" s="117">
        <v>2011.1</v>
      </c>
      <c r="B31" s="118"/>
      <c r="C31" s="119">
        <v>8</v>
      </c>
      <c r="D31" s="119"/>
      <c r="E31" s="120"/>
      <c r="F31" s="144">
        <v>0.10349999999999999</v>
      </c>
      <c r="G31" s="126"/>
      <c r="H31" s="121"/>
      <c r="N31" s="140"/>
      <c r="P31" s="159"/>
      <c r="Q31" s="160"/>
    </row>
    <row r="32" spans="1:18" x14ac:dyDescent="0.2">
      <c r="A32" s="117">
        <v>2011.2</v>
      </c>
      <c r="B32" s="118"/>
      <c r="C32" s="119">
        <v>15</v>
      </c>
      <c r="D32" s="119"/>
      <c r="E32" s="120"/>
      <c r="F32" s="144">
        <v>0.1024</v>
      </c>
      <c r="G32" s="126"/>
      <c r="H32" s="121"/>
      <c r="N32" s="140"/>
      <c r="P32" s="159"/>
      <c r="Q32" s="160"/>
    </row>
    <row r="33" spans="1:18" x14ac:dyDescent="0.2">
      <c r="A33" s="117">
        <v>2011.3</v>
      </c>
      <c r="B33" s="118"/>
      <c r="C33" s="119">
        <v>17</v>
      </c>
      <c r="D33" s="119"/>
      <c r="E33" s="120"/>
      <c r="F33" s="144">
        <v>0.1013</v>
      </c>
      <c r="G33" s="126"/>
      <c r="H33" s="121"/>
      <c r="I33" s="124"/>
      <c r="J33" s="124"/>
      <c r="K33" s="121"/>
      <c r="L33" s="228" t="s">
        <v>25</v>
      </c>
      <c r="N33" s="140"/>
      <c r="P33" s="159"/>
      <c r="Q33" s="160"/>
    </row>
    <row r="34" spans="1:18" x14ac:dyDescent="0.2">
      <c r="A34" s="117">
        <v>2011.4</v>
      </c>
      <c r="B34" s="118"/>
      <c r="C34" s="119">
        <v>10</v>
      </c>
      <c r="D34" s="119"/>
      <c r="E34" s="120"/>
      <c r="F34" s="144">
        <v>0.10289999999999999</v>
      </c>
      <c r="G34" s="126"/>
      <c r="H34" s="121"/>
      <c r="N34" s="140"/>
      <c r="P34" s="180"/>
      <c r="Q34" s="160"/>
    </row>
    <row r="35" spans="1:18" x14ac:dyDescent="0.2">
      <c r="A35" s="117">
        <v>2012.1</v>
      </c>
      <c r="B35" s="118"/>
      <c r="C35" s="119">
        <v>17</v>
      </c>
      <c r="D35" s="119"/>
      <c r="E35" s="120"/>
      <c r="F35" s="144">
        <v>0.1084</v>
      </c>
      <c r="G35" s="126"/>
      <c r="H35" s="121"/>
      <c r="L35" s="228" t="s">
        <v>159</v>
      </c>
      <c r="N35" s="140"/>
      <c r="P35" s="144"/>
      <c r="Q35" s="160"/>
      <c r="R35" s="165"/>
    </row>
    <row r="36" spans="1:18" x14ac:dyDescent="0.25">
      <c r="A36" s="117">
        <v>2012.2</v>
      </c>
      <c r="B36" s="118"/>
      <c r="C36" s="119">
        <v>16</v>
      </c>
      <c r="D36" s="119"/>
      <c r="E36" s="120"/>
      <c r="F36" s="144">
        <v>9.9199999999999997E-2</v>
      </c>
      <c r="G36" s="126"/>
      <c r="H36" s="121"/>
      <c r="I36" s="114" t="s">
        <v>34</v>
      </c>
      <c r="J36" s="115"/>
      <c r="K36" s="116"/>
      <c r="L36" s="114" t="s">
        <v>137</v>
      </c>
      <c r="N36" s="140"/>
      <c r="P36" s="144"/>
      <c r="Q36" s="161"/>
      <c r="R36" s="165"/>
    </row>
    <row r="37" spans="1:18" x14ac:dyDescent="0.2">
      <c r="A37" s="117">
        <v>2012.3</v>
      </c>
      <c r="B37" s="118"/>
      <c r="C37" s="119">
        <v>8</v>
      </c>
      <c r="D37" s="119"/>
      <c r="E37" s="120"/>
      <c r="F37" s="144">
        <v>9.7799999999999998E-2</v>
      </c>
      <c r="G37" s="126"/>
      <c r="H37" s="121"/>
      <c r="I37" s="123">
        <v>2005</v>
      </c>
      <c r="J37" s="123"/>
      <c r="K37" s="121"/>
      <c r="L37" s="144">
        <v>8.4699999999999998E-2</v>
      </c>
      <c r="N37" s="140"/>
      <c r="P37" s="144"/>
      <c r="Q37" s="161"/>
      <c r="R37" s="165"/>
    </row>
    <row r="38" spans="1:18" x14ac:dyDescent="0.2">
      <c r="A38" s="117">
        <v>2012.4</v>
      </c>
      <c r="B38" s="118"/>
      <c r="C38" s="119">
        <v>12</v>
      </c>
      <c r="D38" s="119"/>
      <c r="E38" s="120"/>
      <c r="F38" s="144">
        <v>0.10050000000000001</v>
      </c>
      <c r="G38" s="126"/>
      <c r="H38" s="121"/>
      <c r="I38" s="123">
        <v>2006</v>
      </c>
      <c r="J38" s="123"/>
      <c r="K38" s="121"/>
      <c r="L38" s="144">
        <v>8.8599999999999998E-2</v>
      </c>
      <c r="N38" s="140"/>
      <c r="P38" s="144"/>
      <c r="Q38" s="161"/>
      <c r="R38" s="165"/>
    </row>
    <row r="39" spans="1:18" x14ac:dyDescent="0.2">
      <c r="A39" s="117">
        <v>2013.1</v>
      </c>
      <c r="B39" s="118"/>
      <c r="C39" s="119">
        <v>19</v>
      </c>
      <c r="D39" s="119"/>
      <c r="E39" s="120"/>
      <c r="F39" s="144">
        <v>0.1023</v>
      </c>
      <c r="G39" s="126"/>
      <c r="H39" s="121"/>
      <c r="I39" s="123">
        <v>2007</v>
      </c>
      <c r="J39" s="123"/>
      <c r="K39" s="121"/>
      <c r="L39" s="144">
        <v>8.3900000000000002E-2</v>
      </c>
      <c r="N39" s="140"/>
      <c r="P39" s="144"/>
      <c r="Q39" s="161"/>
      <c r="R39" s="165"/>
    </row>
    <row r="40" spans="1:18" x14ac:dyDescent="0.2">
      <c r="A40" s="117">
        <v>2013.2</v>
      </c>
      <c r="B40" s="118"/>
      <c r="C40" s="119">
        <v>16</v>
      </c>
      <c r="D40" s="119"/>
      <c r="E40" s="120"/>
      <c r="F40" s="144">
        <v>9.7699999999999995E-2</v>
      </c>
      <c r="G40" s="126"/>
      <c r="H40" s="121"/>
      <c r="I40" s="123">
        <v>2008</v>
      </c>
      <c r="J40" s="123"/>
      <c r="K40" s="121"/>
      <c r="L40" s="144">
        <v>8.6400000000000005E-2</v>
      </c>
      <c r="N40" s="140"/>
      <c r="P40" s="144"/>
      <c r="Q40" s="161"/>
      <c r="R40" s="165"/>
    </row>
    <row r="41" spans="1:18" x14ac:dyDescent="0.2">
      <c r="A41" s="117">
        <v>2013.3</v>
      </c>
      <c r="B41" s="118"/>
      <c r="C41" s="119">
        <v>4</v>
      </c>
      <c r="D41" s="119"/>
      <c r="E41" s="120"/>
      <c r="F41" s="144">
        <v>0.10059999999999999</v>
      </c>
      <c r="G41" s="126"/>
      <c r="H41" s="121"/>
      <c r="I41" s="123">
        <v>2009</v>
      </c>
      <c r="J41" s="123"/>
      <c r="K41" s="121"/>
      <c r="L41" s="144">
        <v>8.199999999999999E-2</v>
      </c>
      <c r="N41" s="140"/>
      <c r="P41" s="144"/>
      <c r="Q41" s="161"/>
      <c r="R41" s="165"/>
    </row>
    <row r="42" spans="1:18" x14ac:dyDescent="0.2">
      <c r="A42" s="117">
        <v>2013.4</v>
      </c>
      <c r="B42" s="118"/>
      <c r="C42" s="119">
        <v>7</v>
      </c>
      <c r="D42" s="119"/>
      <c r="E42" s="120"/>
      <c r="F42" s="144">
        <v>9.9000000000000005E-2</v>
      </c>
      <c r="G42" s="126"/>
      <c r="H42" s="121"/>
      <c r="I42" s="123">
        <v>2010</v>
      </c>
      <c r="J42" s="123"/>
      <c r="K42" s="121"/>
      <c r="L42" s="144">
        <v>8.4900000000000003E-2</v>
      </c>
      <c r="N42" s="140"/>
      <c r="P42" s="144"/>
      <c r="Q42" s="161"/>
      <c r="R42" s="165"/>
    </row>
    <row r="43" spans="1:18" x14ac:dyDescent="0.2">
      <c r="A43" s="117">
        <v>2014.1</v>
      </c>
      <c r="B43" s="118"/>
      <c r="C43" s="119">
        <v>9</v>
      </c>
      <c r="D43" s="119"/>
      <c r="E43" s="120"/>
      <c r="F43" s="144">
        <v>0.1023</v>
      </c>
      <c r="G43" s="126"/>
      <c r="H43" s="121"/>
      <c r="I43" s="123">
        <v>2011</v>
      </c>
      <c r="J43" s="123"/>
      <c r="K43" s="121"/>
      <c r="L43" s="144">
        <v>7.8899999999999998E-2</v>
      </c>
      <c r="N43" s="140"/>
      <c r="P43" s="144"/>
      <c r="Q43" s="161"/>
      <c r="R43" s="165"/>
    </row>
    <row r="44" spans="1:18" x14ac:dyDescent="0.25">
      <c r="A44" s="117">
        <v>2014.2</v>
      </c>
      <c r="B44" s="118"/>
      <c r="C44" s="119">
        <v>25</v>
      </c>
      <c r="D44" s="119"/>
      <c r="E44" s="120"/>
      <c r="F44" s="144">
        <v>9.8299999999999998E-2</v>
      </c>
      <c r="G44" s="126"/>
      <c r="H44" s="121"/>
      <c r="I44" s="123">
        <v>2012</v>
      </c>
      <c r="J44" s="123"/>
      <c r="K44" s="121"/>
      <c r="L44" s="144">
        <v>7.5399999999999995E-2</v>
      </c>
      <c r="N44" s="140"/>
      <c r="P44" s="144"/>
      <c r="R44" s="165"/>
    </row>
    <row r="45" spans="1:18" x14ac:dyDescent="0.25">
      <c r="A45" s="117">
        <v>2014.3</v>
      </c>
      <c r="B45" s="118"/>
      <c r="C45" s="119">
        <v>8</v>
      </c>
      <c r="D45" s="119"/>
      <c r="E45" s="120"/>
      <c r="F45" s="144">
        <v>9.8900000000000002E-2</v>
      </c>
      <c r="G45" s="126"/>
      <c r="H45" s="121"/>
      <c r="I45" s="123">
        <v>2013</v>
      </c>
      <c r="J45" s="123"/>
      <c r="K45" s="121"/>
      <c r="L45" s="144">
        <v>0.08</v>
      </c>
      <c r="N45" s="140"/>
      <c r="P45" s="144"/>
      <c r="R45" s="165"/>
    </row>
    <row r="46" spans="1:18" x14ac:dyDescent="0.25">
      <c r="A46" s="117">
        <v>2014.4</v>
      </c>
      <c r="B46" s="118"/>
      <c r="C46" s="119">
        <v>16</v>
      </c>
      <c r="D46" s="119"/>
      <c r="E46" s="120"/>
      <c r="F46" s="144">
        <v>9.7799999999999998E-2</v>
      </c>
      <c r="G46" s="126"/>
      <c r="H46" s="121"/>
      <c r="I46" s="123">
        <v>2014</v>
      </c>
      <c r="J46" s="123"/>
      <c r="K46" s="121"/>
      <c r="L46" s="144">
        <v>7.9500000000000001E-2</v>
      </c>
      <c r="N46" s="140"/>
    </row>
    <row r="47" spans="1:18" x14ac:dyDescent="0.25">
      <c r="A47" s="117">
        <v>2015.1</v>
      </c>
      <c r="B47" s="118"/>
      <c r="C47" s="119">
        <v>10</v>
      </c>
      <c r="D47" s="119"/>
      <c r="E47" s="120"/>
      <c r="F47" s="144">
        <v>0.1037</v>
      </c>
      <c r="G47" s="126"/>
      <c r="H47" s="121"/>
      <c r="I47" s="123">
        <v>2015</v>
      </c>
      <c r="J47" s="123"/>
      <c r="K47" s="121"/>
      <c r="L47" s="144">
        <v>8.3900000000000002E-2</v>
      </c>
      <c r="N47" s="140"/>
    </row>
    <row r="48" spans="1:18" x14ac:dyDescent="0.25">
      <c r="A48" s="117">
        <v>2015.2</v>
      </c>
      <c r="B48" s="118"/>
      <c r="C48" s="119">
        <v>21</v>
      </c>
      <c r="D48" s="119"/>
      <c r="E48" s="120"/>
      <c r="F48" s="144">
        <v>9.7299999999999998E-2</v>
      </c>
      <c r="G48" s="126"/>
      <c r="H48" s="121"/>
      <c r="I48" s="123">
        <v>2016</v>
      </c>
      <c r="J48" s="123"/>
      <c r="K48" s="121"/>
      <c r="L48" s="144">
        <v>8.14E-2</v>
      </c>
      <c r="N48" s="140"/>
    </row>
    <row r="49" spans="1:14" x14ac:dyDescent="0.25">
      <c r="A49" s="117">
        <v>2015.3</v>
      </c>
      <c r="B49" s="118"/>
      <c r="C49" s="119">
        <v>6</v>
      </c>
      <c r="D49" s="119"/>
      <c r="E49" s="120"/>
      <c r="F49" s="144">
        <v>9.4E-2</v>
      </c>
      <c r="G49" s="126"/>
      <c r="H49" s="121"/>
      <c r="N49" s="140"/>
    </row>
    <row r="50" spans="1:14" x14ac:dyDescent="0.25">
      <c r="A50" s="117">
        <v>2015.4</v>
      </c>
      <c r="B50" s="118"/>
      <c r="C50" s="119">
        <v>11</v>
      </c>
      <c r="D50" s="119"/>
      <c r="E50" s="120"/>
      <c r="F50" s="144">
        <v>9.6199999999999994E-2</v>
      </c>
      <c r="G50" s="126"/>
      <c r="H50" s="121"/>
      <c r="I50" s="181" t="s">
        <v>80</v>
      </c>
      <c r="J50" s="124"/>
      <c r="K50" s="121"/>
      <c r="L50" s="182">
        <f>AVERAGE(L37:L48)</f>
        <v>8.246666666666666E-2</v>
      </c>
      <c r="N50" s="140"/>
    </row>
    <row r="51" spans="1:14" x14ac:dyDescent="0.25">
      <c r="A51" s="117">
        <v>2016.1</v>
      </c>
      <c r="B51" s="118"/>
      <c r="C51" s="119">
        <v>14</v>
      </c>
      <c r="D51" s="119"/>
      <c r="E51" s="120"/>
      <c r="F51" s="144">
        <v>0.1026</v>
      </c>
      <c r="G51" s="126"/>
      <c r="H51" s="121"/>
      <c r="I51" s="12"/>
      <c r="J51" s="124"/>
      <c r="K51" s="121"/>
      <c r="N51" s="140"/>
    </row>
    <row r="52" spans="1:14" x14ac:dyDescent="0.25">
      <c r="A52" s="117">
        <v>2016.2</v>
      </c>
      <c r="B52" s="118"/>
      <c r="C52" s="119">
        <v>27</v>
      </c>
      <c r="D52" s="119"/>
      <c r="E52" s="120"/>
      <c r="F52" s="144">
        <v>9.5699999999999993E-2</v>
      </c>
      <c r="G52" s="126"/>
      <c r="H52" s="121"/>
      <c r="I52" s="12"/>
      <c r="J52" s="124"/>
      <c r="K52" s="121"/>
      <c r="N52" s="140"/>
    </row>
    <row r="53" spans="1:14" x14ac:dyDescent="0.25">
      <c r="A53" s="117">
        <v>2016.3</v>
      </c>
      <c r="B53" s="118"/>
      <c r="C53" s="119">
        <v>12</v>
      </c>
      <c r="D53" s="119"/>
      <c r="E53" s="120"/>
      <c r="F53" s="144">
        <v>9.7600000000000006E-2</v>
      </c>
      <c r="G53" s="126"/>
      <c r="H53" s="121"/>
      <c r="I53" s="12"/>
      <c r="J53" s="124"/>
      <c r="K53" s="121"/>
      <c r="N53" s="140"/>
    </row>
    <row r="54" spans="1:14" x14ac:dyDescent="0.25">
      <c r="A54" s="117">
        <v>2016.4</v>
      </c>
      <c r="B54" s="118"/>
      <c r="C54" s="119">
        <v>17</v>
      </c>
      <c r="D54" s="119"/>
      <c r="E54" s="120"/>
      <c r="F54" s="144">
        <v>9.5699999999999993E-2</v>
      </c>
      <c r="G54" s="126"/>
      <c r="H54" s="121"/>
      <c r="I54" s="12"/>
      <c r="J54" s="124"/>
      <c r="K54" s="121"/>
      <c r="N54" s="140"/>
    </row>
    <row r="55" spans="1:14" x14ac:dyDescent="0.25">
      <c r="A55" s="142"/>
      <c r="B55" s="142"/>
      <c r="C55" s="142"/>
      <c r="D55" s="142"/>
      <c r="E55" s="142"/>
      <c r="F55" s="142"/>
      <c r="G55" s="142"/>
      <c r="H55" s="142"/>
      <c r="I55" s="143"/>
      <c r="J55" s="143"/>
      <c r="K55" s="122"/>
      <c r="L55" s="142"/>
      <c r="M55" s="142"/>
      <c r="N55" s="140"/>
    </row>
    <row r="56" spans="1:14" x14ac:dyDescent="0.25">
      <c r="N56" s="140"/>
    </row>
    <row r="57" spans="1:14" x14ac:dyDescent="0.25">
      <c r="N57" s="140"/>
    </row>
    <row r="58" spans="1:14" s="163" customFormat="1" ht="14.25" customHeight="1" x14ac:dyDescent="0.2">
      <c r="A58" s="416" t="s">
        <v>123</v>
      </c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162"/>
    </row>
    <row r="59" spans="1:14" s="163" customFormat="1" ht="14.25" customHeight="1" x14ac:dyDescent="0.2">
      <c r="A59" s="416" t="s">
        <v>124</v>
      </c>
      <c r="B59" s="416"/>
      <c r="C59" s="416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162"/>
    </row>
    <row r="60" spans="1:14" ht="14.25" customHeight="1" x14ac:dyDescent="0.2">
      <c r="A60" s="419" t="s">
        <v>125</v>
      </c>
      <c r="B60" s="419"/>
      <c r="C60" s="419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140"/>
    </row>
    <row r="61" spans="1:14" s="163" customFormat="1" ht="14.25" customHeight="1" x14ac:dyDescent="0.2">
      <c r="A61" s="416" t="s">
        <v>91</v>
      </c>
      <c r="B61" s="416"/>
      <c r="C61" s="416"/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162"/>
    </row>
    <row r="62" spans="1:14" s="163" customFormat="1" ht="14.25" customHeight="1" x14ac:dyDescent="0.2">
      <c r="A62" s="416" t="s">
        <v>92</v>
      </c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162"/>
    </row>
    <row r="63" spans="1:14" s="163" customFormat="1" ht="14.25" customHeight="1" x14ac:dyDescent="0.2">
      <c r="A63" s="416" t="s">
        <v>93</v>
      </c>
      <c r="B63" s="416"/>
      <c r="C63" s="416"/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162"/>
    </row>
    <row r="64" spans="1:14" s="163" customFormat="1" ht="14.25" customHeight="1" x14ac:dyDescent="0.2">
      <c r="A64" s="416" t="s">
        <v>94</v>
      </c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</row>
    <row r="65" spans="1:13" ht="14.25" customHeight="1" x14ac:dyDescent="0.2">
      <c r="A65" s="416" t="s">
        <v>119</v>
      </c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</row>
  </sheetData>
  <mergeCells count="10">
    <mergeCell ref="A62:M62"/>
    <mergeCell ref="A63:M63"/>
    <mergeCell ref="A64:M64"/>
    <mergeCell ref="A65:M65"/>
    <mergeCell ref="P4:Q4"/>
    <mergeCell ref="P5:Q5"/>
    <mergeCell ref="A58:M58"/>
    <mergeCell ref="A59:M59"/>
    <mergeCell ref="A60:M60"/>
    <mergeCell ref="A61:M61"/>
  </mergeCells>
  <printOptions horizontalCentered="1"/>
  <pageMargins left="0.7" right="0.7" top="0.75" bottom="0.75" header="0.3" footer="0.3"/>
  <pageSetup scale="73" orientation="portrait" r:id="rId1"/>
  <headerFooter scaleWithDoc="0">
    <oddHeader>&amp;C&amp;"-,Bold"&amp;14Awarded Returns vs. Market Cost of Equity
(2005 - 2016)&amp;RExhibit DJG-15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AW47"/>
  <sheetViews>
    <sheetView topLeftCell="V1" zoomScaleNormal="100" workbookViewId="0">
      <selection activeCell="AG29" sqref="AG29"/>
    </sheetView>
  </sheetViews>
  <sheetFormatPr defaultColWidth="9.140625" defaultRowHeight="15" x14ac:dyDescent="0.25"/>
  <cols>
    <col min="1" max="1" width="9.28515625" style="243" customWidth="1"/>
    <col min="2" max="2" width="1.7109375" style="243" customWidth="1"/>
    <col min="3" max="3" width="9.28515625" style="243" customWidth="1"/>
    <col min="4" max="4" width="1.7109375" style="243" customWidth="1"/>
    <col min="5" max="5" width="9.28515625" style="243" customWidth="1"/>
    <col min="6" max="6" width="1.7109375" style="243" customWidth="1"/>
    <col min="7" max="7" width="9.28515625" style="243" customWidth="1"/>
    <col min="8" max="8" width="1.7109375" style="243" customWidth="1"/>
    <col min="9" max="9" width="9.42578125" style="243" customWidth="1"/>
    <col min="10" max="10" width="1.7109375" style="243" customWidth="1"/>
    <col min="11" max="11" width="9.28515625" style="243" customWidth="1"/>
    <col min="12" max="12" width="1.7109375" style="243" customWidth="1"/>
    <col min="13" max="13" width="9.28515625" style="243" customWidth="1"/>
    <col min="14" max="14" width="1.7109375" style="243" customWidth="1"/>
    <col min="15" max="15" width="10.42578125" style="243" customWidth="1"/>
    <col min="16" max="16" width="1.7109375" style="243" customWidth="1"/>
    <col min="17" max="17" width="9.28515625" style="243" customWidth="1"/>
    <col min="18" max="18" width="1.7109375" style="243" customWidth="1"/>
    <col min="19" max="19" width="9.28515625" style="243" customWidth="1"/>
    <col min="20" max="20" width="1.7109375" style="243" customWidth="1"/>
    <col min="21" max="21" width="9.28515625" style="243" customWidth="1"/>
    <col min="22" max="22" width="1.7109375" style="243" customWidth="1"/>
    <col min="23" max="24" width="9.5703125" style="243" customWidth="1"/>
    <col min="25" max="25" width="13.28515625" style="243" customWidth="1"/>
    <col min="26" max="26" width="2.7109375" style="243" customWidth="1"/>
    <col min="27" max="34" width="9.140625" style="243"/>
    <col min="35" max="35" width="9.28515625" style="243" customWidth="1"/>
    <col min="36" max="36" width="1.7109375" style="243" customWidth="1"/>
    <col min="37" max="37" width="9.28515625" style="243" customWidth="1"/>
    <col min="38" max="38" width="1.7109375" style="243" customWidth="1"/>
    <col min="39" max="39" width="9.28515625" style="243" customWidth="1"/>
    <col min="40" max="40" width="1.7109375" style="243" customWidth="1"/>
    <col min="41" max="41" width="9.28515625" style="243" customWidth="1"/>
    <col min="42" max="42" width="1.7109375" style="243" customWidth="1"/>
    <col min="43" max="43" width="9.42578125" style="243" customWidth="1"/>
    <col min="44" max="44" width="1.7109375" style="243" customWidth="1"/>
    <col min="45" max="45" width="9.28515625" style="243" customWidth="1"/>
    <col min="46" max="46" width="1.7109375" style="243" customWidth="1"/>
    <col min="47" max="47" width="9.28515625" style="243" customWidth="1"/>
    <col min="48" max="48" width="1.7109375" style="243" customWidth="1"/>
    <col min="49" max="49" width="10.42578125" style="243" customWidth="1"/>
    <col min="50" max="50" width="1.7109375" style="243" customWidth="1"/>
    <col min="51" max="51" width="9.140625" style="243"/>
    <col min="52" max="52" width="1.7109375" style="243" customWidth="1"/>
    <col min="53" max="53" width="9.140625" style="243"/>
    <col min="54" max="54" width="1.7109375" style="243" customWidth="1"/>
    <col min="55" max="55" width="9.140625" style="243"/>
    <col min="56" max="56" width="1.7109375" style="243" customWidth="1"/>
    <col min="57" max="16384" width="9.140625" style="243"/>
  </cols>
  <sheetData>
    <row r="1" spans="1:49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7"/>
    </row>
    <row r="3" spans="1:49" x14ac:dyDescent="0.25">
      <c r="E3" s="100"/>
      <c r="Q3" s="242" t="s">
        <v>50</v>
      </c>
      <c r="S3" s="242" t="s">
        <v>51</v>
      </c>
      <c r="T3" s="242"/>
      <c r="U3" s="242" t="s">
        <v>52</v>
      </c>
      <c r="V3" s="242"/>
      <c r="W3" s="242" t="s">
        <v>53</v>
      </c>
      <c r="X3" s="242"/>
    </row>
    <row r="5" spans="1:49" x14ac:dyDescent="0.25">
      <c r="A5" s="420" t="s">
        <v>177</v>
      </c>
      <c r="B5" s="420"/>
      <c r="C5" s="420"/>
      <c r="D5" s="420"/>
      <c r="E5" s="420"/>
      <c r="F5" s="166"/>
      <c r="G5" s="166"/>
      <c r="H5" s="166"/>
      <c r="I5" s="166"/>
      <c r="J5" s="166"/>
      <c r="K5" s="37"/>
      <c r="M5" s="247"/>
      <c r="P5" s="166"/>
      <c r="Q5" s="420" t="s">
        <v>178</v>
      </c>
      <c r="R5" s="420"/>
      <c r="S5" s="420"/>
      <c r="T5" s="420"/>
      <c r="U5" s="420"/>
      <c r="V5" s="420"/>
      <c r="W5" s="420"/>
      <c r="X5" s="166"/>
    </row>
    <row r="6" spans="1:49" x14ac:dyDescent="0.25">
      <c r="K6" s="37"/>
      <c r="M6" s="247"/>
      <c r="Q6" s="242" t="s">
        <v>179</v>
      </c>
      <c r="R6" s="242"/>
      <c r="S6" s="242" t="s">
        <v>180</v>
      </c>
      <c r="T6" s="242"/>
      <c r="U6" s="242"/>
      <c r="V6" s="242"/>
      <c r="W6" s="242" t="s">
        <v>181</v>
      </c>
      <c r="X6" s="242"/>
    </row>
    <row r="7" spans="1:49" x14ac:dyDescent="0.25">
      <c r="A7" s="408" t="s">
        <v>182</v>
      </c>
      <c r="B7" s="408"/>
      <c r="C7" s="408"/>
      <c r="E7" s="248">
        <v>289803</v>
      </c>
      <c r="F7" s="249"/>
      <c r="G7" s="250" t="s">
        <v>3</v>
      </c>
      <c r="H7" s="249"/>
      <c r="I7" s="249"/>
      <c r="J7" s="249"/>
      <c r="K7" s="37"/>
      <c r="M7" s="247"/>
      <c r="Q7" s="187" t="s">
        <v>183</v>
      </c>
      <c r="R7" s="187"/>
      <c r="S7" s="187" t="s">
        <v>184</v>
      </c>
      <c r="T7" s="187"/>
      <c r="U7" s="187" t="s">
        <v>185</v>
      </c>
      <c r="V7" s="187"/>
      <c r="W7" s="187" t="s">
        <v>27</v>
      </c>
      <c r="X7" s="94"/>
      <c r="AI7" s="388" t="s">
        <v>222</v>
      </c>
      <c r="AJ7" s="388"/>
      <c r="AK7" s="388"/>
      <c r="AL7" s="388"/>
      <c r="AM7" s="388"/>
      <c r="AN7" s="388"/>
      <c r="AO7" s="388"/>
      <c r="AP7" s="388"/>
      <c r="AQ7" s="388"/>
      <c r="AR7" s="388"/>
      <c r="AS7" s="388"/>
      <c r="AT7" s="388"/>
      <c r="AU7" s="388"/>
      <c r="AV7" s="388"/>
      <c r="AW7" s="388"/>
    </row>
    <row r="8" spans="1:49" x14ac:dyDescent="0.25">
      <c r="A8" s="408" t="s">
        <v>186</v>
      </c>
      <c r="B8" s="408"/>
      <c r="C8" s="408"/>
      <c r="E8" s="248">
        <v>87130</v>
      </c>
      <c r="F8" s="249"/>
      <c r="G8" s="250" t="s">
        <v>4</v>
      </c>
      <c r="H8" s="249"/>
      <c r="I8" s="249"/>
      <c r="J8" s="249"/>
      <c r="K8" s="37"/>
      <c r="M8" s="247"/>
      <c r="Q8" s="48" t="s">
        <v>352</v>
      </c>
      <c r="R8" s="242"/>
      <c r="S8" s="48" t="s">
        <v>187</v>
      </c>
      <c r="T8" s="48"/>
      <c r="U8" s="245">
        <v>6.0000000000000001E-3</v>
      </c>
      <c r="V8" s="57"/>
      <c r="W8" s="251">
        <f t="shared" ref="W8:W19" si="0">$E$16+U8</f>
        <v>3.4073333333333337E-2</v>
      </c>
      <c r="X8" s="251"/>
      <c r="Z8" s="15"/>
    </row>
    <row r="9" spans="1:49" x14ac:dyDescent="0.25">
      <c r="A9" s="408" t="s">
        <v>188</v>
      </c>
      <c r="B9" s="408"/>
      <c r="C9" s="408"/>
      <c r="E9" s="268">
        <v>1682004</v>
      </c>
      <c r="F9" s="249"/>
      <c r="G9" s="250" t="s">
        <v>5</v>
      </c>
      <c r="H9" s="249"/>
      <c r="I9" s="249"/>
      <c r="J9" s="249"/>
      <c r="K9" s="37"/>
      <c r="M9" s="247"/>
      <c r="Q9" s="48" t="s">
        <v>353</v>
      </c>
      <c r="R9" s="242"/>
      <c r="S9" s="48" t="s">
        <v>189</v>
      </c>
      <c r="T9" s="48"/>
      <c r="U9" s="245">
        <v>8.0000000000000002E-3</v>
      </c>
      <c r="V9" s="57"/>
      <c r="W9" s="251">
        <f t="shared" si="0"/>
        <v>3.6073333333333332E-2</v>
      </c>
      <c r="X9" s="251"/>
      <c r="Z9" s="15"/>
      <c r="AI9" s="242" t="s">
        <v>223</v>
      </c>
      <c r="AJ9" s="242"/>
      <c r="AK9" s="242" t="s">
        <v>225</v>
      </c>
      <c r="AL9" s="242"/>
      <c r="AM9" s="242" t="s">
        <v>226</v>
      </c>
      <c r="AN9" s="242"/>
      <c r="AO9" s="242" t="s">
        <v>227</v>
      </c>
      <c r="AP9" s="242"/>
      <c r="AQ9" s="242" t="s">
        <v>179</v>
      </c>
      <c r="AR9" s="242"/>
      <c r="AS9" s="242" t="s">
        <v>229</v>
      </c>
      <c r="AT9" s="242"/>
      <c r="AU9" s="242" t="s">
        <v>230</v>
      </c>
      <c r="AV9" s="242"/>
      <c r="AW9" s="242" t="s">
        <v>231</v>
      </c>
    </row>
    <row r="10" spans="1:49" x14ac:dyDescent="0.25">
      <c r="A10" s="408" t="s">
        <v>190</v>
      </c>
      <c r="B10" s="408"/>
      <c r="C10" s="408"/>
      <c r="E10" s="268">
        <v>1648727</v>
      </c>
      <c r="F10" s="249"/>
      <c r="G10" s="250" t="s">
        <v>6</v>
      </c>
      <c r="H10" s="249"/>
      <c r="I10" s="249"/>
      <c r="J10" s="249"/>
      <c r="K10" s="37"/>
      <c r="M10" s="247"/>
      <c r="Q10" s="48" t="s">
        <v>354</v>
      </c>
      <c r="R10" s="242"/>
      <c r="S10" s="48" t="s">
        <v>191</v>
      </c>
      <c r="T10" s="48"/>
      <c r="U10" s="245">
        <v>0.01</v>
      </c>
      <c r="V10" s="57"/>
      <c r="W10" s="251">
        <f t="shared" si="0"/>
        <v>3.8073333333333334E-2</v>
      </c>
      <c r="X10" s="251"/>
      <c r="Z10" s="15"/>
      <c r="AI10" s="187" t="s">
        <v>183</v>
      </c>
      <c r="AJ10" s="187"/>
      <c r="AK10" s="187" t="s">
        <v>62</v>
      </c>
      <c r="AL10" s="187"/>
      <c r="AM10" s="187" t="s">
        <v>137</v>
      </c>
      <c r="AN10" s="187"/>
      <c r="AO10" s="187" t="s">
        <v>63</v>
      </c>
      <c r="AP10" s="187"/>
      <c r="AQ10" s="187" t="s">
        <v>183</v>
      </c>
      <c r="AR10" s="187"/>
      <c r="AS10" s="187" t="s">
        <v>196</v>
      </c>
      <c r="AT10" s="187"/>
      <c r="AU10" s="187" t="s">
        <v>234</v>
      </c>
      <c r="AV10" s="187"/>
      <c r="AW10" s="187" t="s">
        <v>315</v>
      </c>
    </row>
    <row r="11" spans="1:49" x14ac:dyDescent="0.25">
      <c r="A11" s="408" t="s">
        <v>192</v>
      </c>
      <c r="B11" s="408"/>
      <c r="C11" s="408"/>
      <c r="E11" s="57">
        <f>E9/(E9+E10)</f>
        <v>0.50499544994777423</v>
      </c>
      <c r="F11" s="252"/>
      <c r="G11" s="169" t="s">
        <v>7</v>
      </c>
      <c r="H11" s="252"/>
      <c r="I11" s="252"/>
      <c r="J11" s="252"/>
      <c r="K11" s="37"/>
      <c r="M11" s="247"/>
      <c r="Q11" s="48" t="s">
        <v>355</v>
      </c>
      <c r="R11" s="242"/>
      <c r="S11" s="48" t="s">
        <v>193</v>
      </c>
      <c r="T11" s="48"/>
      <c r="U11" s="245">
        <v>1.0999999999999999E-2</v>
      </c>
      <c r="V11" s="57"/>
      <c r="W11" s="251">
        <f t="shared" si="0"/>
        <v>3.9073333333333335E-2</v>
      </c>
      <c r="X11" s="251"/>
      <c r="Z11" s="15"/>
      <c r="AI11" s="255">
        <v>0</v>
      </c>
      <c r="AJ11" s="255"/>
      <c r="AK11" s="82">
        <v>0.4673941672057596</v>
      </c>
      <c r="AL11" s="253"/>
      <c r="AM11" s="251">
        <v>5.9201480699874798E-2</v>
      </c>
      <c r="AN11" s="15"/>
      <c r="AO11" s="251">
        <v>8.7499999999999994E-2</v>
      </c>
      <c r="AP11" s="15"/>
      <c r="AQ11" s="257" t="s">
        <v>235</v>
      </c>
      <c r="AR11" s="257"/>
      <c r="AS11" s="251">
        <v>2.366E-2</v>
      </c>
      <c r="AT11" s="251"/>
      <c r="AU11" s="245">
        <v>5.9201480699874798E-2</v>
      </c>
      <c r="AW11" s="245">
        <v>8.7499999999999994E-2</v>
      </c>
    </row>
    <row r="12" spans="1:49" x14ac:dyDescent="0.25">
      <c r="A12" s="408" t="s">
        <v>194</v>
      </c>
      <c r="B12" s="408"/>
      <c r="C12" s="408"/>
      <c r="E12" s="252">
        <f>E9/E10</f>
        <v>1.0201834506258465</v>
      </c>
      <c r="F12" s="252"/>
      <c r="G12" s="169" t="s">
        <v>23</v>
      </c>
      <c r="H12" s="252"/>
      <c r="I12" s="252"/>
      <c r="J12" s="252"/>
      <c r="K12" s="37"/>
      <c r="M12" s="247"/>
      <c r="Q12" s="351" t="s">
        <v>356</v>
      </c>
      <c r="R12" s="242"/>
      <c r="S12" s="48" t="s">
        <v>195</v>
      </c>
      <c r="T12" s="48"/>
      <c r="U12" s="245">
        <v>1.2500000000000001E-2</v>
      </c>
      <c r="V12" s="57"/>
      <c r="W12" s="251">
        <f t="shared" si="0"/>
        <v>4.0573333333333336E-2</v>
      </c>
      <c r="X12" s="251"/>
      <c r="Z12" s="15"/>
      <c r="AI12" s="255">
        <v>0.4</v>
      </c>
      <c r="AJ12" s="255"/>
      <c r="AK12" s="82">
        <v>0.66993163966158875</v>
      </c>
      <c r="AL12" s="253"/>
      <c r="AM12" s="251">
        <v>7.1677789003153872E-2</v>
      </c>
      <c r="AN12" s="15"/>
      <c r="AO12" s="251">
        <v>8.7499999999999994E-2</v>
      </c>
      <c r="AP12" s="15"/>
      <c r="AQ12" s="4">
        <v>8.1898526321155884</v>
      </c>
      <c r="AR12" s="257"/>
      <c r="AS12" s="251">
        <v>2.6259999999999999E-2</v>
      </c>
      <c r="AT12" s="251"/>
      <c r="AU12" s="245">
        <v>5.351067340189232E-2</v>
      </c>
      <c r="AW12" s="245">
        <v>6.3004000000000004E-2</v>
      </c>
    </row>
    <row r="13" spans="1:49" ht="15.75" thickBot="1" x14ac:dyDescent="0.3">
      <c r="A13" s="408" t="s">
        <v>196</v>
      </c>
      <c r="B13" s="408"/>
      <c r="C13" s="408"/>
      <c r="E13" s="57">
        <v>5.62E-2</v>
      </c>
      <c r="F13" s="57"/>
      <c r="G13" s="239" t="s">
        <v>24</v>
      </c>
      <c r="H13" s="57"/>
      <c r="I13" s="57"/>
      <c r="J13" s="57"/>
      <c r="K13" s="37"/>
      <c r="M13" s="247"/>
      <c r="O13" s="243" t="s">
        <v>197</v>
      </c>
      <c r="Q13" s="275" t="s">
        <v>198</v>
      </c>
      <c r="R13" s="276"/>
      <c r="S13" s="275" t="s">
        <v>199</v>
      </c>
      <c r="T13" s="275"/>
      <c r="U13" s="277">
        <v>1.6E-2</v>
      </c>
      <c r="V13" s="278"/>
      <c r="W13" s="279">
        <f t="shared" si="0"/>
        <v>4.4073333333333339E-2</v>
      </c>
      <c r="X13" s="251"/>
      <c r="Z13" s="15"/>
      <c r="AI13" s="255">
        <v>0.45</v>
      </c>
      <c r="AJ13" s="255"/>
      <c r="AK13" s="82">
        <v>0.7159628834015499</v>
      </c>
      <c r="AL13" s="253"/>
      <c r="AM13" s="251">
        <v>7.4513313617535479E-2</v>
      </c>
      <c r="AN13" s="15"/>
      <c r="AO13" s="251">
        <v>8.7499999999999994E-2</v>
      </c>
      <c r="AP13" s="15"/>
      <c r="AQ13" s="4">
        <v>7.2798690063249678</v>
      </c>
      <c r="AR13" s="257"/>
      <c r="AS13" s="251">
        <v>2.691E-2</v>
      </c>
      <c r="AT13" s="251"/>
      <c r="AU13" s="245">
        <v>5.3091822489644516E-2</v>
      </c>
      <c r="AW13" s="245">
        <v>6.0234500000000003E-2</v>
      </c>
    </row>
    <row r="14" spans="1:49" x14ac:dyDescent="0.25">
      <c r="A14" s="408" t="s">
        <v>200</v>
      </c>
      <c r="B14" s="408"/>
      <c r="C14" s="408"/>
      <c r="E14" s="252">
        <v>0.35</v>
      </c>
      <c r="F14" s="252"/>
      <c r="G14" s="169" t="s">
        <v>25</v>
      </c>
      <c r="H14" s="252"/>
      <c r="I14" s="252"/>
      <c r="J14" s="252"/>
      <c r="K14" s="37"/>
      <c r="M14" s="247"/>
      <c r="Q14" s="48" t="s">
        <v>357</v>
      </c>
      <c r="R14" s="242"/>
      <c r="S14" s="48" t="s">
        <v>201</v>
      </c>
      <c r="T14" s="48"/>
      <c r="U14" s="245">
        <v>2.5000000000000001E-2</v>
      </c>
      <c r="V14" s="57"/>
      <c r="W14" s="251">
        <f t="shared" si="0"/>
        <v>5.3073333333333333E-2</v>
      </c>
      <c r="X14" s="251"/>
      <c r="Z14" s="15"/>
      <c r="AI14" s="258">
        <v>0.5</v>
      </c>
      <c r="AJ14" s="255"/>
      <c r="AK14" s="82">
        <v>0.7712003758895033</v>
      </c>
      <c r="AL14" s="253"/>
      <c r="AM14" s="251">
        <v>7.7915943154793416E-2</v>
      </c>
      <c r="AN14" s="15"/>
      <c r="AO14" s="251">
        <v>8.7499999999999994E-2</v>
      </c>
      <c r="AP14" s="15"/>
      <c r="AQ14" s="4">
        <v>6.5518821056924716</v>
      </c>
      <c r="AR14" s="259"/>
      <c r="AS14" s="251">
        <v>2.691E-2</v>
      </c>
      <c r="AT14" s="251"/>
      <c r="AU14" s="260">
        <v>5.2412971577396709E-2</v>
      </c>
      <c r="AW14" s="245">
        <v>5.7204999999999999E-2</v>
      </c>
    </row>
    <row r="15" spans="1:49" x14ac:dyDescent="0.25">
      <c r="A15" s="408" t="s">
        <v>202</v>
      </c>
      <c r="B15" s="408"/>
      <c r="C15" s="408"/>
      <c r="E15" s="12">
        <f>'12 CAPM Result'!G27/(1+(1-'16 Optimal Cap Structure'!E14)*('16 Optimal Cap Structure'!E12))</f>
        <v>0.42620126754885163</v>
      </c>
      <c r="F15" s="253"/>
      <c r="G15" s="82" t="s">
        <v>28</v>
      </c>
      <c r="H15" s="253"/>
      <c r="I15" s="253"/>
      <c r="J15" s="253"/>
      <c r="K15" s="37"/>
      <c r="M15" s="247"/>
      <c r="Q15" s="48" t="s">
        <v>358</v>
      </c>
      <c r="R15" s="242"/>
      <c r="S15" s="48" t="s">
        <v>203</v>
      </c>
      <c r="T15" s="48"/>
      <c r="U15" s="245">
        <v>0.03</v>
      </c>
      <c r="V15" s="57"/>
      <c r="W15" s="251">
        <f t="shared" si="0"/>
        <v>5.8073333333333338E-2</v>
      </c>
      <c r="X15" s="251"/>
      <c r="Z15" s="15"/>
      <c r="AI15" s="255">
        <v>0.55000000000000004</v>
      </c>
      <c r="AJ15" s="255"/>
      <c r="AK15" s="82">
        <v>0.83871286670811318</v>
      </c>
      <c r="AL15" s="253"/>
      <c r="AM15" s="251">
        <v>8.2074712589219778E-2</v>
      </c>
      <c r="AN15" s="15"/>
      <c r="AO15" s="251">
        <v>8.7499999999999994E-2</v>
      </c>
      <c r="AP15" s="15"/>
      <c r="AQ15" s="4">
        <v>5.9562564597204277</v>
      </c>
      <c r="AR15" s="259"/>
      <c r="AS15" s="251">
        <v>2.7885E-2</v>
      </c>
      <c r="AT15" s="251"/>
      <c r="AU15" s="245">
        <v>5.2270370665148898E-2</v>
      </c>
      <c r="AW15" s="245">
        <v>5.4711749999999996E-2</v>
      </c>
    </row>
    <row r="16" spans="1:49" x14ac:dyDescent="0.25">
      <c r="A16" s="408" t="s">
        <v>41</v>
      </c>
      <c r="B16" s="408"/>
      <c r="C16" s="408"/>
      <c r="E16" s="15">
        <f>'8 Risk Free Rate'!E35</f>
        <v>2.8073333333333336E-2</v>
      </c>
      <c r="F16" s="15"/>
      <c r="G16" s="171" t="s">
        <v>40</v>
      </c>
      <c r="H16" s="15"/>
      <c r="I16" s="15"/>
      <c r="J16" s="15"/>
      <c r="K16" s="37"/>
      <c r="M16" s="247"/>
      <c r="Q16" s="48" t="s">
        <v>359</v>
      </c>
      <c r="R16" s="242"/>
      <c r="S16" s="48" t="s">
        <v>204</v>
      </c>
      <c r="T16" s="48"/>
      <c r="U16" s="245">
        <v>3.7499999999999999E-2</v>
      </c>
      <c r="V16" s="57"/>
      <c r="W16" s="251">
        <f t="shared" si="0"/>
        <v>6.5573333333333331E-2</v>
      </c>
      <c r="X16" s="251"/>
      <c r="Z16" s="15"/>
      <c r="AI16" s="255">
        <v>0.56000000000000005</v>
      </c>
      <c r="AJ16" s="255"/>
      <c r="AK16" s="82">
        <v>0.85405661462143345</v>
      </c>
      <c r="AL16" s="253"/>
      <c r="AM16" s="251">
        <v>8.3019887460680314E-2</v>
      </c>
      <c r="AN16" s="15"/>
      <c r="AO16" s="251">
        <v>8.7499999999999994E-2</v>
      </c>
      <c r="AP16" s="15"/>
      <c r="AQ16" s="4">
        <v>5.8498947372254202</v>
      </c>
      <c r="AR16" s="259"/>
      <c r="AS16" s="251">
        <v>2.7885E-2</v>
      </c>
      <c r="AT16" s="251"/>
      <c r="AU16" s="245">
        <v>5.2144350482699331E-2</v>
      </c>
      <c r="AV16" s="15"/>
      <c r="AW16" s="245">
        <v>5.4115599999999993E-2</v>
      </c>
    </row>
    <row r="17" spans="1:49" x14ac:dyDescent="0.25">
      <c r="A17" s="408" t="s">
        <v>205</v>
      </c>
      <c r="B17" s="408"/>
      <c r="C17" s="408"/>
      <c r="E17" s="15">
        <f>'11 ERP Result'!C14</f>
        <v>5.7000000000000002E-2</v>
      </c>
      <c r="F17" s="15"/>
      <c r="G17" s="171" t="s">
        <v>42</v>
      </c>
      <c r="H17" s="15"/>
      <c r="I17" s="15"/>
      <c r="J17" s="15"/>
      <c r="K17" s="37"/>
      <c r="M17" s="247"/>
      <c r="Q17" s="48" t="s">
        <v>360</v>
      </c>
      <c r="R17" s="242"/>
      <c r="S17" s="48" t="s">
        <v>206</v>
      </c>
      <c r="T17" s="48"/>
      <c r="U17" s="245">
        <v>4.4999999999999998E-2</v>
      </c>
      <c r="V17" s="57"/>
      <c r="W17" s="251">
        <f t="shared" si="0"/>
        <v>7.3073333333333337E-2</v>
      </c>
      <c r="X17" s="251"/>
      <c r="Z17" s="15"/>
      <c r="AI17" s="255">
        <v>0.57999999999999996</v>
      </c>
      <c r="AJ17" s="255"/>
      <c r="AK17" s="82">
        <v>0.88693607443569145</v>
      </c>
      <c r="AL17" s="253"/>
      <c r="AM17" s="251">
        <v>8.5045262185238599E-2</v>
      </c>
      <c r="AN17" s="15"/>
      <c r="AO17" s="251">
        <v>8.7499999999999994E-2</v>
      </c>
      <c r="AP17" s="15"/>
      <c r="AQ17" s="4">
        <v>5.6481742290452335</v>
      </c>
      <c r="AR17" s="259"/>
      <c r="AS17" s="251">
        <v>2.7885E-2</v>
      </c>
      <c r="AT17" s="251"/>
      <c r="AU17" s="245">
        <v>5.1892310117800211E-2</v>
      </c>
      <c r="AV17" s="15"/>
      <c r="AW17" s="260">
        <v>5.2923299999999993E-2</v>
      </c>
    </row>
    <row r="18" spans="1:49" x14ac:dyDescent="0.25">
      <c r="A18" s="243" t="s">
        <v>207</v>
      </c>
      <c r="E18" s="12">
        <f>E7/E8</f>
        <v>3.3260989326294044</v>
      </c>
      <c r="F18" s="15"/>
      <c r="G18" s="171" t="s">
        <v>48</v>
      </c>
      <c r="H18" s="15"/>
      <c r="I18" s="15"/>
      <c r="J18" s="15"/>
      <c r="K18" s="37"/>
      <c r="M18" s="247"/>
      <c r="Q18" s="48" t="s">
        <v>208</v>
      </c>
      <c r="R18" s="242"/>
      <c r="S18" s="48" t="s">
        <v>209</v>
      </c>
      <c r="T18" s="48"/>
      <c r="U18" s="245">
        <v>5.5E-2</v>
      </c>
      <c r="V18" s="57"/>
      <c r="W18" s="251">
        <f t="shared" si="0"/>
        <v>8.3073333333333332E-2</v>
      </c>
      <c r="X18" s="251"/>
      <c r="Z18" s="15"/>
      <c r="AI18" s="261">
        <v>0.6</v>
      </c>
      <c r="AJ18" s="258"/>
      <c r="AK18" s="264">
        <v>0.92310348023137512</v>
      </c>
      <c r="AL18" s="265"/>
      <c r="AM18" s="266">
        <v>8.7273174382252711E-2</v>
      </c>
      <c r="AN18" s="267"/>
      <c r="AO18" s="251">
        <v>8.7499999999999994E-2</v>
      </c>
      <c r="AP18" s="267"/>
      <c r="AQ18" s="269">
        <v>5.4599017547437256</v>
      </c>
      <c r="AR18" s="270"/>
      <c r="AS18" s="266">
        <v>2.7885E-2</v>
      </c>
      <c r="AT18" s="266"/>
      <c r="AU18" s="260">
        <v>5.1640269752901091E-2</v>
      </c>
      <c r="AV18" s="267"/>
      <c r="AW18" s="271">
        <v>5.1730999999999999E-2</v>
      </c>
    </row>
    <row r="19" spans="1:49" x14ac:dyDescent="0.25">
      <c r="A19" s="243" t="s">
        <v>210</v>
      </c>
      <c r="E19" s="254" t="str">
        <f>'3 Proxy Sum'!I9</f>
        <v>Baa1</v>
      </c>
      <c r="F19" s="15"/>
      <c r="G19" s="171" t="s">
        <v>49</v>
      </c>
      <c r="H19" s="15"/>
      <c r="I19" s="15"/>
      <c r="J19" s="15"/>
      <c r="K19" s="37"/>
      <c r="M19" s="247"/>
      <c r="Q19" s="48" t="s">
        <v>361</v>
      </c>
      <c r="R19" s="242"/>
      <c r="S19" s="48" t="s">
        <v>211</v>
      </c>
      <c r="T19" s="48"/>
      <c r="U19" s="245">
        <v>6.5000000000000002E-2</v>
      </c>
      <c r="V19" s="57"/>
      <c r="W19" s="251">
        <f t="shared" si="0"/>
        <v>9.3073333333333341E-2</v>
      </c>
      <c r="X19" s="251"/>
      <c r="Z19" s="15"/>
      <c r="AI19" s="261">
        <v>0.65</v>
      </c>
      <c r="AJ19" s="258"/>
      <c r="AK19" s="264">
        <v>1.0316056976184267</v>
      </c>
      <c r="AL19" s="265"/>
      <c r="AM19" s="266">
        <v>9.3956910973295088E-2</v>
      </c>
      <c r="AN19" s="267"/>
      <c r="AO19" s="251">
        <v>8.7499999999999994E-2</v>
      </c>
      <c r="AP19" s="267"/>
      <c r="AQ19" s="269">
        <v>5.0399093120711314</v>
      </c>
      <c r="AR19" s="270"/>
      <c r="AS19" s="266">
        <v>2.7885E-2</v>
      </c>
      <c r="AT19" s="266"/>
      <c r="AU19" s="260">
        <v>5.1010168840653278E-2</v>
      </c>
      <c r="AV19" s="267"/>
      <c r="AW19" s="271">
        <v>4.8750249999999995E-2</v>
      </c>
    </row>
    <row r="20" spans="1:49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7"/>
      <c r="AI20" s="274">
        <v>0.7</v>
      </c>
      <c r="AJ20" s="258"/>
      <c r="AK20" s="264">
        <v>1.1762753208011616</v>
      </c>
      <c r="AL20" s="265"/>
      <c r="AM20" s="266">
        <v>0.10286855976135156</v>
      </c>
      <c r="AN20" s="267"/>
      <c r="AO20" s="251">
        <v>8.7499999999999994E-2</v>
      </c>
      <c r="AP20" s="267"/>
      <c r="AQ20" s="269">
        <v>4.6799157897803365</v>
      </c>
      <c r="AR20" s="270"/>
      <c r="AS20" s="251">
        <v>2.7885E-2</v>
      </c>
      <c r="AT20" s="266"/>
      <c r="AU20" s="273">
        <v>5.0380067928405471E-2</v>
      </c>
      <c r="AW20" s="260">
        <v>4.5769500000000005E-2</v>
      </c>
    </row>
    <row r="21" spans="1:49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49" x14ac:dyDescent="0.25">
      <c r="A22" s="242" t="s">
        <v>60</v>
      </c>
      <c r="B22" s="242"/>
      <c r="C22" s="242" t="s">
        <v>61</v>
      </c>
      <c r="D22" s="242"/>
      <c r="E22" s="239" t="s">
        <v>77</v>
      </c>
      <c r="F22" s="239"/>
      <c r="G22" s="171" t="s">
        <v>213</v>
      </c>
      <c r="H22" s="171"/>
      <c r="I22" s="242" t="s">
        <v>214</v>
      </c>
      <c r="J22" s="242"/>
      <c r="K22" s="242" t="s">
        <v>215</v>
      </c>
      <c r="L22" s="242"/>
      <c r="M22" s="242" t="s">
        <v>216</v>
      </c>
      <c r="N22" s="242"/>
      <c r="O22" s="242" t="s">
        <v>217</v>
      </c>
      <c r="P22" s="242"/>
      <c r="Q22" s="242" t="s">
        <v>218</v>
      </c>
      <c r="R22" s="242"/>
      <c r="S22" s="242" t="s">
        <v>219</v>
      </c>
      <c r="U22" s="242" t="s">
        <v>220</v>
      </c>
      <c r="W22" s="242" t="s">
        <v>221</v>
      </c>
      <c r="X22" s="242"/>
    </row>
    <row r="23" spans="1:49" x14ac:dyDescent="0.25">
      <c r="A23" s="242"/>
      <c r="B23" s="242"/>
      <c r="C23" s="48"/>
      <c r="D23" s="48"/>
      <c r="E23" s="57"/>
      <c r="F23" s="57"/>
      <c r="G23" s="15"/>
      <c r="H23" s="15"/>
      <c r="I23" s="15"/>
      <c r="J23" s="15"/>
      <c r="O23" s="242"/>
      <c r="Q23" s="48"/>
    </row>
    <row r="24" spans="1:49" x14ac:dyDescent="0.25">
      <c r="A24" s="388" t="s">
        <v>222</v>
      </c>
      <c r="B24" s="388"/>
      <c r="C24" s="388"/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27"/>
    </row>
    <row r="26" spans="1:49" x14ac:dyDescent="0.25">
      <c r="A26" s="242" t="s">
        <v>223</v>
      </c>
      <c r="B26" s="242"/>
      <c r="C26" s="242" t="s">
        <v>224</v>
      </c>
      <c r="D26" s="242"/>
      <c r="E26" s="242" t="s">
        <v>225</v>
      </c>
      <c r="F26" s="242"/>
      <c r="G26" s="242" t="s">
        <v>226</v>
      </c>
      <c r="H26" s="242"/>
      <c r="I26" s="242" t="s">
        <v>227</v>
      </c>
      <c r="J26" s="242"/>
      <c r="K26" s="242" t="s">
        <v>223</v>
      </c>
      <c r="L26" s="242"/>
      <c r="M26" s="242" t="s">
        <v>181</v>
      </c>
      <c r="N26" s="242"/>
      <c r="O26" s="242" t="s">
        <v>179</v>
      </c>
      <c r="P26" s="242"/>
      <c r="Q26" s="242" t="s">
        <v>228</v>
      </c>
      <c r="R26" s="242"/>
      <c r="S26" s="242" t="s">
        <v>229</v>
      </c>
      <c r="T26" s="242"/>
      <c r="U26" s="242" t="s">
        <v>230</v>
      </c>
      <c r="V26" s="242"/>
      <c r="W26" s="242" t="s">
        <v>231</v>
      </c>
      <c r="X26" s="242"/>
    </row>
    <row r="27" spans="1:49" x14ac:dyDescent="0.25">
      <c r="A27" s="187" t="s">
        <v>183</v>
      </c>
      <c r="B27" s="187"/>
      <c r="C27" s="187" t="s">
        <v>183</v>
      </c>
      <c r="D27" s="187"/>
      <c r="E27" s="187" t="s">
        <v>62</v>
      </c>
      <c r="F27" s="187"/>
      <c r="G27" s="187" t="s">
        <v>137</v>
      </c>
      <c r="H27" s="187"/>
      <c r="I27" s="187" t="s">
        <v>63</v>
      </c>
      <c r="J27" s="187"/>
      <c r="K27" s="187" t="s">
        <v>232</v>
      </c>
      <c r="L27" s="187"/>
      <c r="M27" s="187" t="s">
        <v>233</v>
      </c>
      <c r="N27" s="187"/>
      <c r="O27" s="187" t="s">
        <v>183</v>
      </c>
      <c r="P27" s="187"/>
      <c r="Q27" s="187" t="s">
        <v>196</v>
      </c>
      <c r="R27" s="187"/>
      <c r="S27" s="187" t="s">
        <v>196</v>
      </c>
      <c r="T27" s="187"/>
      <c r="U27" s="187" t="s">
        <v>234</v>
      </c>
      <c r="V27" s="187"/>
      <c r="W27" s="187" t="s">
        <v>362</v>
      </c>
      <c r="X27" s="94"/>
    </row>
    <row r="28" spans="1:49" x14ac:dyDescent="0.25">
      <c r="A28" s="255">
        <v>0</v>
      </c>
      <c r="B28" s="255"/>
      <c r="C28" s="256">
        <f>A28/(1-A28)</f>
        <v>0</v>
      </c>
      <c r="D28" s="252"/>
      <c r="E28" s="82">
        <f>$E$15</f>
        <v>0.42620126754885163</v>
      </c>
      <c r="F28" s="253"/>
      <c r="G28" s="251">
        <f t="shared" ref="G28:G34" si="1">$E$16+E28*$E$17</f>
        <v>5.2366805583617879E-2</v>
      </c>
      <c r="H28" s="15"/>
      <c r="I28" s="251">
        <v>9.9000000000000005E-2</v>
      </c>
      <c r="J28" s="15"/>
      <c r="K28" s="248">
        <f>A28*($E$9+$E$10)</f>
        <v>0</v>
      </c>
      <c r="L28" s="248"/>
      <c r="M28" s="248">
        <f t="shared" ref="M28:M34" si="2">K28*$E$13</f>
        <v>0</v>
      </c>
      <c r="N28" s="248"/>
      <c r="O28" s="257" t="s">
        <v>235</v>
      </c>
      <c r="P28" s="257"/>
      <c r="Q28" s="251">
        <v>3.4099999999999998E-2</v>
      </c>
      <c r="R28" s="251"/>
      <c r="S28" s="251">
        <f>Q28*(1-$E$14)</f>
        <v>2.2165000000000001E-2</v>
      </c>
      <c r="T28" s="251"/>
      <c r="U28" s="245">
        <f t="shared" ref="U28:U34" si="3">(A28*S28)+((1-A28)*G28)</f>
        <v>5.2366805583617879E-2</v>
      </c>
      <c r="W28" s="245">
        <f>(A28*S28)+((1-A28)*I28)</f>
        <v>9.9000000000000005E-2</v>
      </c>
      <c r="AI28" s="310" t="s">
        <v>223</v>
      </c>
      <c r="AJ28" s="310"/>
      <c r="AK28" s="310" t="s">
        <v>225</v>
      </c>
      <c r="AL28" s="310"/>
      <c r="AM28" s="310" t="s">
        <v>226</v>
      </c>
      <c r="AN28" s="310"/>
      <c r="AO28" s="310" t="s">
        <v>227</v>
      </c>
      <c r="AP28" s="310"/>
      <c r="AQ28" s="310" t="s">
        <v>179</v>
      </c>
      <c r="AR28" s="310"/>
      <c r="AS28" s="310" t="s">
        <v>229</v>
      </c>
      <c r="AT28" s="310"/>
      <c r="AU28" s="310" t="s">
        <v>230</v>
      </c>
      <c r="AV28" s="310"/>
      <c r="AW28" s="310" t="s">
        <v>231</v>
      </c>
    </row>
    <row r="29" spans="1:49" x14ac:dyDescent="0.25">
      <c r="A29" s="255">
        <v>0.2</v>
      </c>
      <c r="B29" s="255"/>
      <c r="C29" s="256">
        <f t="shared" ref="C29:C34" si="4">A29/(1-A29)</f>
        <v>0.25</v>
      </c>
      <c r="D29" s="252"/>
      <c r="E29" s="82">
        <f t="shared" ref="E29:E34" si="5">$E$28*(1+(1-$E$14)*C29)</f>
        <v>0.49545897352554003</v>
      </c>
      <c r="F29" s="253"/>
      <c r="G29" s="251">
        <f t="shared" si="1"/>
        <v>5.6314494824289116E-2</v>
      </c>
      <c r="H29" s="15"/>
      <c r="I29" s="251">
        <v>9.9000000000000005E-2</v>
      </c>
      <c r="J29" s="15"/>
      <c r="K29" s="248">
        <f t="shared" ref="K29:K34" si="6">A29*($E$9+$E$10)</f>
        <v>666146.20000000007</v>
      </c>
      <c r="L29" s="248"/>
      <c r="M29" s="248">
        <f t="shared" si="2"/>
        <v>37437.416440000001</v>
      </c>
      <c r="N29" s="248"/>
      <c r="O29" s="4">
        <f t="shared" ref="O29:O34" si="7">$E$7/M29</f>
        <v>7.7409989138662905</v>
      </c>
      <c r="P29" s="257"/>
      <c r="Q29" s="251">
        <v>3.61E-2</v>
      </c>
      <c r="R29" s="251"/>
      <c r="S29" s="251">
        <f t="shared" ref="S29:S34" si="8">Q29*(1-$E$14)</f>
        <v>2.3465E-2</v>
      </c>
      <c r="T29" s="251"/>
      <c r="U29" s="245">
        <f t="shared" si="3"/>
        <v>4.97445958594313E-2</v>
      </c>
      <c r="W29" s="245">
        <f t="shared" ref="W29:W34" si="9">(A29*S29)+((1-A29)*I29)</f>
        <v>8.3893000000000009E-2</v>
      </c>
      <c r="AI29" s="187" t="s">
        <v>183</v>
      </c>
      <c r="AJ29" s="187"/>
      <c r="AK29" s="187" t="s">
        <v>62</v>
      </c>
      <c r="AL29" s="187"/>
      <c r="AM29" s="187" t="s">
        <v>137</v>
      </c>
      <c r="AN29" s="187"/>
      <c r="AO29" s="187" t="s">
        <v>63</v>
      </c>
      <c r="AP29" s="187"/>
      <c r="AQ29" s="187" t="s">
        <v>183</v>
      </c>
      <c r="AR29" s="187"/>
      <c r="AS29" s="187" t="s">
        <v>196</v>
      </c>
      <c r="AT29" s="187"/>
      <c r="AU29" s="187" t="s">
        <v>234</v>
      </c>
      <c r="AV29" s="187"/>
      <c r="AW29" s="187" t="s">
        <v>362</v>
      </c>
    </row>
    <row r="30" spans="1:49" x14ac:dyDescent="0.25">
      <c r="A30" s="255">
        <v>0.3</v>
      </c>
      <c r="B30" s="255"/>
      <c r="C30" s="256">
        <f t="shared" si="4"/>
        <v>0.4285714285714286</v>
      </c>
      <c r="D30" s="252"/>
      <c r="E30" s="82">
        <f t="shared" si="5"/>
        <v>0.54492876350888886</v>
      </c>
      <c r="F30" s="253"/>
      <c r="G30" s="251">
        <f t="shared" si="1"/>
        <v>5.9134272853339997E-2</v>
      </c>
      <c r="H30" s="15"/>
      <c r="I30" s="251">
        <v>9.9000000000000005E-2</v>
      </c>
      <c r="J30" s="15"/>
      <c r="K30" s="248">
        <f t="shared" si="6"/>
        <v>999219.29999999993</v>
      </c>
      <c r="L30" s="248"/>
      <c r="M30" s="248">
        <f t="shared" si="2"/>
        <v>56156.124659999994</v>
      </c>
      <c r="N30" s="248"/>
      <c r="O30" s="4">
        <f t="shared" si="7"/>
        <v>5.160665942577527</v>
      </c>
      <c r="P30" s="257"/>
      <c r="Q30" s="251">
        <v>3.9100000000000003E-2</v>
      </c>
      <c r="R30" s="251"/>
      <c r="S30" s="251">
        <f t="shared" si="8"/>
        <v>2.5415000000000004E-2</v>
      </c>
      <c r="T30" s="251"/>
      <c r="U30" s="245">
        <f t="shared" si="3"/>
        <v>4.9018490997337995E-2</v>
      </c>
      <c r="W30" s="245">
        <f t="shared" si="9"/>
        <v>7.6924500000000007E-2</v>
      </c>
      <c r="Y30" s="248"/>
      <c r="AI30" s="255">
        <v>0</v>
      </c>
      <c r="AJ30" s="255"/>
      <c r="AK30" s="82">
        <v>0.42620126754885163</v>
      </c>
      <c r="AL30" s="253"/>
      <c r="AM30" s="251">
        <v>5.2366805583617879E-2</v>
      </c>
      <c r="AN30" s="15"/>
      <c r="AO30" s="251">
        <v>9.9000000000000005E-2</v>
      </c>
      <c r="AP30" s="248"/>
      <c r="AQ30" s="257" t="s">
        <v>235</v>
      </c>
      <c r="AR30" s="257"/>
      <c r="AS30" s="251">
        <v>2.2165000000000001E-2</v>
      </c>
      <c r="AT30" s="251"/>
      <c r="AU30" s="245">
        <v>5.2366805583617879E-2</v>
      </c>
      <c r="AV30" s="311"/>
      <c r="AW30" s="245">
        <v>9.9000000000000005E-2</v>
      </c>
    </row>
    <row r="31" spans="1:49" x14ac:dyDescent="0.25">
      <c r="A31" s="258">
        <v>0.4</v>
      </c>
      <c r="B31" s="255"/>
      <c r="C31" s="256">
        <f t="shared" si="4"/>
        <v>0.66666666666666674</v>
      </c>
      <c r="D31" s="252"/>
      <c r="E31" s="82">
        <f t="shared" si="5"/>
        <v>0.61088848348668734</v>
      </c>
      <c r="F31" s="253"/>
      <c r="G31" s="251">
        <f t="shared" si="1"/>
        <v>6.2893976892074516E-2</v>
      </c>
      <c r="H31" s="15"/>
      <c r="I31" s="251">
        <v>9.9000000000000005E-2</v>
      </c>
      <c r="J31" s="15"/>
      <c r="K31" s="248">
        <f t="shared" si="6"/>
        <v>1332292.4000000001</v>
      </c>
      <c r="L31" s="248"/>
      <c r="M31" s="248">
        <f t="shared" si="2"/>
        <v>74874.832880000002</v>
      </c>
      <c r="N31" s="248"/>
      <c r="O31" s="4">
        <f t="shared" si="7"/>
        <v>3.8704994569331452</v>
      </c>
      <c r="P31" s="259"/>
      <c r="Q31" s="251">
        <v>4.0599999999999997E-2</v>
      </c>
      <c r="R31" s="251"/>
      <c r="S31" s="251">
        <f t="shared" si="8"/>
        <v>2.639E-2</v>
      </c>
      <c r="T31" s="251"/>
      <c r="U31" s="260">
        <f t="shared" si="3"/>
        <v>4.8292386135244711E-2</v>
      </c>
      <c r="W31" s="245">
        <f t="shared" si="9"/>
        <v>6.9956000000000004E-2</v>
      </c>
      <c r="AI31" s="255">
        <v>0.2</v>
      </c>
      <c r="AJ31" s="255"/>
      <c r="AK31" s="82">
        <v>0.49545897352554003</v>
      </c>
      <c r="AL31" s="253"/>
      <c r="AM31" s="251">
        <v>5.6314494824289116E-2</v>
      </c>
      <c r="AN31" s="15"/>
      <c r="AO31" s="251">
        <v>9.9000000000000005E-2</v>
      </c>
      <c r="AP31" s="248"/>
      <c r="AQ31" s="4">
        <v>7.7409989138662905</v>
      </c>
      <c r="AR31" s="257"/>
      <c r="AS31" s="251">
        <v>2.3465E-2</v>
      </c>
      <c r="AT31" s="251"/>
      <c r="AU31" s="245">
        <v>4.97445958594313E-2</v>
      </c>
      <c r="AV31" s="311"/>
      <c r="AW31" s="245">
        <v>8.3893000000000009E-2</v>
      </c>
    </row>
    <row r="32" spans="1:49" x14ac:dyDescent="0.25">
      <c r="A32" s="354">
        <v>0.5</v>
      </c>
      <c r="B32" s="255"/>
      <c r="C32" s="256">
        <f t="shared" si="4"/>
        <v>1</v>
      </c>
      <c r="D32" s="252"/>
      <c r="E32" s="82">
        <f t="shared" si="5"/>
        <v>0.70323209145560517</v>
      </c>
      <c r="F32" s="253"/>
      <c r="G32" s="251">
        <f t="shared" si="1"/>
        <v>6.8157562546302827E-2</v>
      </c>
      <c r="H32" s="15"/>
      <c r="I32" s="251">
        <v>9.9000000000000005E-2</v>
      </c>
      <c r="J32" s="15"/>
      <c r="K32" s="248">
        <f t="shared" si="6"/>
        <v>1665365.5</v>
      </c>
      <c r="L32" s="248"/>
      <c r="M32" s="248">
        <f t="shared" si="2"/>
        <v>93593.541100000002</v>
      </c>
      <c r="N32" s="248"/>
      <c r="O32" s="4">
        <f t="shared" si="7"/>
        <v>3.0963995655465162</v>
      </c>
      <c r="P32" s="259"/>
      <c r="Q32" s="251">
        <v>4.0599999999999997E-2</v>
      </c>
      <c r="R32" s="251"/>
      <c r="S32" s="251">
        <f t="shared" si="8"/>
        <v>2.639E-2</v>
      </c>
      <c r="T32" s="251"/>
      <c r="U32" s="353">
        <f t="shared" si="3"/>
        <v>4.7273781273151412E-2</v>
      </c>
      <c r="W32" s="245">
        <f t="shared" si="9"/>
        <v>6.2695000000000001E-2</v>
      </c>
      <c r="Y32" s="17"/>
      <c r="AI32" s="255">
        <v>0.3</v>
      </c>
      <c r="AJ32" s="255"/>
      <c r="AK32" s="82">
        <v>0.54492876350888886</v>
      </c>
      <c r="AL32" s="253"/>
      <c r="AM32" s="251">
        <v>5.9134272853339997E-2</v>
      </c>
      <c r="AN32" s="15"/>
      <c r="AO32" s="251">
        <v>9.9000000000000005E-2</v>
      </c>
      <c r="AP32" s="248"/>
      <c r="AQ32" s="4">
        <v>5.160665942577527</v>
      </c>
      <c r="AR32" s="257"/>
      <c r="AS32" s="251">
        <v>2.5415000000000004E-2</v>
      </c>
      <c r="AT32" s="251"/>
      <c r="AU32" s="245">
        <v>4.9018490997337995E-2</v>
      </c>
      <c r="AV32" s="311"/>
      <c r="AW32" s="245">
        <v>7.6924500000000007E-2</v>
      </c>
    </row>
    <row r="33" spans="1:49" x14ac:dyDescent="0.25">
      <c r="A33" s="255">
        <v>0.6</v>
      </c>
      <c r="B33" s="255"/>
      <c r="C33" s="256">
        <f t="shared" si="4"/>
        <v>1.4999999999999998</v>
      </c>
      <c r="D33" s="252"/>
      <c r="E33" s="82">
        <f t="shared" si="5"/>
        <v>0.84174750340898186</v>
      </c>
      <c r="F33" s="253"/>
      <c r="G33" s="251">
        <f t="shared" si="1"/>
        <v>7.6052941027645302E-2</v>
      </c>
      <c r="H33" s="15"/>
      <c r="I33" s="251">
        <v>9.9000000000000005E-2</v>
      </c>
      <c r="J33" s="15"/>
      <c r="K33" s="248">
        <f t="shared" si="6"/>
        <v>1998438.5999999999</v>
      </c>
      <c r="L33" s="248"/>
      <c r="M33" s="248">
        <f t="shared" si="2"/>
        <v>112312.24931999999</v>
      </c>
      <c r="N33" s="248"/>
      <c r="O33" s="4">
        <f t="shared" si="7"/>
        <v>2.5803329712887635</v>
      </c>
      <c r="P33" s="259"/>
      <c r="Q33" s="251">
        <v>4.41E-2</v>
      </c>
      <c r="R33" s="251"/>
      <c r="S33" s="251">
        <f t="shared" si="8"/>
        <v>2.8665E-2</v>
      </c>
      <c r="T33" s="251"/>
      <c r="U33" s="245">
        <f t="shared" si="3"/>
        <v>4.7620176411058118E-2</v>
      </c>
      <c r="V33" s="15"/>
      <c r="W33" s="245">
        <f t="shared" si="9"/>
        <v>5.6799000000000002E-2</v>
      </c>
      <c r="AI33" s="258">
        <v>0.4</v>
      </c>
      <c r="AJ33" s="255"/>
      <c r="AK33" s="82">
        <v>0.61088848348668734</v>
      </c>
      <c r="AL33" s="253"/>
      <c r="AM33" s="251">
        <v>6.2893976892074516E-2</v>
      </c>
      <c r="AN33" s="15"/>
      <c r="AO33" s="251">
        <v>9.9000000000000005E-2</v>
      </c>
      <c r="AP33" s="248"/>
      <c r="AQ33" s="4">
        <v>3.8704994569331452</v>
      </c>
      <c r="AR33" s="259"/>
      <c r="AS33" s="251">
        <v>2.639E-2</v>
      </c>
      <c r="AT33" s="251"/>
      <c r="AU33" s="260">
        <v>4.8292386135244711E-2</v>
      </c>
      <c r="AV33" s="311"/>
      <c r="AW33" s="245">
        <v>6.9956000000000004E-2</v>
      </c>
    </row>
    <row r="34" spans="1:49" x14ac:dyDescent="0.25">
      <c r="A34" s="355">
        <v>0.7</v>
      </c>
      <c r="B34" s="258"/>
      <c r="C34" s="262">
        <f t="shared" si="4"/>
        <v>2.333333333333333</v>
      </c>
      <c r="D34" s="263"/>
      <c r="E34" s="264">
        <f t="shared" si="5"/>
        <v>1.0726065233312765</v>
      </c>
      <c r="F34" s="265"/>
      <c r="G34" s="266">
        <f t="shared" si="1"/>
        <v>8.9211905163216101E-2</v>
      </c>
      <c r="H34" s="267"/>
      <c r="I34" s="251">
        <v>9.9000000000000005E-2</v>
      </c>
      <c r="J34" s="267"/>
      <c r="K34" s="268">
        <f t="shared" si="6"/>
        <v>2331511.6999999997</v>
      </c>
      <c r="L34" s="268"/>
      <c r="M34" s="268">
        <f t="shared" si="2"/>
        <v>131030.95753999999</v>
      </c>
      <c r="N34" s="268"/>
      <c r="O34" s="269">
        <f t="shared" si="7"/>
        <v>2.211713975390369</v>
      </c>
      <c r="P34" s="270"/>
      <c r="Q34" s="266">
        <v>5.3100000000000001E-2</v>
      </c>
      <c r="R34" s="266"/>
      <c r="S34" s="251">
        <f t="shared" si="8"/>
        <v>3.4515000000000004E-2</v>
      </c>
      <c r="T34" s="266"/>
      <c r="U34" s="271">
        <f t="shared" si="3"/>
        <v>5.0924071548964833E-2</v>
      </c>
      <c r="W34" s="352">
        <f t="shared" si="9"/>
        <v>5.3860500000000006E-2</v>
      </c>
      <c r="AI34" s="354">
        <v>0.5</v>
      </c>
      <c r="AJ34" s="255"/>
      <c r="AK34" s="82">
        <v>0.70323209145560517</v>
      </c>
      <c r="AL34" s="253"/>
      <c r="AM34" s="251">
        <v>6.8157562546302827E-2</v>
      </c>
      <c r="AN34" s="15"/>
      <c r="AO34" s="251">
        <v>9.9000000000000005E-2</v>
      </c>
      <c r="AP34" s="248"/>
      <c r="AQ34" s="4">
        <v>3.0963995655465162</v>
      </c>
      <c r="AR34" s="259"/>
      <c r="AS34" s="251">
        <v>2.639E-2</v>
      </c>
      <c r="AT34" s="251"/>
      <c r="AU34" s="353">
        <v>4.7273781273151412E-2</v>
      </c>
      <c r="AV34" s="311"/>
      <c r="AW34" s="245">
        <v>6.2695000000000001E-2</v>
      </c>
    </row>
    <row r="35" spans="1:49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7"/>
      <c r="AI35" s="255">
        <v>0.6</v>
      </c>
      <c r="AJ35" s="255"/>
      <c r="AK35" s="82">
        <v>0.84174750340898186</v>
      </c>
      <c r="AL35" s="253"/>
      <c r="AM35" s="251">
        <v>7.6052941027645302E-2</v>
      </c>
      <c r="AN35" s="15"/>
      <c r="AO35" s="251">
        <v>9.9000000000000005E-2</v>
      </c>
      <c r="AP35" s="248"/>
      <c r="AQ35" s="4">
        <v>2.5803329712887635</v>
      </c>
      <c r="AR35" s="259"/>
      <c r="AS35" s="251">
        <v>2.8665E-2</v>
      </c>
      <c r="AT35" s="251"/>
      <c r="AU35" s="245">
        <v>4.7620176411058118E-2</v>
      </c>
      <c r="AV35" s="15"/>
      <c r="AW35" s="245">
        <v>5.6799000000000002E-2</v>
      </c>
    </row>
    <row r="36" spans="1:49" x14ac:dyDescent="0.25">
      <c r="AI36" s="355">
        <v>0.7</v>
      </c>
      <c r="AJ36" s="258"/>
      <c r="AK36" s="264">
        <v>1.0726065233312765</v>
      </c>
      <c r="AL36" s="265"/>
      <c r="AM36" s="266">
        <v>8.9211905163216101E-2</v>
      </c>
      <c r="AN36" s="267"/>
      <c r="AO36" s="251">
        <v>9.9000000000000005E-2</v>
      </c>
      <c r="AP36" s="268"/>
      <c r="AQ36" s="269">
        <v>2.211713975390369</v>
      </c>
      <c r="AR36" s="270"/>
      <c r="AS36" s="251">
        <v>3.4515000000000004E-2</v>
      </c>
      <c r="AT36" s="266"/>
      <c r="AU36" s="271">
        <v>5.0924071548964833E-2</v>
      </c>
      <c r="AV36" s="311"/>
      <c r="AW36" s="352">
        <v>5.3860500000000006E-2</v>
      </c>
    </row>
    <row r="37" spans="1:49" x14ac:dyDescent="0.25">
      <c r="U37" s="15"/>
    </row>
    <row r="38" spans="1:49" x14ac:dyDescent="0.25">
      <c r="A38" s="411" t="s">
        <v>259</v>
      </c>
      <c r="B38" s="411"/>
      <c r="C38" s="411"/>
      <c r="D38" s="411"/>
      <c r="E38" s="411"/>
      <c r="F38" s="411"/>
      <c r="G38" s="411"/>
      <c r="H38" s="272"/>
      <c r="I38" s="421" t="s">
        <v>236</v>
      </c>
      <c r="J38" s="421"/>
      <c r="K38" s="421"/>
      <c r="L38" s="421"/>
      <c r="M38" s="421"/>
      <c r="N38" s="421"/>
      <c r="O38" s="421"/>
      <c r="P38" s="244"/>
      <c r="Q38" s="411" t="s">
        <v>237</v>
      </c>
      <c r="R38" s="411"/>
      <c r="S38" s="411"/>
      <c r="T38" s="411"/>
      <c r="U38" s="411"/>
      <c r="V38" s="411"/>
      <c r="W38" s="411"/>
      <c r="X38" s="244"/>
    </row>
    <row r="39" spans="1:49" x14ac:dyDescent="0.25">
      <c r="A39" s="411" t="s">
        <v>258</v>
      </c>
      <c r="B39" s="411"/>
      <c r="C39" s="411"/>
      <c r="D39" s="411"/>
      <c r="E39" s="411"/>
      <c r="F39" s="411"/>
      <c r="G39" s="411"/>
      <c r="H39" s="272"/>
      <c r="I39" s="421" t="s">
        <v>238</v>
      </c>
      <c r="J39" s="421"/>
      <c r="K39" s="421"/>
      <c r="L39" s="421"/>
      <c r="M39" s="421"/>
      <c r="N39" s="421"/>
      <c r="O39" s="421"/>
      <c r="P39" s="244"/>
      <c r="Q39" s="411" t="s">
        <v>239</v>
      </c>
      <c r="R39" s="411"/>
      <c r="S39" s="411"/>
      <c r="T39" s="411"/>
      <c r="U39" s="411"/>
      <c r="V39" s="411"/>
      <c r="W39" s="411"/>
      <c r="X39" s="244"/>
    </row>
    <row r="40" spans="1:49" x14ac:dyDescent="0.25">
      <c r="A40" s="411" t="s">
        <v>240</v>
      </c>
      <c r="B40" s="411"/>
      <c r="C40" s="411"/>
      <c r="D40" s="411"/>
      <c r="E40" s="411"/>
      <c r="F40" s="411"/>
      <c r="G40" s="411"/>
      <c r="H40" s="272"/>
      <c r="I40" s="421" t="s">
        <v>241</v>
      </c>
      <c r="J40" s="421"/>
      <c r="K40" s="421"/>
      <c r="L40" s="421"/>
      <c r="M40" s="421"/>
      <c r="N40" s="421"/>
      <c r="O40" s="421"/>
      <c r="P40" s="244"/>
      <c r="Q40" s="411" t="s">
        <v>242</v>
      </c>
      <c r="R40" s="411"/>
      <c r="S40" s="411"/>
      <c r="T40" s="411"/>
      <c r="U40" s="411"/>
      <c r="V40" s="411"/>
      <c r="W40" s="411"/>
      <c r="X40" s="244"/>
    </row>
    <row r="41" spans="1:49" x14ac:dyDescent="0.25">
      <c r="A41" s="411" t="s">
        <v>243</v>
      </c>
      <c r="B41" s="411"/>
      <c r="C41" s="411"/>
      <c r="D41" s="411"/>
      <c r="E41" s="411"/>
      <c r="F41" s="411"/>
      <c r="G41" s="411"/>
      <c r="H41" s="272"/>
      <c r="I41" s="421" t="s">
        <v>244</v>
      </c>
      <c r="J41" s="421"/>
      <c r="K41" s="421"/>
      <c r="L41" s="421"/>
      <c r="M41" s="421"/>
      <c r="N41" s="421"/>
      <c r="O41" s="421"/>
      <c r="P41" s="244"/>
      <c r="Q41" s="411" t="s">
        <v>245</v>
      </c>
      <c r="R41" s="411"/>
      <c r="S41" s="411"/>
      <c r="T41" s="411"/>
      <c r="U41" s="411"/>
      <c r="V41" s="411"/>
      <c r="W41" s="411"/>
      <c r="X41" s="244"/>
    </row>
    <row r="42" spans="1:49" x14ac:dyDescent="0.25">
      <c r="A42" s="411" t="s">
        <v>260</v>
      </c>
      <c r="B42" s="411"/>
      <c r="C42" s="411"/>
      <c r="D42" s="411"/>
      <c r="E42" s="411"/>
      <c r="F42" s="411"/>
      <c r="G42" s="411"/>
      <c r="H42" s="272"/>
      <c r="I42" s="421" t="s">
        <v>246</v>
      </c>
      <c r="J42" s="421"/>
      <c r="K42" s="421"/>
      <c r="L42" s="421"/>
      <c r="M42" s="421"/>
      <c r="N42" s="421"/>
      <c r="O42" s="421"/>
      <c r="P42" s="244"/>
      <c r="Q42" s="411" t="s">
        <v>247</v>
      </c>
      <c r="R42" s="411"/>
      <c r="S42" s="411"/>
      <c r="T42" s="411"/>
      <c r="U42" s="411"/>
      <c r="V42" s="411"/>
      <c r="W42" s="411"/>
      <c r="X42" s="244"/>
    </row>
    <row r="43" spans="1:49" x14ac:dyDescent="0.25">
      <c r="A43" s="411" t="s">
        <v>248</v>
      </c>
      <c r="B43" s="411"/>
      <c r="C43" s="411"/>
      <c r="D43" s="411"/>
      <c r="E43" s="411"/>
      <c r="F43" s="411"/>
      <c r="G43" s="411"/>
      <c r="H43" s="272"/>
      <c r="I43" s="421" t="s">
        <v>249</v>
      </c>
      <c r="J43" s="421"/>
      <c r="K43" s="421"/>
      <c r="L43" s="421"/>
      <c r="M43" s="421"/>
      <c r="N43" s="421"/>
      <c r="O43" s="421"/>
      <c r="P43" s="244"/>
      <c r="Q43" s="411" t="s">
        <v>250</v>
      </c>
      <c r="R43" s="411"/>
      <c r="S43" s="411"/>
      <c r="T43" s="411"/>
      <c r="U43" s="411"/>
      <c r="V43" s="411"/>
      <c r="W43" s="411"/>
      <c r="X43" s="244"/>
    </row>
    <row r="44" spans="1:49" x14ac:dyDescent="0.25">
      <c r="A44" s="411" t="s">
        <v>251</v>
      </c>
      <c r="B44" s="411"/>
      <c r="C44" s="411"/>
      <c r="D44" s="411"/>
      <c r="E44" s="411"/>
      <c r="F44" s="411"/>
      <c r="G44" s="411"/>
      <c r="H44" s="272"/>
      <c r="I44" s="421" t="s">
        <v>252</v>
      </c>
      <c r="J44" s="421"/>
      <c r="K44" s="421"/>
      <c r="L44" s="421"/>
      <c r="M44" s="421"/>
      <c r="N44" s="421"/>
      <c r="O44" s="421"/>
      <c r="P44" s="244"/>
      <c r="Q44" s="411" t="s">
        <v>253</v>
      </c>
      <c r="R44" s="411"/>
      <c r="S44" s="411"/>
      <c r="T44" s="411"/>
      <c r="U44" s="411"/>
      <c r="V44" s="411"/>
      <c r="W44" s="411"/>
      <c r="X44" s="244"/>
    </row>
    <row r="45" spans="1:49" x14ac:dyDescent="0.25">
      <c r="A45" s="413" t="s">
        <v>261</v>
      </c>
      <c r="B45" s="413"/>
      <c r="C45" s="413"/>
      <c r="D45" s="413"/>
      <c r="E45" s="413"/>
      <c r="F45" s="413"/>
      <c r="G45" s="413"/>
      <c r="H45" s="272"/>
      <c r="I45" s="421" t="s">
        <v>254</v>
      </c>
      <c r="J45" s="421"/>
      <c r="K45" s="421"/>
      <c r="L45" s="421"/>
      <c r="M45" s="421"/>
      <c r="N45" s="421"/>
      <c r="O45" s="421"/>
      <c r="P45" s="244"/>
      <c r="Q45" s="411" t="s">
        <v>255</v>
      </c>
      <c r="R45" s="411"/>
      <c r="S45" s="411"/>
      <c r="T45" s="411"/>
      <c r="U45" s="411"/>
      <c r="V45" s="411"/>
      <c r="W45" s="411"/>
      <c r="X45" s="244"/>
    </row>
    <row r="46" spans="1:49" x14ac:dyDescent="0.25">
      <c r="A46" s="413" t="s">
        <v>330</v>
      </c>
      <c r="B46" s="413"/>
      <c r="C46" s="413"/>
      <c r="D46" s="413"/>
      <c r="E46" s="413"/>
      <c r="F46" s="413"/>
      <c r="G46" s="413"/>
      <c r="H46" s="272"/>
      <c r="I46" s="421" t="s">
        <v>256</v>
      </c>
      <c r="J46" s="421"/>
      <c r="K46" s="421"/>
      <c r="L46" s="421"/>
      <c r="M46" s="421"/>
      <c r="N46" s="421"/>
      <c r="O46" s="421"/>
      <c r="P46" s="244"/>
      <c r="Q46" s="411" t="s">
        <v>257</v>
      </c>
      <c r="R46" s="411"/>
      <c r="S46" s="411"/>
      <c r="T46" s="411"/>
      <c r="U46" s="411"/>
      <c r="V46" s="411"/>
      <c r="W46" s="411"/>
      <c r="X46" s="244"/>
    </row>
    <row r="47" spans="1:49" x14ac:dyDescent="0.25">
      <c r="F47" s="244"/>
    </row>
  </sheetData>
  <mergeCells count="42">
    <mergeCell ref="AI7:AW7"/>
    <mergeCell ref="A45:G45"/>
    <mergeCell ref="I45:O45"/>
    <mergeCell ref="Q45:W45"/>
    <mergeCell ref="A46:G46"/>
    <mergeCell ref="I46:O46"/>
    <mergeCell ref="Q46:W46"/>
    <mergeCell ref="A43:G43"/>
    <mergeCell ref="I43:O43"/>
    <mergeCell ref="Q43:W43"/>
    <mergeCell ref="A44:G44"/>
    <mergeCell ref="I44:O44"/>
    <mergeCell ref="Q44:W44"/>
    <mergeCell ref="A41:G41"/>
    <mergeCell ref="I41:O41"/>
    <mergeCell ref="Q41:W41"/>
    <mergeCell ref="A42:G42"/>
    <mergeCell ref="I42:O42"/>
    <mergeCell ref="Q42:W42"/>
    <mergeCell ref="A39:G39"/>
    <mergeCell ref="I39:O39"/>
    <mergeCell ref="Q39:W39"/>
    <mergeCell ref="A40:G40"/>
    <mergeCell ref="I40:O40"/>
    <mergeCell ref="Q40:W40"/>
    <mergeCell ref="A16:C16"/>
    <mergeCell ref="A17:C17"/>
    <mergeCell ref="A24:W24"/>
    <mergeCell ref="A38:G38"/>
    <mergeCell ref="I38:O38"/>
    <mergeCell ref="Q38:W38"/>
    <mergeCell ref="A15:C15"/>
    <mergeCell ref="A5:E5"/>
    <mergeCell ref="Q5:W5"/>
    <mergeCell ref="A7:C7"/>
    <mergeCell ref="A8:C8"/>
    <mergeCell ref="A9:C9"/>
    <mergeCell ref="A10:C10"/>
    <mergeCell ref="A11:C11"/>
    <mergeCell ref="A12:C12"/>
    <mergeCell ref="A13:C13"/>
    <mergeCell ref="A14:C14"/>
  </mergeCells>
  <printOptions horizontalCentered="1"/>
  <pageMargins left="0.7" right="0.7" top="0.75" bottom="0.75" header="0.3" footer="0.3"/>
  <pageSetup scale="69" orientation="portrait" r:id="rId1"/>
  <headerFooter scaleWithDoc="0">
    <oddHeader>&amp;C&amp;"-,Bold"&amp;14Optimal Capital Structure&amp;RExhibit DJG-16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/>
    <pageSetUpPr fitToPage="1"/>
  </sheetPr>
  <dimension ref="A1:M60"/>
  <sheetViews>
    <sheetView zoomScale="90" zoomScaleNormal="90" workbookViewId="0"/>
  </sheetViews>
  <sheetFormatPr defaultRowHeight="15" x14ac:dyDescent="0.25"/>
  <cols>
    <col min="1" max="1" width="36.140625" style="358" customWidth="1"/>
    <col min="2" max="2" width="2.7109375" style="358" customWidth="1"/>
    <col min="3" max="3" width="16" style="358" customWidth="1"/>
    <col min="4" max="4" width="2.7109375" style="358" customWidth="1"/>
    <col min="5" max="5" width="13.28515625" style="373" customWidth="1"/>
    <col min="6" max="8" width="9.140625" style="358"/>
    <col min="9" max="9" width="36.140625" style="358" customWidth="1"/>
    <col min="10" max="10" width="2.7109375" style="358" customWidth="1"/>
    <col min="11" max="11" width="16" style="358" customWidth="1"/>
    <col min="12" max="12" width="2.7109375" style="358" customWidth="1"/>
    <col min="13" max="13" width="13.28515625" style="358" customWidth="1"/>
    <col min="14" max="16384" width="9.140625" style="358"/>
  </cols>
  <sheetData>
    <row r="1" spans="1:13" x14ac:dyDescent="0.25">
      <c r="A1" s="356"/>
      <c r="B1" s="356"/>
      <c r="C1" s="356"/>
      <c r="D1" s="356"/>
      <c r="E1" s="357"/>
      <c r="I1" s="358" t="s">
        <v>212</v>
      </c>
    </row>
    <row r="3" spans="1:13" ht="14.45" customHeight="1" x14ac:dyDescent="0.25">
      <c r="A3" s="359" t="s">
        <v>83</v>
      </c>
      <c r="B3" s="360"/>
      <c r="C3" s="359" t="s">
        <v>262</v>
      </c>
      <c r="D3" s="360"/>
      <c r="E3" s="361" t="s">
        <v>110</v>
      </c>
      <c r="I3" s="359" t="s">
        <v>83</v>
      </c>
      <c r="J3" s="360"/>
      <c r="K3" s="359" t="s">
        <v>262</v>
      </c>
      <c r="L3" s="360"/>
      <c r="M3" s="361" t="s">
        <v>110</v>
      </c>
    </row>
    <row r="4" spans="1:13" ht="14.45" customHeight="1" x14ac:dyDescent="0.25">
      <c r="A4" s="358" t="s">
        <v>263</v>
      </c>
      <c r="C4" s="362">
        <v>41</v>
      </c>
      <c r="D4" s="362"/>
      <c r="E4" s="363">
        <v>0.86994962597017911</v>
      </c>
      <c r="I4" s="358" t="s">
        <v>263</v>
      </c>
      <c r="K4" s="362">
        <v>41</v>
      </c>
      <c r="L4" s="362"/>
      <c r="M4" s="363">
        <v>0.86994962597017911</v>
      </c>
    </row>
    <row r="5" spans="1:13" ht="14.45" customHeight="1" x14ac:dyDescent="0.25">
      <c r="A5" s="358" t="s">
        <v>271</v>
      </c>
      <c r="C5" s="362">
        <v>38</v>
      </c>
      <c r="D5" s="362"/>
      <c r="E5" s="363">
        <v>0.8372854478697952</v>
      </c>
      <c r="I5" s="358" t="s">
        <v>271</v>
      </c>
      <c r="K5" s="362">
        <v>38</v>
      </c>
      <c r="L5" s="362"/>
      <c r="M5" s="363">
        <v>0.8372854478697952</v>
      </c>
    </row>
    <row r="6" spans="1:13" ht="14.45" customHeight="1" x14ac:dyDescent="0.25">
      <c r="A6" s="358" t="s">
        <v>84</v>
      </c>
      <c r="C6" s="362">
        <v>30</v>
      </c>
      <c r="D6" s="362"/>
      <c r="E6" s="363">
        <v>0.82984896462675883</v>
      </c>
      <c r="I6" s="358" t="s">
        <v>84</v>
      </c>
      <c r="K6" s="362">
        <v>30</v>
      </c>
      <c r="L6" s="362"/>
      <c r="M6" s="363">
        <v>0.82984896462675883</v>
      </c>
    </row>
    <row r="7" spans="1:13" ht="14.45" customHeight="1" x14ac:dyDescent="0.25">
      <c r="A7" s="358" t="s">
        <v>276</v>
      </c>
      <c r="C7" s="362">
        <v>86</v>
      </c>
      <c r="D7" s="362"/>
      <c r="E7" s="363">
        <v>0.82254999046070254</v>
      </c>
      <c r="I7" s="358" t="s">
        <v>276</v>
      </c>
      <c r="K7" s="362">
        <v>86</v>
      </c>
      <c r="L7" s="362"/>
      <c r="M7" s="363">
        <v>0.82254999046070254</v>
      </c>
    </row>
    <row r="8" spans="1:13" ht="14.45" customHeight="1" x14ac:dyDescent="0.25">
      <c r="A8" s="358" t="s">
        <v>282</v>
      </c>
      <c r="C8" s="362">
        <v>22</v>
      </c>
      <c r="D8" s="362"/>
      <c r="E8" s="363">
        <v>0.79507651586783579</v>
      </c>
      <c r="I8" s="358" t="s">
        <v>282</v>
      </c>
      <c r="K8" s="362">
        <v>22</v>
      </c>
      <c r="L8" s="362"/>
      <c r="M8" s="363">
        <v>0.79507651586783579</v>
      </c>
    </row>
    <row r="9" spans="1:13" ht="14.45" customHeight="1" x14ac:dyDescent="0.25">
      <c r="A9" s="358" t="s">
        <v>270</v>
      </c>
      <c r="C9" s="362">
        <v>38</v>
      </c>
      <c r="D9" s="362"/>
      <c r="E9" s="363">
        <v>0.78501168138405542</v>
      </c>
      <c r="I9" s="364" t="s">
        <v>270</v>
      </c>
      <c r="K9" s="362">
        <v>38</v>
      </c>
      <c r="L9" s="362"/>
      <c r="M9" s="365">
        <v>0.78501168138405542</v>
      </c>
    </row>
    <row r="10" spans="1:13" ht="14.45" customHeight="1" x14ac:dyDescent="0.25">
      <c r="A10" s="358" t="s">
        <v>268</v>
      </c>
      <c r="C10" s="362">
        <v>45</v>
      </c>
      <c r="D10" s="362"/>
      <c r="E10" s="363">
        <v>0.75842173921650546</v>
      </c>
      <c r="I10" s="358" t="s">
        <v>268</v>
      </c>
      <c r="K10" s="362">
        <v>45</v>
      </c>
      <c r="L10" s="362"/>
      <c r="M10" s="363">
        <v>0.75842173921650546</v>
      </c>
    </row>
    <row r="11" spans="1:13" ht="14.45" customHeight="1" x14ac:dyDescent="0.25">
      <c r="A11" s="358" t="s">
        <v>278</v>
      </c>
      <c r="C11" s="362">
        <v>6</v>
      </c>
      <c r="D11" s="362"/>
      <c r="E11" s="363">
        <v>0.74607510211636308</v>
      </c>
      <c r="I11" s="358" t="s">
        <v>278</v>
      </c>
      <c r="K11" s="362">
        <v>6</v>
      </c>
      <c r="L11" s="362"/>
      <c r="M11" s="363">
        <v>0.74607510211636308</v>
      </c>
    </row>
    <row r="12" spans="1:13" ht="14.45" customHeight="1" x14ac:dyDescent="0.25">
      <c r="A12" s="358" t="s">
        <v>277</v>
      </c>
      <c r="C12" s="362">
        <v>25</v>
      </c>
      <c r="D12" s="362"/>
      <c r="E12" s="363">
        <v>0.73383350925620117</v>
      </c>
      <c r="I12" s="358" t="s">
        <v>277</v>
      </c>
      <c r="K12" s="362">
        <v>25</v>
      </c>
      <c r="L12" s="362"/>
      <c r="M12" s="363">
        <v>0.73383350925620117</v>
      </c>
    </row>
    <row r="13" spans="1:13" ht="14.45" customHeight="1" x14ac:dyDescent="0.25">
      <c r="A13" s="358" t="s">
        <v>265</v>
      </c>
      <c r="C13" s="362">
        <v>15</v>
      </c>
      <c r="D13" s="362"/>
      <c r="E13" s="363">
        <v>0.73260937869809262</v>
      </c>
      <c r="I13" s="358" t="s">
        <v>265</v>
      </c>
      <c r="K13" s="362">
        <v>15</v>
      </c>
      <c r="L13" s="362"/>
      <c r="M13" s="363">
        <v>0.73260937869809262</v>
      </c>
    </row>
    <row r="14" spans="1:13" ht="14.45" customHeight="1" x14ac:dyDescent="0.25">
      <c r="A14" s="358" t="s">
        <v>283</v>
      </c>
      <c r="C14" s="362">
        <v>30</v>
      </c>
      <c r="D14" s="362"/>
      <c r="E14" s="363">
        <v>0.72948246714286125</v>
      </c>
      <c r="I14" s="358" t="s">
        <v>283</v>
      </c>
      <c r="K14" s="362">
        <v>30</v>
      </c>
      <c r="L14" s="362"/>
      <c r="M14" s="363">
        <v>0.72948246714286125</v>
      </c>
    </row>
    <row r="15" spans="1:13" ht="14.45" customHeight="1" x14ac:dyDescent="0.25">
      <c r="A15" s="358" t="s">
        <v>274</v>
      </c>
      <c r="C15" s="362">
        <v>26</v>
      </c>
      <c r="D15" s="362"/>
      <c r="E15" s="363">
        <v>0.66387019420937876</v>
      </c>
      <c r="I15" s="358" t="s">
        <v>274</v>
      </c>
      <c r="K15" s="362">
        <v>26</v>
      </c>
      <c r="L15" s="362"/>
      <c r="M15" s="363">
        <v>0.66387019420937876</v>
      </c>
    </row>
    <row r="16" spans="1:13" ht="14.45" customHeight="1" x14ac:dyDescent="0.25">
      <c r="A16" s="358" t="s">
        <v>266</v>
      </c>
      <c r="C16" s="362">
        <v>10</v>
      </c>
      <c r="D16" s="362"/>
      <c r="E16" s="363">
        <v>0.6616448899504429</v>
      </c>
      <c r="I16" s="358" t="s">
        <v>266</v>
      </c>
      <c r="K16" s="362">
        <v>10</v>
      </c>
      <c r="L16" s="362"/>
      <c r="M16" s="363">
        <v>0.6616448899504429</v>
      </c>
    </row>
    <row r="17" spans="1:13" ht="14.45" customHeight="1" x14ac:dyDescent="0.25">
      <c r="A17" s="358" t="s">
        <v>267</v>
      </c>
      <c r="C17" s="362">
        <v>36</v>
      </c>
      <c r="D17" s="362"/>
      <c r="E17" s="363">
        <v>0.66007770307339675</v>
      </c>
      <c r="I17" s="358" t="s">
        <v>267</v>
      </c>
      <c r="K17" s="362">
        <v>36</v>
      </c>
      <c r="L17" s="362"/>
      <c r="M17" s="363">
        <v>0.66007770307339675</v>
      </c>
    </row>
    <row r="18" spans="1:13" ht="14.45" customHeight="1" x14ac:dyDescent="0.25">
      <c r="A18" s="358" t="s">
        <v>273</v>
      </c>
      <c r="C18" s="362">
        <v>24</v>
      </c>
      <c r="D18" s="362"/>
      <c r="E18" s="363">
        <v>0.6511218853508135</v>
      </c>
      <c r="I18" s="358" t="s">
        <v>273</v>
      </c>
      <c r="K18" s="362">
        <v>24</v>
      </c>
      <c r="L18" s="362"/>
      <c r="M18" s="363">
        <v>0.6511218853508135</v>
      </c>
    </row>
    <row r="19" spans="1:13" ht="14.45" customHeight="1" x14ac:dyDescent="0.25">
      <c r="A19" s="358" t="s">
        <v>281</v>
      </c>
      <c r="C19" s="362">
        <v>67</v>
      </c>
      <c r="D19" s="362"/>
      <c r="E19" s="363">
        <v>0.63689257410386679</v>
      </c>
      <c r="I19" s="364" t="s">
        <v>281</v>
      </c>
      <c r="J19" s="366"/>
      <c r="K19" s="362">
        <v>67</v>
      </c>
      <c r="L19" s="367"/>
      <c r="M19" s="365">
        <v>0.63689257410386679</v>
      </c>
    </row>
    <row r="20" spans="1:13" ht="14.45" customHeight="1" x14ac:dyDescent="0.25">
      <c r="A20" s="358" t="s">
        <v>279</v>
      </c>
      <c r="C20" s="362">
        <v>88</v>
      </c>
      <c r="D20" s="362"/>
      <c r="E20" s="363">
        <v>0.61848517397823577</v>
      </c>
      <c r="I20" s="358" t="s">
        <v>279</v>
      </c>
      <c r="K20" s="362">
        <v>88</v>
      </c>
      <c r="L20" s="362"/>
      <c r="M20" s="363">
        <v>0.61848517397823577</v>
      </c>
    </row>
    <row r="21" spans="1:13" ht="14.45" customHeight="1" x14ac:dyDescent="0.25">
      <c r="A21" s="358" t="s">
        <v>286</v>
      </c>
      <c r="C21" s="362">
        <v>68</v>
      </c>
      <c r="D21" s="362"/>
      <c r="E21" s="363">
        <v>0.61612405828541539</v>
      </c>
      <c r="I21" s="364" t="s">
        <v>286</v>
      </c>
      <c r="J21" s="366"/>
      <c r="K21" s="362">
        <v>68</v>
      </c>
      <c r="L21" s="367"/>
      <c r="M21" s="365">
        <v>0.61612405828541539</v>
      </c>
    </row>
    <row r="22" spans="1:13" ht="14.45" customHeight="1" x14ac:dyDescent="0.25">
      <c r="A22" s="358" t="s">
        <v>272</v>
      </c>
      <c r="C22" s="362">
        <v>69</v>
      </c>
      <c r="D22" s="362"/>
      <c r="E22" s="363">
        <v>0.61408743098819141</v>
      </c>
      <c r="I22" s="358" t="s">
        <v>272</v>
      </c>
      <c r="K22" s="362">
        <v>69</v>
      </c>
      <c r="L22" s="362"/>
      <c r="M22" s="363">
        <v>0.61408743098819141</v>
      </c>
    </row>
    <row r="23" spans="1:13" ht="14.45" customHeight="1" x14ac:dyDescent="0.25">
      <c r="A23" s="358" t="s">
        <v>280</v>
      </c>
      <c r="C23" s="362">
        <v>17</v>
      </c>
      <c r="D23" s="362"/>
      <c r="E23" s="363">
        <v>0.60847424395744465</v>
      </c>
      <c r="I23" s="364" t="s">
        <v>280</v>
      </c>
      <c r="J23" s="366"/>
      <c r="K23" s="362">
        <v>17</v>
      </c>
      <c r="L23" s="367"/>
      <c r="M23" s="365">
        <v>0.60847424395744465</v>
      </c>
    </row>
    <row r="24" spans="1:13" x14ac:dyDescent="0.25">
      <c r="A24" s="358" t="s">
        <v>275</v>
      </c>
      <c r="C24" s="362">
        <v>238</v>
      </c>
      <c r="D24" s="362"/>
      <c r="E24" s="363">
        <v>0.60457906067046652</v>
      </c>
      <c r="I24" s="358" t="s">
        <v>275</v>
      </c>
      <c r="K24" s="362">
        <v>238</v>
      </c>
      <c r="L24" s="362"/>
      <c r="M24" s="363">
        <v>0.60457906067046652</v>
      </c>
    </row>
    <row r="25" spans="1:13" x14ac:dyDescent="0.25">
      <c r="A25" s="358" t="s">
        <v>287</v>
      </c>
      <c r="C25" s="362">
        <v>16</v>
      </c>
      <c r="D25" s="362"/>
      <c r="E25" s="363">
        <v>0.60400911939787971</v>
      </c>
      <c r="I25" s="356" t="s">
        <v>287</v>
      </c>
      <c r="J25" s="360"/>
      <c r="K25" s="368">
        <v>16</v>
      </c>
      <c r="L25" s="369"/>
      <c r="M25" s="370">
        <v>0.60400911939787971</v>
      </c>
    </row>
    <row r="26" spans="1:13" x14ac:dyDescent="0.25">
      <c r="A26" s="358" t="s">
        <v>288</v>
      </c>
      <c r="C26" s="362">
        <v>14</v>
      </c>
      <c r="D26" s="362"/>
      <c r="E26" s="363">
        <v>0.59426900862294152</v>
      </c>
      <c r="I26" s="366" t="s">
        <v>284</v>
      </c>
      <c r="K26" s="367">
        <f>SUM(K4:K25)</f>
        <v>1035</v>
      </c>
      <c r="L26" s="362"/>
      <c r="M26" s="371">
        <f>AVERAGE(M4:M25)</f>
        <v>0.70815957984431277</v>
      </c>
    </row>
    <row r="27" spans="1:13" x14ac:dyDescent="0.25">
      <c r="A27" s="358" t="s">
        <v>289</v>
      </c>
      <c r="C27" s="362">
        <v>54</v>
      </c>
      <c r="D27" s="362"/>
      <c r="E27" s="363">
        <v>0.58925794261764164</v>
      </c>
    </row>
    <row r="28" spans="1:13" x14ac:dyDescent="0.25">
      <c r="A28" s="358" t="s">
        <v>290</v>
      </c>
      <c r="C28" s="362">
        <v>17</v>
      </c>
      <c r="D28" s="362"/>
      <c r="E28" s="363">
        <v>0.58866527075659236</v>
      </c>
    </row>
    <row r="29" spans="1:13" x14ac:dyDescent="0.25">
      <c r="A29" s="358" t="s">
        <v>291</v>
      </c>
      <c r="C29" s="362">
        <v>45</v>
      </c>
      <c r="D29" s="362"/>
      <c r="E29" s="363">
        <v>0.58148770111984394</v>
      </c>
    </row>
    <row r="30" spans="1:13" x14ac:dyDescent="0.25">
      <c r="A30" s="358" t="s">
        <v>292</v>
      </c>
      <c r="C30" s="362">
        <v>51</v>
      </c>
      <c r="D30" s="362"/>
      <c r="E30" s="363">
        <v>0.58065291265153429</v>
      </c>
    </row>
    <row r="31" spans="1:13" x14ac:dyDescent="0.25">
      <c r="A31" s="358" t="s">
        <v>293</v>
      </c>
      <c r="C31" s="362">
        <v>89</v>
      </c>
      <c r="D31" s="362"/>
      <c r="E31" s="363">
        <v>0.5674700920758039</v>
      </c>
    </row>
    <row r="32" spans="1:13" x14ac:dyDescent="0.25">
      <c r="A32" s="358" t="s">
        <v>294</v>
      </c>
      <c r="C32" s="362">
        <v>37</v>
      </c>
      <c r="D32" s="362"/>
      <c r="E32" s="363">
        <v>0.56400088769541412</v>
      </c>
    </row>
    <row r="33" spans="1:6" x14ac:dyDescent="0.25">
      <c r="A33" s="358" t="s">
        <v>295</v>
      </c>
      <c r="C33" s="362">
        <v>165</v>
      </c>
      <c r="D33" s="362"/>
      <c r="E33" s="363">
        <v>0.56377615752981802</v>
      </c>
    </row>
    <row r="34" spans="1:6" x14ac:dyDescent="0.25">
      <c r="A34" s="358" t="s">
        <v>264</v>
      </c>
      <c r="C34" s="362">
        <v>18</v>
      </c>
      <c r="D34" s="362"/>
      <c r="E34" s="363">
        <v>0.55518070144540088</v>
      </c>
    </row>
    <row r="35" spans="1:6" x14ac:dyDescent="0.25">
      <c r="A35" s="358" t="s">
        <v>296</v>
      </c>
      <c r="C35" s="362">
        <v>25</v>
      </c>
      <c r="D35" s="362"/>
      <c r="E35" s="363">
        <v>0.54562477051935687</v>
      </c>
    </row>
    <row r="36" spans="1:6" x14ac:dyDescent="0.25">
      <c r="A36" s="358" t="s">
        <v>297</v>
      </c>
      <c r="C36" s="362">
        <v>117</v>
      </c>
      <c r="D36" s="362"/>
      <c r="E36" s="363">
        <v>0.53941910503054269</v>
      </c>
    </row>
    <row r="37" spans="1:6" x14ac:dyDescent="0.25">
      <c r="A37" s="358" t="s">
        <v>298</v>
      </c>
      <c r="C37" s="362">
        <v>78</v>
      </c>
      <c r="D37" s="362"/>
      <c r="E37" s="363">
        <v>0.53918801318971321</v>
      </c>
      <c r="F37" s="372"/>
    </row>
    <row r="38" spans="1:6" x14ac:dyDescent="0.25">
      <c r="A38" s="358" t="s">
        <v>299</v>
      </c>
      <c r="C38" s="362">
        <v>22</v>
      </c>
      <c r="D38" s="362"/>
      <c r="E38" s="363">
        <v>0.53707973754667837</v>
      </c>
    </row>
    <row r="39" spans="1:6" x14ac:dyDescent="0.25">
      <c r="A39" s="358" t="s">
        <v>269</v>
      </c>
      <c r="C39" s="362">
        <v>14</v>
      </c>
      <c r="D39" s="362"/>
      <c r="E39" s="363">
        <v>0.5336514278883886</v>
      </c>
    </row>
    <row r="40" spans="1:6" x14ac:dyDescent="0.25">
      <c r="A40" s="358" t="s">
        <v>168</v>
      </c>
      <c r="C40" s="362">
        <v>38</v>
      </c>
      <c r="D40" s="362"/>
      <c r="E40" s="363">
        <v>0.53270240537637648</v>
      </c>
    </row>
    <row r="41" spans="1:6" x14ac:dyDescent="0.25">
      <c r="A41" s="358" t="s">
        <v>300</v>
      </c>
      <c r="C41" s="362">
        <v>4</v>
      </c>
      <c r="D41" s="362"/>
      <c r="E41" s="363">
        <v>0.5219680570514087</v>
      </c>
    </row>
    <row r="42" spans="1:6" x14ac:dyDescent="0.25">
      <c r="A42" s="358" t="s">
        <v>301</v>
      </c>
      <c r="C42" s="362">
        <v>426</v>
      </c>
      <c r="D42" s="362"/>
      <c r="E42" s="363">
        <v>0.52047896965214757</v>
      </c>
    </row>
    <row r="43" spans="1:6" x14ac:dyDescent="0.25">
      <c r="A43" s="358" t="s">
        <v>302</v>
      </c>
      <c r="C43" s="362">
        <v>100</v>
      </c>
      <c r="D43" s="362"/>
      <c r="E43" s="363">
        <v>0.51644636154549295</v>
      </c>
    </row>
    <row r="44" spans="1:6" x14ac:dyDescent="0.25">
      <c r="A44" s="358" t="s">
        <v>303</v>
      </c>
      <c r="C44" s="362">
        <v>66</v>
      </c>
      <c r="D44" s="362"/>
      <c r="E44" s="363">
        <v>0.51391763451527739</v>
      </c>
    </row>
    <row r="45" spans="1:6" x14ac:dyDescent="0.25">
      <c r="A45" s="358" t="s">
        <v>304</v>
      </c>
      <c r="C45" s="362">
        <v>236</v>
      </c>
      <c r="D45" s="362"/>
      <c r="E45" s="363">
        <v>0.5120978032795469</v>
      </c>
    </row>
    <row r="46" spans="1:6" x14ac:dyDescent="0.25">
      <c r="A46" s="358" t="s">
        <v>305</v>
      </c>
      <c r="C46" s="362">
        <v>97</v>
      </c>
      <c r="D46" s="362"/>
      <c r="E46" s="363">
        <v>0.51177591028166225</v>
      </c>
    </row>
    <row r="47" spans="1:6" x14ac:dyDescent="0.25">
      <c r="A47" s="358" t="s">
        <v>306</v>
      </c>
      <c r="C47" s="362">
        <v>25</v>
      </c>
      <c r="D47" s="362"/>
      <c r="E47" s="363">
        <v>0.51164538654298031</v>
      </c>
    </row>
    <row r="48" spans="1:6" x14ac:dyDescent="0.25">
      <c r="A48" s="358" t="s">
        <v>307</v>
      </c>
      <c r="C48" s="362">
        <v>64</v>
      </c>
      <c r="D48" s="362"/>
      <c r="E48" s="363">
        <v>0.50840985380168391</v>
      </c>
    </row>
    <row r="49" spans="1:5" x14ac:dyDescent="0.25">
      <c r="A49" s="358" t="s">
        <v>308</v>
      </c>
      <c r="C49" s="362">
        <v>129</v>
      </c>
      <c r="D49" s="362"/>
      <c r="E49" s="363">
        <v>0.50661274718097316</v>
      </c>
    </row>
    <row r="50" spans="1:5" x14ac:dyDescent="0.25">
      <c r="A50" s="358" t="s">
        <v>309</v>
      </c>
      <c r="C50" s="362">
        <v>8</v>
      </c>
      <c r="D50" s="362"/>
      <c r="E50" s="363">
        <v>0.50278469384026769</v>
      </c>
    </row>
    <row r="51" spans="1:5" x14ac:dyDescent="0.25">
      <c r="A51" s="358" t="s">
        <v>310</v>
      </c>
      <c r="C51" s="362">
        <v>96</v>
      </c>
      <c r="D51" s="362"/>
      <c r="E51" s="363">
        <v>0.49976408951023721</v>
      </c>
    </row>
    <row r="52" spans="1:5" x14ac:dyDescent="0.25">
      <c r="A52" s="358" t="s">
        <v>311</v>
      </c>
      <c r="C52" s="362">
        <v>41</v>
      </c>
      <c r="D52" s="362"/>
      <c r="E52" s="363">
        <v>0.49875655991506185</v>
      </c>
    </row>
    <row r="53" spans="1:5" x14ac:dyDescent="0.25">
      <c r="A53" s="358" t="s">
        <v>312</v>
      </c>
      <c r="C53" s="362">
        <v>330</v>
      </c>
      <c r="D53" s="362"/>
      <c r="E53" s="363">
        <v>0.49664102429060153</v>
      </c>
    </row>
    <row r="54" spans="1:5" x14ac:dyDescent="0.25">
      <c r="A54" s="358" t="s">
        <v>313</v>
      </c>
      <c r="C54" s="362">
        <v>156</v>
      </c>
      <c r="D54" s="362"/>
      <c r="E54" s="363">
        <v>0.48879426734219733</v>
      </c>
    </row>
    <row r="55" spans="1:5" x14ac:dyDescent="0.25">
      <c r="A55" s="356" t="s">
        <v>314</v>
      </c>
      <c r="B55" s="360"/>
      <c r="C55" s="368">
        <v>63</v>
      </c>
      <c r="D55" s="369"/>
      <c r="E55" s="370">
        <v>0.47539702086989255</v>
      </c>
    </row>
    <row r="56" spans="1:5" x14ac:dyDescent="0.25">
      <c r="A56" s="366" t="s">
        <v>284</v>
      </c>
      <c r="C56" s="367">
        <f>SUM(C4:C55)</f>
        <v>3660</v>
      </c>
      <c r="D56" s="362"/>
      <c r="E56" s="371">
        <f>AVERAGE(E4:E55)</f>
        <v>0.60725821673577618</v>
      </c>
    </row>
    <row r="57" spans="1:5" x14ac:dyDescent="0.25">
      <c r="A57" s="356"/>
      <c r="B57" s="356"/>
      <c r="C57" s="356"/>
      <c r="D57" s="356"/>
      <c r="E57" s="357"/>
    </row>
    <row r="60" spans="1:5" x14ac:dyDescent="0.25">
      <c r="A60" s="422" t="s">
        <v>285</v>
      </c>
      <c r="B60" s="422"/>
      <c r="C60" s="422"/>
      <c r="D60" s="422"/>
      <c r="E60" s="422"/>
    </row>
  </sheetData>
  <mergeCells count="1">
    <mergeCell ref="A60:E60"/>
  </mergeCells>
  <printOptions horizontalCentered="1"/>
  <pageMargins left="0.7" right="0.7" top="0.75" bottom="0.75" header="0.3" footer="0.3"/>
  <pageSetup scale="80" orientation="portrait" r:id="rId1"/>
  <headerFooter scaleWithDoc="0">
    <oddHeader>&amp;C&amp;"-,Bold"&amp;14Competitive Industry Debt Ratios&amp;RExhibit DJG-17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/>
    <pageSetUpPr fitToPage="1"/>
  </sheetPr>
  <dimension ref="A1:F28"/>
  <sheetViews>
    <sheetView zoomScaleNormal="100" workbookViewId="0">
      <selection activeCell="S29" sqref="S29"/>
    </sheetView>
  </sheetViews>
  <sheetFormatPr defaultRowHeight="15" x14ac:dyDescent="0.25"/>
  <cols>
    <col min="1" max="1" width="29.7109375" style="212" customWidth="1"/>
    <col min="2" max="2" width="2.7109375" style="212" customWidth="1"/>
    <col min="3" max="3" width="6.7109375" style="212" customWidth="1"/>
    <col min="4" max="4" width="2.7109375" style="212" customWidth="1"/>
    <col min="5" max="5" width="13.7109375" style="212" customWidth="1"/>
    <col min="6" max="6" width="2.7109375" style="212" customWidth="1"/>
    <col min="7" max="16384" width="9.140625" style="212"/>
  </cols>
  <sheetData>
    <row r="1" spans="1:6" x14ac:dyDescent="0.25">
      <c r="A1" s="22"/>
      <c r="B1" s="22"/>
      <c r="C1" s="22"/>
      <c r="D1" s="22"/>
      <c r="E1" s="22"/>
      <c r="F1" s="22"/>
    </row>
    <row r="3" spans="1:6" ht="19.899999999999999" customHeight="1" x14ac:dyDescent="0.25">
      <c r="A3" s="187" t="s">
        <v>0</v>
      </c>
      <c r="B3" s="94"/>
      <c r="C3" s="187" t="s">
        <v>1</v>
      </c>
      <c r="D3" s="94"/>
      <c r="E3" s="5" t="s">
        <v>110</v>
      </c>
      <c r="F3" s="6"/>
    </row>
    <row r="4" spans="1:6" ht="19.899999999999999" customHeight="1" x14ac:dyDescent="0.25">
      <c r="A4" s="94"/>
      <c r="B4" s="94"/>
      <c r="C4" s="94"/>
      <c r="D4" s="94"/>
      <c r="E4" s="6"/>
      <c r="F4" s="6"/>
    </row>
    <row r="5" spans="1:6" ht="19.899999999999999" customHeight="1" x14ac:dyDescent="0.25">
      <c r="A5" s="212" t="str">
        <f>'3 Proxy Sum'!A6</f>
        <v>ALLETE</v>
      </c>
      <c r="C5" s="90" t="str">
        <f>'3 Proxy Sum'!C6</f>
        <v>ALE</v>
      </c>
      <c r="D5" s="211"/>
      <c r="E5" s="169">
        <v>0.42</v>
      </c>
      <c r="F5" s="54"/>
    </row>
    <row r="6" spans="1:6" ht="19.899999999999999" customHeight="1" x14ac:dyDescent="0.25">
      <c r="A6" s="283" t="str">
        <f>'3 Proxy Sum'!A7</f>
        <v>Ameren Corp.</v>
      </c>
      <c r="C6" s="90" t="str">
        <f>'3 Proxy Sum'!C7</f>
        <v>AEE</v>
      </c>
      <c r="D6" s="211"/>
      <c r="E6" s="169">
        <v>0.47699999999999998</v>
      </c>
      <c r="F6" s="55"/>
    </row>
    <row r="7" spans="1:6" ht="19.899999999999999" customHeight="1" x14ac:dyDescent="0.25">
      <c r="A7" s="283" t="str">
        <f>'3 Proxy Sum'!A8</f>
        <v>Avangrid, Inc.</v>
      </c>
      <c r="C7" s="90" t="str">
        <f>'3 Proxy Sum'!C8</f>
        <v>AGR</v>
      </c>
      <c r="D7" s="211"/>
      <c r="E7" s="169">
        <v>0.23</v>
      </c>
      <c r="F7" s="54"/>
    </row>
    <row r="8" spans="1:6" ht="19.899999999999999" customHeight="1" x14ac:dyDescent="0.25">
      <c r="A8" s="283" t="str">
        <f>'3 Proxy Sum'!A9</f>
        <v>Avista Corp.</v>
      </c>
      <c r="C8" s="90" t="str">
        <f>'3 Proxy Sum'!C9</f>
        <v>AVA</v>
      </c>
      <c r="D8" s="211"/>
      <c r="E8" s="169">
        <v>0.51200000000000001</v>
      </c>
      <c r="F8" s="55"/>
    </row>
    <row r="9" spans="1:6" ht="19.899999999999999" customHeight="1" x14ac:dyDescent="0.25">
      <c r="A9" s="283" t="str">
        <f>'3 Proxy Sum'!A10</f>
        <v>Black Hills</v>
      </c>
      <c r="C9" s="90" t="str">
        <f>'3 Proxy Sum'!C10</f>
        <v>BKH</v>
      </c>
      <c r="D9" s="211"/>
      <c r="E9" s="169">
        <v>0.66500000000000004</v>
      </c>
      <c r="F9" s="54"/>
    </row>
    <row r="10" spans="1:6" ht="19.899999999999999" customHeight="1" x14ac:dyDescent="0.25">
      <c r="A10" s="283" t="str">
        <f>'3 Proxy Sum'!A11</f>
        <v>CMS Energy Corp.</v>
      </c>
      <c r="C10" s="90" t="str">
        <f>'3 Proxy Sum'!C11</f>
        <v>CMS</v>
      </c>
      <c r="D10" s="211"/>
      <c r="E10" s="169">
        <v>0.67100000000000004</v>
      </c>
      <c r="F10" s="55"/>
    </row>
    <row r="11" spans="1:6" ht="19.899999999999999" customHeight="1" x14ac:dyDescent="0.25">
      <c r="A11" s="283" t="str">
        <f>'3 Proxy Sum'!A12</f>
        <v>Dominion Energy</v>
      </c>
      <c r="C11" s="90" t="str">
        <f>'3 Proxy Sum'!C12</f>
        <v>D</v>
      </c>
      <c r="D11" s="211"/>
      <c r="E11" s="169">
        <v>0.67400000000000004</v>
      </c>
      <c r="F11" s="54"/>
    </row>
    <row r="12" spans="1:6" ht="19.899999999999999" customHeight="1" x14ac:dyDescent="0.25">
      <c r="A12" s="283" t="str">
        <f>'3 Proxy Sum'!A13</f>
        <v>DTE Energy Co.</v>
      </c>
      <c r="C12" s="90" t="str">
        <f>'3 Proxy Sum'!C13</f>
        <v>DTE</v>
      </c>
      <c r="D12" s="211"/>
      <c r="E12" s="169">
        <v>0.55600000000000005</v>
      </c>
      <c r="F12" s="55"/>
    </row>
    <row r="13" spans="1:6" ht="19.899999999999999" customHeight="1" x14ac:dyDescent="0.25">
      <c r="A13" s="283" t="str">
        <f>'3 Proxy Sum'!A14</f>
        <v>Edison International</v>
      </c>
      <c r="C13" s="90" t="str">
        <f>'3 Proxy Sum'!C14</f>
        <v>EIX</v>
      </c>
      <c r="D13" s="211"/>
      <c r="E13" s="169">
        <v>0.41799999999999998</v>
      </c>
      <c r="F13" s="55"/>
    </row>
    <row r="14" spans="1:6" ht="19.899999999999999" customHeight="1" x14ac:dyDescent="0.25">
      <c r="A14" s="283" t="str">
        <f>'3 Proxy Sum'!A15</f>
        <v>El Paso Electric</v>
      </c>
      <c r="C14" s="90" t="str">
        <f>'3 Proxy Sum'!C15</f>
        <v>EE</v>
      </c>
      <c r="D14" s="211"/>
      <c r="E14" s="169">
        <v>0.52700000000000002</v>
      </c>
      <c r="F14" s="55"/>
    </row>
    <row r="15" spans="1:6" ht="19.899999999999999" customHeight="1" x14ac:dyDescent="0.25">
      <c r="A15" s="283" t="str">
        <f>'3 Proxy Sum'!A16</f>
        <v>Exelon Corp.</v>
      </c>
      <c r="C15" s="90" t="str">
        <f>'3 Proxy Sum'!C16</f>
        <v>EXC</v>
      </c>
      <c r="D15" s="211"/>
      <c r="E15" s="169">
        <v>0.55500000000000005</v>
      </c>
      <c r="F15" s="55"/>
    </row>
    <row r="16" spans="1:6" ht="19.899999999999999" customHeight="1" x14ac:dyDescent="0.25">
      <c r="A16" s="283" t="str">
        <f>'3 Proxy Sum'!A17</f>
        <v>Hawaiian Elec.</v>
      </c>
      <c r="C16" s="90" t="str">
        <f>'3 Proxy Sum'!C17</f>
        <v>HE</v>
      </c>
      <c r="D16" s="211"/>
      <c r="E16" s="169">
        <v>0.41599999999999998</v>
      </c>
      <c r="F16" s="55"/>
    </row>
    <row r="17" spans="1:6" ht="19.899999999999999" customHeight="1" x14ac:dyDescent="0.25">
      <c r="A17" s="283" t="str">
        <f>'3 Proxy Sum'!A18</f>
        <v>IDACORP, Inc.</v>
      </c>
      <c r="C17" s="90" t="str">
        <f>'3 Proxy Sum'!C18</f>
        <v>IDA</v>
      </c>
      <c r="D17" s="211"/>
      <c r="E17" s="169">
        <v>0.44800000000000001</v>
      </c>
      <c r="F17" s="55"/>
    </row>
    <row r="18" spans="1:6" ht="19.899999999999999" customHeight="1" x14ac:dyDescent="0.25">
      <c r="A18" s="283" t="str">
        <f>'3 Proxy Sum'!A19</f>
        <v>NorthWestern Corp.</v>
      </c>
      <c r="C18" s="90" t="str">
        <f>'3 Proxy Sum'!C19</f>
        <v>NWE</v>
      </c>
      <c r="D18" s="211"/>
      <c r="E18" s="169">
        <v>0.52</v>
      </c>
      <c r="F18" s="55"/>
    </row>
    <row r="19" spans="1:6" ht="19.899999999999999" customHeight="1" x14ac:dyDescent="0.25">
      <c r="A19" s="283" t="str">
        <f>'3 Proxy Sum'!A20</f>
        <v>Otter Tail Corp.</v>
      </c>
      <c r="C19" s="90" t="str">
        <f>'3 Proxy Sum'!C20</f>
        <v>OTTR</v>
      </c>
      <c r="D19" s="211"/>
      <c r="E19" s="169">
        <v>0.43</v>
      </c>
      <c r="F19" s="55"/>
    </row>
    <row r="20" spans="1:6" ht="19.899999999999999" customHeight="1" x14ac:dyDescent="0.25">
      <c r="A20" s="283" t="str">
        <f>'3 Proxy Sum'!A21</f>
        <v>PG&amp;E Corp.</v>
      </c>
      <c r="C20" s="90" t="str">
        <f>'3 Proxy Sum'!C21</f>
        <v>PCG</v>
      </c>
      <c r="D20" s="211"/>
      <c r="E20" s="169">
        <v>0.47099999999999997</v>
      </c>
      <c r="F20" s="55"/>
    </row>
    <row r="21" spans="1:6" ht="19.899999999999999" customHeight="1" x14ac:dyDescent="0.25">
      <c r="A21" s="283" t="str">
        <f>'3 Proxy Sum'!A22</f>
        <v>Portland General</v>
      </c>
      <c r="C21" s="90" t="str">
        <f>'3 Proxy Sum'!C22</f>
        <v>POR</v>
      </c>
      <c r="D21" s="211"/>
      <c r="E21" s="169">
        <v>0.48399999999999999</v>
      </c>
      <c r="F21" s="55"/>
    </row>
    <row r="22" spans="1:6" ht="19.899999999999999" customHeight="1" x14ac:dyDescent="0.25">
      <c r="A22" s="22" t="str">
        <f>'3 Proxy Sum'!A23</f>
        <v>Sempra Energy</v>
      </c>
      <c r="C22" s="90" t="str">
        <f>'3 Proxy Sum'!C23</f>
        <v>SRE</v>
      </c>
      <c r="D22" s="211"/>
      <c r="E22" s="170">
        <v>0.52700000000000002</v>
      </c>
      <c r="F22" s="55"/>
    </row>
    <row r="23" spans="1:6" ht="19.899999999999999" customHeight="1" x14ac:dyDescent="0.25">
      <c r="C23" s="211"/>
      <c r="D23" s="211"/>
      <c r="E23" s="8"/>
      <c r="F23" s="8"/>
    </row>
    <row r="24" spans="1:6" ht="19.899999999999999" customHeight="1" x14ac:dyDescent="0.25">
      <c r="A24" s="16" t="s">
        <v>80</v>
      </c>
      <c r="B24" s="183"/>
      <c r="C24" s="211"/>
      <c r="D24" s="211"/>
      <c r="E24" s="169">
        <f>AVERAGE(E5:E22)</f>
        <v>0.50005555555555548</v>
      </c>
      <c r="F24" s="54"/>
    </row>
    <row r="25" spans="1:6" x14ac:dyDescent="0.25">
      <c r="A25" s="187"/>
      <c r="B25" s="22"/>
      <c r="C25" s="187"/>
      <c r="D25" s="187"/>
      <c r="E25" s="110"/>
      <c r="F25" s="110"/>
    </row>
    <row r="26" spans="1:6" x14ac:dyDescent="0.25">
      <c r="C26" s="211"/>
      <c r="D26" s="211"/>
      <c r="E26" s="8"/>
      <c r="F26" s="8"/>
    </row>
    <row r="28" spans="1:6" s="213" customFormat="1" ht="14.45" customHeight="1" x14ac:dyDescent="0.2">
      <c r="A28" s="411" t="s">
        <v>143</v>
      </c>
      <c r="B28" s="411"/>
      <c r="C28" s="411"/>
      <c r="D28" s="411"/>
      <c r="E28" s="411"/>
      <c r="F28" s="411"/>
    </row>
  </sheetData>
  <mergeCells count="1">
    <mergeCell ref="A28:F28"/>
  </mergeCells>
  <printOptions horizontalCentered="1"/>
  <pageMargins left="0.7" right="0.7" top="0.75" bottom="0.75" header="0.3" footer="0.3"/>
  <pageSetup orientation="portrait" r:id="rId1"/>
  <headerFooter scaleWithDoc="0">
    <oddHeader>&amp;C&amp;"-,Bold"&amp;14Proxy Company Debt Ratios&amp;RExhibit DJG-18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6BDA8-84B9-4D6A-AE4A-463B686A7C00}">
  <sheetPr>
    <tabColor theme="3"/>
  </sheetPr>
  <dimension ref="A4:C14"/>
  <sheetViews>
    <sheetView zoomScale="80" zoomScaleNormal="80" workbookViewId="0"/>
  </sheetViews>
  <sheetFormatPr defaultColWidth="8.85546875" defaultRowHeight="15" x14ac:dyDescent="0.25"/>
  <cols>
    <col min="1" max="1" width="38" style="27" bestFit="1" customWidth="1"/>
    <col min="2" max="2" width="5.85546875" style="27" bestFit="1" customWidth="1"/>
    <col min="3" max="3" width="8.85546875" style="27"/>
    <col min="4" max="16384" width="8.85546875" style="311"/>
  </cols>
  <sheetData>
    <row r="4" spans="1:2" x14ac:dyDescent="0.25">
      <c r="A4" s="374" t="s">
        <v>83</v>
      </c>
      <c r="B4" s="375" t="s">
        <v>363</v>
      </c>
    </row>
    <row r="5" spans="1:2" ht="15.75" x14ac:dyDescent="0.25">
      <c r="A5" s="376" t="s">
        <v>364</v>
      </c>
      <c r="B5" s="377">
        <v>0.59240659340659341</v>
      </c>
    </row>
    <row r="6" spans="1:2" ht="15.75" x14ac:dyDescent="0.25">
      <c r="A6" s="376" t="s">
        <v>365</v>
      </c>
      <c r="B6" s="377">
        <v>0.97275859247135843</v>
      </c>
    </row>
    <row r="7" spans="1:2" ht="15.75" x14ac:dyDescent="0.25">
      <c r="A7" s="376" t="s">
        <v>366</v>
      </c>
      <c r="B7" s="377">
        <v>1.1471314102564103</v>
      </c>
    </row>
    <row r="8" spans="1:2" ht="15.75" x14ac:dyDescent="0.25">
      <c r="A8" s="376" t="s">
        <v>84</v>
      </c>
      <c r="B8" s="377">
        <v>1.2961563545150503</v>
      </c>
    </row>
    <row r="9" spans="1:2" ht="15.75" x14ac:dyDescent="0.25">
      <c r="A9" s="376" t="s">
        <v>292</v>
      </c>
      <c r="B9" s="377">
        <v>1.6008167189952909</v>
      </c>
    </row>
    <row r="10" spans="1:2" ht="15.75" x14ac:dyDescent="0.25">
      <c r="A10" s="376" t="s">
        <v>367</v>
      </c>
      <c r="B10" s="377">
        <v>1.82</v>
      </c>
    </row>
    <row r="11" spans="1:2" ht="15.75" x14ac:dyDescent="0.25">
      <c r="A11" s="376"/>
    </row>
    <row r="12" spans="1:2" ht="15.75" x14ac:dyDescent="0.25">
      <c r="A12" s="376"/>
    </row>
    <row r="14" spans="1:2" ht="15.75" x14ac:dyDescent="0.25">
      <c r="A14" s="378" t="s">
        <v>368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B5B6C-D16C-4C67-916C-02757FA9D5D8}">
  <sheetPr>
    <tabColor theme="3"/>
  </sheetPr>
  <dimension ref="A4:E512"/>
  <sheetViews>
    <sheetView workbookViewId="0">
      <selection activeCell="W20" sqref="W20"/>
    </sheetView>
  </sheetViews>
  <sheetFormatPr defaultRowHeight="15" x14ac:dyDescent="0.25"/>
  <cols>
    <col min="1" max="2" width="9.7109375" style="311" customWidth="1"/>
    <col min="3" max="16384" width="9.140625" style="311"/>
  </cols>
  <sheetData>
    <row r="4" spans="1:5" x14ac:dyDescent="0.25">
      <c r="A4" s="311" t="s">
        <v>41</v>
      </c>
      <c r="C4" s="15">
        <f>'8 Risk Free Rate'!E35</f>
        <v>2.8073333333333336E-2</v>
      </c>
    </row>
    <row r="5" spans="1:5" x14ac:dyDescent="0.25">
      <c r="A5" s="311" t="s">
        <v>369</v>
      </c>
      <c r="C5" s="15">
        <f>'11 ERP Result'!C14</f>
        <v>5.7000000000000002E-2</v>
      </c>
    </row>
    <row r="6" spans="1:5" x14ac:dyDescent="0.25">
      <c r="A6" s="311" t="s">
        <v>62</v>
      </c>
      <c r="C6" s="253">
        <f>'9 Beta'!E24</f>
        <v>0.70882352941176474</v>
      </c>
    </row>
    <row r="7" spans="1:5" x14ac:dyDescent="0.25">
      <c r="A7" s="311" t="s">
        <v>384</v>
      </c>
      <c r="C7" s="253">
        <f>'12 CAPM Result'!L27</f>
        <v>6.8476274509803911E-2</v>
      </c>
    </row>
    <row r="9" spans="1:5" x14ac:dyDescent="0.25">
      <c r="A9" s="310" t="s">
        <v>370</v>
      </c>
      <c r="B9" s="310" t="s">
        <v>371</v>
      </c>
      <c r="C9" s="310" t="s">
        <v>372</v>
      </c>
    </row>
    <row r="10" spans="1:5" x14ac:dyDescent="0.25">
      <c r="A10" s="12">
        <v>0</v>
      </c>
      <c r="B10" s="379">
        <f>A10*$C$5+$C$4</f>
        <v>2.8073333333333336E-2</v>
      </c>
      <c r="C10" s="379">
        <f>$B$12</f>
        <v>6.8476274509803925E-2</v>
      </c>
      <c r="D10" s="379">
        <f>$A$12</f>
        <v>0.70882352941176474</v>
      </c>
      <c r="E10" s="379">
        <v>0</v>
      </c>
    </row>
    <row r="11" spans="1:5" x14ac:dyDescent="0.25">
      <c r="A11" s="12">
        <v>0.5</v>
      </c>
      <c r="B11" s="379">
        <f t="shared" ref="B11:B13" si="0">A11*$C$5+$C$4</f>
        <v>5.6573333333333337E-2</v>
      </c>
      <c r="C11" s="379">
        <f t="shared" ref="C11:C12" si="1">$B$12</f>
        <v>6.8476274509803925E-2</v>
      </c>
      <c r="D11" s="379">
        <f>$A$12</f>
        <v>0.70882352941176474</v>
      </c>
      <c r="E11" s="379">
        <f>$C$10</f>
        <v>6.8476274509803925E-2</v>
      </c>
    </row>
    <row r="12" spans="1:5" x14ac:dyDescent="0.25">
      <c r="A12" s="380">
        <f>C6</f>
        <v>0.70882352941176474</v>
      </c>
      <c r="B12" s="381">
        <f t="shared" si="0"/>
        <v>6.8476274509803925E-2</v>
      </c>
      <c r="C12" s="379">
        <f t="shared" si="1"/>
        <v>6.8476274509803925E-2</v>
      </c>
    </row>
    <row r="13" spans="1:5" x14ac:dyDescent="0.25">
      <c r="A13" s="12">
        <v>1</v>
      </c>
      <c r="B13" s="379">
        <f t="shared" si="0"/>
        <v>8.5073333333333334E-2</v>
      </c>
      <c r="C13" s="379"/>
    </row>
    <row r="14" spans="1:5" x14ac:dyDescent="0.25">
      <c r="A14" s="12"/>
      <c r="B14" s="379"/>
      <c r="C14" s="379"/>
    </row>
    <row r="15" spans="1:5" x14ac:dyDescent="0.25">
      <c r="A15" s="379"/>
      <c r="B15" s="379"/>
    </row>
    <row r="16" spans="1:5" x14ac:dyDescent="0.25">
      <c r="A16" s="379"/>
      <c r="B16" s="379"/>
    </row>
    <row r="20" spans="1:2" x14ac:dyDescent="0.25">
      <c r="A20" s="379"/>
      <c r="B20" s="379"/>
    </row>
    <row r="21" spans="1:2" x14ac:dyDescent="0.25">
      <c r="A21" s="379"/>
      <c r="B21" s="379"/>
    </row>
    <row r="22" spans="1:2" x14ac:dyDescent="0.25">
      <c r="A22" s="379"/>
      <c r="B22" s="379"/>
    </row>
    <row r="23" spans="1:2" x14ac:dyDescent="0.25">
      <c r="A23" s="379"/>
      <c r="B23" s="379"/>
    </row>
    <row r="24" spans="1:2" x14ac:dyDescent="0.25">
      <c r="A24" s="379"/>
      <c r="B24" s="379"/>
    </row>
    <row r="25" spans="1:2" x14ac:dyDescent="0.25">
      <c r="A25" s="379"/>
      <c r="B25" s="379"/>
    </row>
    <row r="26" spans="1:2" x14ac:dyDescent="0.25">
      <c r="A26" s="379"/>
      <c r="B26" s="379"/>
    </row>
    <row r="27" spans="1:2" x14ac:dyDescent="0.25">
      <c r="A27" s="379"/>
      <c r="B27" s="379"/>
    </row>
    <row r="28" spans="1:2" x14ac:dyDescent="0.25">
      <c r="A28" s="379"/>
      <c r="B28" s="379"/>
    </row>
    <row r="29" spans="1:2" x14ac:dyDescent="0.25">
      <c r="A29" s="379"/>
      <c r="B29" s="379"/>
    </row>
    <row r="30" spans="1:2" x14ac:dyDescent="0.25">
      <c r="A30" s="379"/>
      <c r="B30" s="379"/>
    </row>
    <row r="31" spans="1:2" x14ac:dyDescent="0.25">
      <c r="A31" s="379"/>
      <c r="B31" s="379"/>
    </row>
    <row r="32" spans="1:2" x14ac:dyDescent="0.25">
      <c r="A32" s="379"/>
      <c r="B32" s="379"/>
    </row>
    <row r="33" spans="1:2" x14ac:dyDescent="0.25">
      <c r="A33" s="379"/>
      <c r="B33" s="379"/>
    </row>
    <row r="34" spans="1:2" x14ac:dyDescent="0.25">
      <c r="A34" s="379"/>
      <c r="B34" s="379"/>
    </row>
    <row r="35" spans="1:2" x14ac:dyDescent="0.25">
      <c r="A35" s="379"/>
      <c r="B35" s="379"/>
    </row>
    <row r="36" spans="1:2" x14ac:dyDescent="0.25">
      <c r="A36" s="379"/>
      <c r="B36" s="379"/>
    </row>
    <row r="37" spans="1:2" x14ac:dyDescent="0.25">
      <c r="A37" s="379"/>
      <c r="B37" s="379"/>
    </row>
    <row r="38" spans="1:2" x14ac:dyDescent="0.25">
      <c r="A38" s="379"/>
      <c r="B38" s="379"/>
    </row>
    <row r="39" spans="1:2" x14ac:dyDescent="0.25">
      <c r="A39" s="379"/>
      <c r="B39" s="379"/>
    </row>
    <row r="40" spans="1:2" x14ac:dyDescent="0.25">
      <c r="A40" s="379"/>
      <c r="B40" s="379"/>
    </row>
    <row r="41" spans="1:2" x14ac:dyDescent="0.25">
      <c r="A41" s="379"/>
      <c r="B41" s="379"/>
    </row>
    <row r="42" spans="1:2" x14ac:dyDescent="0.25">
      <c r="A42" s="379"/>
      <c r="B42" s="379"/>
    </row>
    <row r="43" spans="1:2" x14ac:dyDescent="0.25">
      <c r="A43" s="379"/>
      <c r="B43" s="379"/>
    </row>
    <row r="44" spans="1:2" x14ac:dyDescent="0.25">
      <c r="A44" s="379"/>
      <c r="B44" s="379"/>
    </row>
    <row r="45" spans="1:2" x14ac:dyDescent="0.25">
      <c r="A45" s="379"/>
      <c r="B45" s="379"/>
    </row>
    <row r="46" spans="1:2" x14ac:dyDescent="0.25">
      <c r="A46" s="379"/>
      <c r="B46" s="379"/>
    </row>
    <row r="47" spans="1:2" x14ac:dyDescent="0.25">
      <c r="A47" s="379"/>
      <c r="B47" s="379"/>
    </row>
    <row r="48" spans="1:2" x14ac:dyDescent="0.25">
      <c r="A48" s="379"/>
      <c r="B48" s="379"/>
    </row>
    <row r="49" spans="1:2" x14ac:dyDescent="0.25">
      <c r="A49" s="379"/>
      <c r="B49" s="379"/>
    </row>
    <row r="50" spans="1:2" x14ac:dyDescent="0.25">
      <c r="A50" s="379"/>
      <c r="B50" s="379"/>
    </row>
    <row r="51" spans="1:2" x14ac:dyDescent="0.25">
      <c r="A51" s="379"/>
      <c r="B51" s="379"/>
    </row>
    <row r="52" spans="1:2" x14ac:dyDescent="0.25">
      <c r="A52" s="379"/>
      <c r="B52" s="379"/>
    </row>
    <row r="53" spans="1:2" x14ac:dyDescent="0.25">
      <c r="A53" s="379"/>
      <c r="B53" s="379"/>
    </row>
    <row r="54" spans="1:2" x14ac:dyDescent="0.25">
      <c r="A54" s="379"/>
      <c r="B54" s="379"/>
    </row>
    <row r="55" spans="1:2" x14ac:dyDescent="0.25">
      <c r="A55" s="379"/>
      <c r="B55" s="379"/>
    </row>
    <row r="56" spans="1:2" x14ac:dyDescent="0.25">
      <c r="A56" s="379"/>
      <c r="B56" s="379"/>
    </row>
    <row r="57" spans="1:2" x14ac:dyDescent="0.25">
      <c r="A57" s="379"/>
      <c r="B57" s="379"/>
    </row>
    <row r="58" spans="1:2" x14ac:dyDescent="0.25">
      <c r="A58" s="379"/>
      <c r="B58" s="379"/>
    </row>
    <row r="59" spans="1:2" x14ac:dyDescent="0.25">
      <c r="A59" s="379"/>
      <c r="B59" s="379"/>
    </row>
    <row r="60" spans="1:2" x14ac:dyDescent="0.25">
      <c r="A60" s="379"/>
      <c r="B60" s="379"/>
    </row>
    <row r="61" spans="1:2" x14ac:dyDescent="0.25">
      <c r="A61" s="379"/>
      <c r="B61" s="379"/>
    </row>
    <row r="62" spans="1:2" x14ac:dyDescent="0.25">
      <c r="A62" s="379"/>
      <c r="B62" s="379"/>
    </row>
    <row r="63" spans="1:2" x14ac:dyDescent="0.25">
      <c r="A63" s="379"/>
      <c r="B63" s="379"/>
    </row>
    <row r="64" spans="1:2" x14ac:dyDescent="0.25">
      <c r="A64" s="379"/>
      <c r="B64" s="379"/>
    </row>
    <row r="65" spans="1:2" x14ac:dyDescent="0.25">
      <c r="A65" s="379"/>
      <c r="B65" s="379"/>
    </row>
    <row r="66" spans="1:2" x14ac:dyDescent="0.25">
      <c r="A66" s="379"/>
      <c r="B66" s="379"/>
    </row>
    <row r="67" spans="1:2" x14ac:dyDescent="0.25">
      <c r="A67" s="379"/>
      <c r="B67" s="379"/>
    </row>
    <row r="68" spans="1:2" x14ac:dyDescent="0.25">
      <c r="A68" s="379"/>
      <c r="B68" s="379"/>
    </row>
    <row r="69" spans="1:2" x14ac:dyDescent="0.25">
      <c r="A69" s="379"/>
      <c r="B69" s="379"/>
    </row>
    <row r="70" spans="1:2" x14ac:dyDescent="0.25">
      <c r="A70" s="379"/>
      <c r="B70" s="379"/>
    </row>
    <row r="71" spans="1:2" x14ac:dyDescent="0.25">
      <c r="A71" s="379"/>
      <c r="B71" s="379"/>
    </row>
    <row r="72" spans="1:2" x14ac:dyDescent="0.25">
      <c r="A72" s="379"/>
      <c r="B72" s="379"/>
    </row>
    <row r="73" spans="1:2" x14ac:dyDescent="0.25">
      <c r="A73" s="379"/>
      <c r="B73" s="379"/>
    </row>
    <row r="74" spans="1:2" x14ac:dyDescent="0.25">
      <c r="A74" s="379"/>
      <c r="B74" s="379"/>
    </row>
    <row r="75" spans="1:2" x14ac:dyDescent="0.25">
      <c r="A75" s="379"/>
      <c r="B75" s="379"/>
    </row>
    <row r="76" spans="1:2" x14ac:dyDescent="0.25">
      <c r="A76" s="379"/>
      <c r="B76" s="379"/>
    </row>
    <row r="77" spans="1:2" x14ac:dyDescent="0.25">
      <c r="A77" s="379"/>
      <c r="B77" s="379"/>
    </row>
    <row r="78" spans="1:2" x14ac:dyDescent="0.25">
      <c r="A78" s="379"/>
      <c r="B78" s="379"/>
    </row>
    <row r="79" spans="1:2" x14ac:dyDescent="0.25">
      <c r="A79" s="379"/>
      <c r="B79" s="379"/>
    </row>
    <row r="80" spans="1:2" x14ac:dyDescent="0.25">
      <c r="A80" s="379"/>
      <c r="B80" s="379"/>
    </row>
    <row r="81" spans="1:2" x14ac:dyDescent="0.25">
      <c r="A81" s="379"/>
      <c r="B81" s="379"/>
    </row>
    <row r="82" spans="1:2" x14ac:dyDescent="0.25">
      <c r="A82" s="379"/>
      <c r="B82" s="379"/>
    </row>
    <row r="83" spans="1:2" x14ac:dyDescent="0.25">
      <c r="A83" s="379"/>
      <c r="B83" s="379"/>
    </row>
    <row r="84" spans="1:2" x14ac:dyDescent="0.25">
      <c r="A84" s="379"/>
      <c r="B84" s="379"/>
    </row>
    <row r="85" spans="1:2" x14ac:dyDescent="0.25">
      <c r="A85" s="379"/>
      <c r="B85" s="379"/>
    </row>
    <row r="86" spans="1:2" x14ac:dyDescent="0.25">
      <c r="A86" s="379"/>
      <c r="B86" s="379"/>
    </row>
    <row r="87" spans="1:2" x14ac:dyDescent="0.25">
      <c r="A87" s="379"/>
      <c r="B87" s="379"/>
    </row>
    <row r="88" spans="1:2" x14ac:dyDescent="0.25">
      <c r="A88" s="379"/>
      <c r="B88" s="379"/>
    </row>
    <row r="89" spans="1:2" x14ac:dyDescent="0.25">
      <c r="A89" s="379"/>
      <c r="B89" s="379"/>
    </row>
    <row r="90" spans="1:2" x14ac:dyDescent="0.25">
      <c r="A90" s="379"/>
      <c r="B90" s="379"/>
    </row>
    <row r="91" spans="1:2" x14ac:dyDescent="0.25">
      <c r="A91" s="379"/>
      <c r="B91" s="379"/>
    </row>
    <row r="92" spans="1:2" x14ac:dyDescent="0.25">
      <c r="A92" s="379"/>
      <c r="B92" s="379"/>
    </row>
    <row r="93" spans="1:2" x14ac:dyDescent="0.25">
      <c r="A93" s="379"/>
      <c r="B93" s="379"/>
    </row>
    <row r="94" spans="1:2" x14ac:dyDescent="0.25">
      <c r="A94" s="379"/>
      <c r="B94" s="379"/>
    </row>
    <row r="95" spans="1:2" x14ac:dyDescent="0.25">
      <c r="A95" s="379"/>
      <c r="B95" s="379"/>
    </row>
    <row r="96" spans="1:2" x14ac:dyDescent="0.25">
      <c r="A96" s="379"/>
      <c r="B96" s="379"/>
    </row>
    <row r="97" spans="1:2" x14ac:dyDescent="0.25">
      <c r="A97" s="379"/>
      <c r="B97" s="379"/>
    </row>
    <row r="98" spans="1:2" x14ac:dyDescent="0.25">
      <c r="A98" s="379"/>
      <c r="B98" s="379"/>
    </row>
    <row r="99" spans="1:2" x14ac:dyDescent="0.25">
      <c r="A99" s="379"/>
      <c r="B99" s="379"/>
    </row>
    <row r="100" spans="1:2" x14ac:dyDescent="0.25">
      <c r="A100" s="379"/>
      <c r="B100" s="379"/>
    </row>
    <row r="101" spans="1:2" x14ac:dyDescent="0.25">
      <c r="A101" s="379"/>
      <c r="B101" s="379"/>
    </row>
    <row r="102" spans="1:2" x14ac:dyDescent="0.25">
      <c r="A102" s="379"/>
      <c r="B102" s="379"/>
    </row>
    <row r="103" spans="1:2" x14ac:dyDescent="0.25">
      <c r="A103" s="379"/>
      <c r="B103" s="379"/>
    </row>
    <row r="104" spans="1:2" x14ac:dyDescent="0.25">
      <c r="A104" s="379"/>
      <c r="B104" s="379"/>
    </row>
    <row r="105" spans="1:2" x14ac:dyDescent="0.25">
      <c r="A105" s="379"/>
      <c r="B105" s="379"/>
    </row>
    <row r="106" spans="1:2" x14ac:dyDescent="0.25">
      <c r="A106" s="379"/>
      <c r="B106" s="379"/>
    </row>
    <row r="107" spans="1:2" x14ac:dyDescent="0.25">
      <c r="A107" s="379"/>
      <c r="B107" s="379"/>
    </row>
    <row r="108" spans="1:2" x14ac:dyDescent="0.25">
      <c r="A108" s="379"/>
      <c r="B108" s="379"/>
    </row>
    <row r="109" spans="1:2" x14ac:dyDescent="0.25">
      <c r="A109" s="379"/>
      <c r="B109" s="379"/>
    </row>
    <row r="110" spans="1:2" x14ac:dyDescent="0.25">
      <c r="A110" s="379"/>
      <c r="B110" s="379"/>
    </row>
    <row r="111" spans="1:2" x14ac:dyDescent="0.25">
      <c r="A111" s="379"/>
      <c r="B111" s="379"/>
    </row>
    <row r="112" spans="1:2" x14ac:dyDescent="0.25">
      <c r="A112" s="379"/>
      <c r="B112" s="379"/>
    </row>
    <row r="113" spans="1:2" x14ac:dyDescent="0.25">
      <c r="A113" s="379"/>
      <c r="B113" s="379"/>
    </row>
    <row r="114" spans="1:2" x14ac:dyDescent="0.25">
      <c r="A114" s="379"/>
      <c r="B114" s="379"/>
    </row>
    <row r="115" spans="1:2" x14ac:dyDescent="0.25">
      <c r="A115" s="379"/>
      <c r="B115" s="379"/>
    </row>
    <row r="116" spans="1:2" x14ac:dyDescent="0.25">
      <c r="A116" s="379"/>
      <c r="B116" s="379"/>
    </row>
    <row r="117" spans="1:2" x14ac:dyDescent="0.25">
      <c r="A117" s="379"/>
      <c r="B117" s="379"/>
    </row>
    <row r="118" spans="1:2" x14ac:dyDescent="0.25">
      <c r="A118" s="379"/>
      <c r="B118" s="379"/>
    </row>
    <row r="119" spans="1:2" x14ac:dyDescent="0.25">
      <c r="A119" s="379"/>
      <c r="B119" s="379"/>
    </row>
    <row r="120" spans="1:2" x14ac:dyDescent="0.25">
      <c r="A120" s="379"/>
      <c r="B120" s="379"/>
    </row>
    <row r="121" spans="1:2" x14ac:dyDescent="0.25">
      <c r="A121" s="379"/>
      <c r="B121" s="379"/>
    </row>
    <row r="122" spans="1:2" x14ac:dyDescent="0.25">
      <c r="A122" s="379"/>
      <c r="B122" s="379"/>
    </row>
    <row r="123" spans="1:2" x14ac:dyDescent="0.25">
      <c r="A123" s="379"/>
      <c r="B123" s="379"/>
    </row>
    <row r="124" spans="1:2" x14ac:dyDescent="0.25">
      <c r="A124" s="379"/>
      <c r="B124" s="379"/>
    </row>
    <row r="125" spans="1:2" x14ac:dyDescent="0.25">
      <c r="A125" s="379"/>
      <c r="B125" s="379"/>
    </row>
    <row r="126" spans="1:2" x14ac:dyDescent="0.25">
      <c r="A126" s="379"/>
      <c r="B126" s="379"/>
    </row>
    <row r="127" spans="1:2" x14ac:dyDescent="0.25">
      <c r="A127" s="379"/>
      <c r="B127" s="379"/>
    </row>
    <row r="128" spans="1:2" x14ac:dyDescent="0.25">
      <c r="A128" s="379"/>
      <c r="B128" s="379"/>
    </row>
    <row r="129" spans="1:2" x14ac:dyDescent="0.25">
      <c r="A129" s="379"/>
      <c r="B129" s="379"/>
    </row>
    <row r="130" spans="1:2" x14ac:dyDescent="0.25">
      <c r="A130" s="379"/>
      <c r="B130" s="379"/>
    </row>
    <row r="131" spans="1:2" x14ac:dyDescent="0.25">
      <c r="A131" s="379"/>
      <c r="B131" s="379"/>
    </row>
    <row r="132" spans="1:2" x14ac:dyDescent="0.25">
      <c r="A132" s="379"/>
      <c r="B132" s="379"/>
    </row>
    <row r="133" spans="1:2" x14ac:dyDescent="0.25">
      <c r="A133" s="379"/>
      <c r="B133" s="379"/>
    </row>
    <row r="134" spans="1:2" x14ac:dyDescent="0.25">
      <c r="A134" s="379"/>
      <c r="B134" s="379"/>
    </row>
    <row r="135" spans="1:2" x14ac:dyDescent="0.25">
      <c r="A135" s="379"/>
      <c r="B135" s="379"/>
    </row>
    <row r="136" spans="1:2" x14ac:dyDescent="0.25">
      <c r="A136" s="379"/>
      <c r="B136" s="379"/>
    </row>
    <row r="137" spans="1:2" x14ac:dyDescent="0.25">
      <c r="A137" s="379"/>
      <c r="B137" s="379"/>
    </row>
    <row r="138" spans="1:2" x14ac:dyDescent="0.25">
      <c r="A138" s="379"/>
      <c r="B138" s="379"/>
    </row>
    <row r="139" spans="1:2" x14ac:dyDescent="0.25">
      <c r="A139" s="379"/>
      <c r="B139" s="379"/>
    </row>
    <row r="140" spans="1:2" x14ac:dyDescent="0.25">
      <c r="A140" s="379"/>
      <c r="B140" s="379"/>
    </row>
    <row r="141" spans="1:2" x14ac:dyDescent="0.25">
      <c r="A141" s="379"/>
      <c r="B141" s="379"/>
    </row>
    <row r="142" spans="1:2" x14ac:dyDescent="0.25">
      <c r="A142" s="379"/>
      <c r="B142" s="379"/>
    </row>
    <row r="143" spans="1:2" x14ac:dyDescent="0.25">
      <c r="A143" s="379"/>
      <c r="B143" s="379"/>
    </row>
    <row r="144" spans="1:2" x14ac:dyDescent="0.25">
      <c r="A144" s="379"/>
      <c r="B144" s="379"/>
    </row>
    <row r="145" spans="1:2" x14ac:dyDescent="0.25">
      <c r="A145" s="379"/>
      <c r="B145" s="379"/>
    </row>
    <row r="146" spans="1:2" x14ac:dyDescent="0.25">
      <c r="A146" s="379"/>
      <c r="B146" s="379"/>
    </row>
    <row r="147" spans="1:2" x14ac:dyDescent="0.25">
      <c r="A147" s="379"/>
      <c r="B147" s="379"/>
    </row>
    <row r="148" spans="1:2" x14ac:dyDescent="0.25">
      <c r="A148" s="379"/>
      <c r="B148" s="379"/>
    </row>
    <row r="149" spans="1:2" x14ac:dyDescent="0.25">
      <c r="A149" s="379"/>
      <c r="B149" s="379"/>
    </row>
    <row r="150" spans="1:2" x14ac:dyDescent="0.25">
      <c r="A150" s="379"/>
      <c r="B150" s="379"/>
    </row>
    <row r="151" spans="1:2" x14ac:dyDescent="0.25">
      <c r="A151" s="379"/>
      <c r="B151" s="379"/>
    </row>
    <row r="152" spans="1:2" x14ac:dyDescent="0.25">
      <c r="A152" s="379"/>
      <c r="B152" s="379"/>
    </row>
    <row r="153" spans="1:2" x14ac:dyDescent="0.25">
      <c r="A153" s="379"/>
      <c r="B153" s="379"/>
    </row>
    <row r="154" spans="1:2" x14ac:dyDescent="0.25">
      <c r="A154" s="379"/>
      <c r="B154" s="379"/>
    </row>
    <row r="155" spans="1:2" x14ac:dyDescent="0.25">
      <c r="A155" s="379"/>
      <c r="B155" s="379"/>
    </row>
    <row r="156" spans="1:2" x14ac:dyDescent="0.25">
      <c r="A156" s="379"/>
      <c r="B156" s="379"/>
    </row>
    <row r="157" spans="1:2" x14ac:dyDescent="0.25">
      <c r="A157" s="379"/>
      <c r="B157" s="379"/>
    </row>
    <row r="158" spans="1:2" x14ac:dyDescent="0.25">
      <c r="A158" s="379"/>
      <c r="B158" s="379"/>
    </row>
    <row r="159" spans="1:2" x14ac:dyDescent="0.25">
      <c r="A159" s="379"/>
      <c r="B159" s="379"/>
    </row>
    <row r="160" spans="1:2" x14ac:dyDescent="0.25">
      <c r="A160" s="379"/>
      <c r="B160" s="379"/>
    </row>
    <row r="161" spans="1:2" x14ac:dyDescent="0.25">
      <c r="A161" s="379"/>
      <c r="B161" s="379"/>
    </row>
    <row r="162" spans="1:2" x14ac:dyDescent="0.25">
      <c r="A162" s="379"/>
      <c r="B162" s="379"/>
    </row>
    <row r="163" spans="1:2" x14ac:dyDescent="0.25">
      <c r="A163" s="379"/>
      <c r="B163" s="379"/>
    </row>
    <row r="164" spans="1:2" x14ac:dyDescent="0.25">
      <c r="A164" s="379"/>
      <c r="B164" s="379"/>
    </row>
    <row r="165" spans="1:2" x14ac:dyDescent="0.25">
      <c r="A165" s="379"/>
      <c r="B165" s="379"/>
    </row>
    <row r="166" spans="1:2" x14ac:dyDescent="0.25">
      <c r="A166" s="379"/>
      <c r="B166" s="379"/>
    </row>
    <row r="167" spans="1:2" x14ac:dyDescent="0.25">
      <c r="A167" s="379"/>
      <c r="B167" s="379"/>
    </row>
    <row r="168" spans="1:2" x14ac:dyDescent="0.25">
      <c r="A168" s="379"/>
      <c r="B168" s="379"/>
    </row>
    <row r="169" spans="1:2" x14ac:dyDescent="0.25">
      <c r="A169" s="379"/>
      <c r="B169" s="379"/>
    </row>
    <row r="170" spans="1:2" x14ac:dyDescent="0.25">
      <c r="A170" s="379"/>
      <c r="B170" s="379"/>
    </row>
    <row r="171" spans="1:2" x14ac:dyDescent="0.25">
      <c r="A171" s="379"/>
      <c r="B171" s="379"/>
    </row>
    <row r="172" spans="1:2" x14ac:dyDescent="0.25">
      <c r="A172" s="379"/>
      <c r="B172" s="379"/>
    </row>
    <row r="173" spans="1:2" x14ac:dyDescent="0.25">
      <c r="A173" s="379"/>
      <c r="B173" s="379"/>
    </row>
    <row r="174" spans="1:2" x14ac:dyDescent="0.25">
      <c r="A174" s="379"/>
      <c r="B174" s="379"/>
    </row>
    <row r="175" spans="1:2" x14ac:dyDescent="0.25">
      <c r="A175" s="379"/>
      <c r="B175" s="379"/>
    </row>
    <row r="176" spans="1:2" x14ac:dyDescent="0.25">
      <c r="A176" s="379"/>
      <c r="B176" s="379"/>
    </row>
    <row r="177" spans="1:2" x14ac:dyDescent="0.25">
      <c r="A177" s="379"/>
      <c r="B177" s="379"/>
    </row>
    <row r="178" spans="1:2" x14ac:dyDescent="0.25">
      <c r="A178" s="379"/>
      <c r="B178" s="379"/>
    </row>
    <row r="179" spans="1:2" x14ac:dyDescent="0.25">
      <c r="A179" s="379"/>
      <c r="B179" s="379"/>
    </row>
    <row r="180" spans="1:2" x14ac:dyDescent="0.25">
      <c r="A180" s="379"/>
      <c r="B180" s="379"/>
    </row>
    <row r="181" spans="1:2" x14ac:dyDescent="0.25">
      <c r="A181" s="379"/>
      <c r="B181" s="379"/>
    </row>
    <row r="182" spans="1:2" x14ac:dyDescent="0.25">
      <c r="A182" s="379"/>
      <c r="B182" s="379"/>
    </row>
    <row r="183" spans="1:2" x14ac:dyDescent="0.25">
      <c r="A183" s="379"/>
      <c r="B183" s="379"/>
    </row>
    <row r="184" spans="1:2" x14ac:dyDescent="0.25">
      <c r="A184" s="379"/>
      <c r="B184" s="379"/>
    </row>
    <row r="185" spans="1:2" x14ac:dyDescent="0.25">
      <c r="A185" s="379"/>
      <c r="B185" s="379"/>
    </row>
    <row r="186" spans="1:2" x14ac:dyDescent="0.25">
      <c r="A186" s="379"/>
      <c r="B186" s="379"/>
    </row>
    <row r="187" spans="1:2" x14ac:dyDescent="0.25">
      <c r="A187" s="379"/>
      <c r="B187" s="379"/>
    </row>
    <row r="188" spans="1:2" x14ac:dyDescent="0.25">
      <c r="A188" s="379"/>
      <c r="B188" s="379"/>
    </row>
    <row r="189" spans="1:2" x14ac:dyDescent="0.25">
      <c r="A189" s="379"/>
      <c r="B189" s="379"/>
    </row>
    <row r="190" spans="1:2" x14ac:dyDescent="0.25">
      <c r="A190" s="379"/>
      <c r="B190" s="379"/>
    </row>
    <row r="191" spans="1:2" x14ac:dyDescent="0.25">
      <c r="A191" s="379"/>
      <c r="B191" s="379"/>
    </row>
    <row r="192" spans="1:2" x14ac:dyDescent="0.25">
      <c r="A192" s="379"/>
      <c r="B192" s="379"/>
    </row>
    <row r="193" spans="1:2" x14ac:dyDescent="0.25">
      <c r="A193" s="379"/>
      <c r="B193" s="379"/>
    </row>
    <row r="194" spans="1:2" x14ac:dyDescent="0.25">
      <c r="A194" s="379"/>
      <c r="B194" s="379"/>
    </row>
    <row r="195" spans="1:2" x14ac:dyDescent="0.25">
      <c r="A195" s="379"/>
      <c r="B195" s="379"/>
    </row>
    <row r="196" spans="1:2" x14ac:dyDescent="0.25">
      <c r="A196" s="379"/>
      <c r="B196" s="379"/>
    </row>
    <row r="197" spans="1:2" x14ac:dyDescent="0.25">
      <c r="A197" s="379"/>
      <c r="B197" s="379"/>
    </row>
    <row r="198" spans="1:2" x14ac:dyDescent="0.25">
      <c r="A198" s="379"/>
      <c r="B198" s="379"/>
    </row>
    <row r="199" spans="1:2" x14ac:dyDescent="0.25">
      <c r="A199" s="379"/>
      <c r="B199" s="379"/>
    </row>
    <row r="200" spans="1:2" x14ac:dyDescent="0.25">
      <c r="A200" s="379"/>
      <c r="B200" s="379"/>
    </row>
    <row r="201" spans="1:2" x14ac:dyDescent="0.25">
      <c r="A201" s="379"/>
      <c r="B201" s="379"/>
    </row>
    <row r="202" spans="1:2" x14ac:dyDescent="0.25">
      <c r="A202" s="379"/>
      <c r="B202" s="379"/>
    </row>
    <row r="203" spans="1:2" x14ac:dyDescent="0.25">
      <c r="A203" s="379"/>
      <c r="B203" s="379"/>
    </row>
    <row r="204" spans="1:2" x14ac:dyDescent="0.25">
      <c r="A204" s="379"/>
      <c r="B204" s="379"/>
    </row>
    <row r="205" spans="1:2" x14ac:dyDescent="0.25">
      <c r="A205" s="379"/>
      <c r="B205" s="379"/>
    </row>
    <row r="206" spans="1:2" x14ac:dyDescent="0.25">
      <c r="A206" s="379"/>
      <c r="B206" s="379"/>
    </row>
    <row r="207" spans="1:2" x14ac:dyDescent="0.25">
      <c r="A207" s="379"/>
      <c r="B207" s="379"/>
    </row>
    <row r="208" spans="1:2" x14ac:dyDescent="0.25">
      <c r="A208" s="379"/>
      <c r="B208" s="379"/>
    </row>
    <row r="209" spans="1:2" x14ac:dyDescent="0.25">
      <c r="A209" s="379"/>
      <c r="B209" s="379"/>
    </row>
    <row r="210" spans="1:2" x14ac:dyDescent="0.25">
      <c r="A210" s="379"/>
      <c r="B210" s="379"/>
    </row>
    <row r="211" spans="1:2" x14ac:dyDescent="0.25">
      <c r="A211" s="379"/>
      <c r="B211" s="379"/>
    </row>
    <row r="212" spans="1:2" x14ac:dyDescent="0.25">
      <c r="A212" s="379"/>
      <c r="B212" s="379"/>
    </row>
    <row r="213" spans="1:2" x14ac:dyDescent="0.25">
      <c r="A213" s="379"/>
      <c r="B213" s="379"/>
    </row>
    <row r="214" spans="1:2" x14ac:dyDescent="0.25">
      <c r="A214" s="379"/>
      <c r="B214" s="379"/>
    </row>
    <row r="215" spans="1:2" x14ac:dyDescent="0.25">
      <c r="A215" s="379"/>
      <c r="B215" s="379"/>
    </row>
    <row r="216" spans="1:2" x14ac:dyDescent="0.25">
      <c r="A216" s="379"/>
      <c r="B216" s="379"/>
    </row>
    <row r="217" spans="1:2" x14ac:dyDescent="0.25">
      <c r="A217" s="379"/>
      <c r="B217" s="379"/>
    </row>
    <row r="218" spans="1:2" x14ac:dyDescent="0.25">
      <c r="A218" s="379"/>
      <c r="B218" s="379"/>
    </row>
    <row r="219" spans="1:2" x14ac:dyDescent="0.25">
      <c r="A219" s="379"/>
      <c r="B219" s="379"/>
    </row>
    <row r="220" spans="1:2" x14ac:dyDescent="0.25">
      <c r="A220" s="379"/>
      <c r="B220" s="379"/>
    </row>
    <row r="221" spans="1:2" x14ac:dyDescent="0.25">
      <c r="A221" s="379"/>
      <c r="B221" s="379"/>
    </row>
    <row r="222" spans="1:2" x14ac:dyDescent="0.25">
      <c r="A222" s="379"/>
      <c r="B222" s="379"/>
    </row>
    <row r="223" spans="1:2" x14ac:dyDescent="0.25">
      <c r="A223" s="379"/>
      <c r="B223" s="379"/>
    </row>
    <row r="224" spans="1:2" x14ac:dyDescent="0.25">
      <c r="A224" s="379"/>
      <c r="B224" s="379"/>
    </row>
    <row r="225" spans="1:2" x14ac:dyDescent="0.25">
      <c r="A225" s="379"/>
      <c r="B225" s="379"/>
    </row>
    <row r="226" spans="1:2" x14ac:dyDescent="0.25">
      <c r="A226" s="379"/>
      <c r="B226" s="379"/>
    </row>
    <row r="227" spans="1:2" x14ac:dyDescent="0.25">
      <c r="A227" s="379"/>
      <c r="B227" s="379"/>
    </row>
    <row r="228" spans="1:2" x14ac:dyDescent="0.25">
      <c r="A228" s="379"/>
      <c r="B228" s="379"/>
    </row>
    <row r="229" spans="1:2" x14ac:dyDescent="0.25">
      <c r="A229" s="379"/>
      <c r="B229" s="379"/>
    </row>
    <row r="230" spans="1:2" x14ac:dyDescent="0.25">
      <c r="A230" s="379"/>
      <c r="B230" s="379"/>
    </row>
    <row r="231" spans="1:2" x14ac:dyDescent="0.25">
      <c r="A231" s="379"/>
      <c r="B231" s="379"/>
    </row>
    <row r="232" spans="1:2" x14ac:dyDescent="0.25">
      <c r="A232" s="379"/>
      <c r="B232" s="379"/>
    </row>
    <row r="233" spans="1:2" x14ac:dyDescent="0.25">
      <c r="A233" s="379"/>
      <c r="B233" s="379"/>
    </row>
    <row r="234" spans="1:2" x14ac:dyDescent="0.25">
      <c r="A234" s="379"/>
      <c r="B234" s="379"/>
    </row>
    <row r="235" spans="1:2" x14ac:dyDescent="0.25">
      <c r="A235" s="379"/>
      <c r="B235" s="379"/>
    </row>
    <row r="236" spans="1:2" x14ac:dyDescent="0.25">
      <c r="A236" s="379"/>
      <c r="B236" s="379"/>
    </row>
    <row r="237" spans="1:2" x14ac:dyDescent="0.25">
      <c r="A237" s="379"/>
      <c r="B237" s="379"/>
    </row>
    <row r="238" spans="1:2" x14ac:dyDescent="0.25">
      <c r="A238" s="379"/>
      <c r="B238" s="379"/>
    </row>
    <row r="239" spans="1:2" x14ac:dyDescent="0.25">
      <c r="A239" s="379"/>
      <c r="B239" s="379"/>
    </row>
    <row r="240" spans="1:2" x14ac:dyDescent="0.25">
      <c r="A240" s="379"/>
      <c r="B240" s="379"/>
    </row>
    <row r="241" spans="1:2" x14ac:dyDescent="0.25">
      <c r="A241" s="379"/>
      <c r="B241" s="379"/>
    </row>
    <row r="242" spans="1:2" x14ac:dyDescent="0.25">
      <c r="A242" s="379"/>
      <c r="B242" s="379"/>
    </row>
    <row r="243" spans="1:2" x14ac:dyDescent="0.25">
      <c r="A243" s="379"/>
      <c r="B243" s="379"/>
    </row>
    <row r="244" spans="1:2" x14ac:dyDescent="0.25">
      <c r="A244" s="379"/>
      <c r="B244" s="379"/>
    </row>
    <row r="245" spans="1:2" x14ac:dyDescent="0.25">
      <c r="A245" s="379"/>
      <c r="B245" s="379"/>
    </row>
    <row r="246" spans="1:2" x14ac:dyDescent="0.25">
      <c r="A246" s="379"/>
      <c r="B246" s="379"/>
    </row>
    <row r="247" spans="1:2" x14ac:dyDescent="0.25">
      <c r="A247" s="379"/>
      <c r="B247" s="379"/>
    </row>
    <row r="248" spans="1:2" x14ac:dyDescent="0.25">
      <c r="A248" s="379"/>
      <c r="B248" s="379"/>
    </row>
    <row r="249" spans="1:2" x14ac:dyDescent="0.25">
      <c r="A249" s="379"/>
      <c r="B249" s="379"/>
    </row>
    <row r="250" spans="1:2" x14ac:dyDescent="0.25">
      <c r="A250" s="379"/>
      <c r="B250" s="379"/>
    </row>
    <row r="251" spans="1:2" x14ac:dyDescent="0.25">
      <c r="A251" s="379"/>
      <c r="B251" s="379"/>
    </row>
    <row r="252" spans="1:2" x14ac:dyDescent="0.25">
      <c r="A252" s="379"/>
      <c r="B252" s="379"/>
    </row>
    <row r="253" spans="1:2" x14ac:dyDescent="0.25">
      <c r="A253" s="379"/>
      <c r="B253" s="379"/>
    </row>
    <row r="254" spans="1:2" x14ac:dyDescent="0.25">
      <c r="A254" s="379"/>
      <c r="B254" s="379"/>
    </row>
    <row r="255" spans="1:2" x14ac:dyDescent="0.25">
      <c r="A255" s="379"/>
      <c r="B255" s="379"/>
    </row>
    <row r="256" spans="1:2" x14ac:dyDescent="0.25">
      <c r="A256" s="379"/>
      <c r="B256" s="379"/>
    </row>
    <row r="257" spans="1:2" x14ac:dyDescent="0.25">
      <c r="A257" s="379"/>
      <c r="B257" s="379"/>
    </row>
    <row r="258" spans="1:2" x14ac:dyDescent="0.25">
      <c r="A258" s="379"/>
      <c r="B258" s="379"/>
    </row>
    <row r="259" spans="1:2" x14ac:dyDescent="0.25">
      <c r="A259" s="379"/>
    </row>
    <row r="260" spans="1:2" x14ac:dyDescent="0.25">
      <c r="A260" s="379"/>
    </row>
    <row r="261" spans="1:2" x14ac:dyDescent="0.25">
      <c r="A261" s="379"/>
    </row>
    <row r="262" spans="1:2" x14ac:dyDescent="0.25">
      <c r="A262" s="379"/>
    </row>
    <row r="263" spans="1:2" x14ac:dyDescent="0.25">
      <c r="A263" s="379"/>
    </row>
    <row r="264" spans="1:2" x14ac:dyDescent="0.25">
      <c r="A264" s="379"/>
    </row>
    <row r="265" spans="1:2" x14ac:dyDescent="0.25">
      <c r="A265" s="379"/>
    </row>
    <row r="266" spans="1:2" x14ac:dyDescent="0.25">
      <c r="A266" s="379"/>
    </row>
    <row r="267" spans="1:2" x14ac:dyDescent="0.25">
      <c r="A267" s="379"/>
    </row>
    <row r="268" spans="1:2" x14ac:dyDescent="0.25">
      <c r="A268" s="379"/>
    </row>
    <row r="269" spans="1:2" x14ac:dyDescent="0.25">
      <c r="A269" s="379"/>
    </row>
    <row r="270" spans="1:2" x14ac:dyDescent="0.25">
      <c r="A270" s="379"/>
    </row>
    <row r="271" spans="1:2" x14ac:dyDescent="0.25">
      <c r="A271" s="379"/>
    </row>
    <row r="272" spans="1:2" x14ac:dyDescent="0.25">
      <c r="A272" s="379"/>
    </row>
    <row r="273" spans="1:1" x14ac:dyDescent="0.25">
      <c r="A273" s="379"/>
    </row>
    <row r="274" spans="1:1" x14ac:dyDescent="0.25">
      <c r="A274" s="379"/>
    </row>
    <row r="275" spans="1:1" x14ac:dyDescent="0.25">
      <c r="A275" s="379"/>
    </row>
    <row r="276" spans="1:1" x14ac:dyDescent="0.25">
      <c r="A276" s="379"/>
    </row>
    <row r="277" spans="1:1" x14ac:dyDescent="0.25">
      <c r="A277" s="379"/>
    </row>
    <row r="278" spans="1:1" x14ac:dyDescent="0.25">
      <c r="A278" s="379"/>
    </row>
    <row r="279" spans="1:1" x14ac:dyDescent="0.25">
      <c r="A279" s="379"/>
    </row>
    <row r="280" spans="1:1" x14ac:dyDescent="0.25">
      <c r="A280" s="379"/>
    </row>
    <row r="281" spans="1:1" x14ac:dyDescent="0.25">
      <c r="A281" s="379"/>
    </row>
    <row r="282" spans="1:1" x14ac:dyDescent="0.25">
      <c r="A282" s="379"/>
    </row>
    <row r="283" spans="1:1" x14ac:dyDescent="0.25">
      <c r="A283" s="379"/>
    </row>
    <row r="284" spans="1:1" x14ac:dyDescent="0.25">
      <c r="A284" s="379"/>
    </row>
    <row r="285" spans="1:1" x14ac:dyDescent="0.25">
      <c r="A285" s="379"/>
    </row>
    <row r="286" spans="1:1" x14ac:dyDescent="0.25">
      <c r="A286" s="379"/>
    </row>
    <row r="287" spans="1:1" x14ac:dyDescent="0.25">
      <c r="A287" s="379"/>
    </row>
    <row r="288" spans="1:1" x14ac:dyDescent="0.25">
      <c r="A288" s="379"/>
    </row>
    <row r="289" spans="1:1" x14ac:dyDescent="0.25">
      <c r="A289" s="379"/>
    </row>
    <row r="290" spans="1:1" x14ac:dyDescent="0.25">
      <c r="A290" s="379"/>
    </row>
    <row r="291" spans="1:1" x14ac:dyDescent="0.25">
      <c r="A291" s="379"/>
    </row>
    <row r="292" spans="1:1" x14ac:dyDescent="0.25">
      <c r="A292" s="379"/>
    </row>
    <row r="293" spans="1:1" x14ac:dyDescent="0.25">
      <c r="A293" s="379"/>
    </row>
    <row r="294" spans="1:1" x14ac:dyDescent="0.25">
      <c r="A294" s="379"/>
    </row>
    <row r="295" spans="1:1" x14ac:dyDescent="0.25">
      <c r="A295" s="379"/>
    </row>
    <row r="296" spans="1:1" x14ac:dyDescent="0.25">
      <c r="A296" s="379"/>
    </row>
    <row r="297" spans="1:1" x14ac:dyDescent="0.25">
      <c r="A297" s="379"/>
    </row>
    <row r="298" spans="1:1" x14ac:dyDescent="0.25">
      <c r="A298" s="379"/>
    </row>
    <row r="299" spans="1:1" x14ac:dyDescent="0.25">
      <c r="A299" s="379"/>
    </row>
    <row r="300" spans="1:1" x14ac:dyDescent="0.25">
      <c r="A300" s="379"/>
    </row>
    <row r="301" spans="1:1" x14ac:dyDescent="0.25">
      <c r="A301" s="379"/>
    </row>
    <row r="302" spans="1:1" x14ac:dyDescent="0.25">
      <c r="A302" s="379"/>
    </row>
    <row r="303" spans="1:1" x14ac:dyDescent="0.25">
      <c r="A303" s="379"/>
    </row>
    <row r="304" spans="1:1" x14ac:dyDescent="0.25">
      <c r="A304" s="379"/>
    </row>
    <row r="305" spans="1:1" x14ac:dyDescent="0.25">
      <c r="A305" s="379"/>
    </row>
    <row r="306" spans="1:1" x14ac:dyDescent="0.25">
      <c r="A306" s="379"/>
    </row>
    <row r="307" spans="1:1" x14ac:dyDescent="0.25">
      <c r="A307" s="379"/>
    </row>
    <row r="308" spans="1:1" x14ac:dyDescent="0.25">
      <c r="A308" s="379"/>
    </row>
    <row r="309" spans="1:1" x14ac:dyDescent="0.25">
      <c r="A309" s="379"/>
    </row>
    <row r="310" spans="1:1" x14ac:dyDescent="0.25">
      <c r="A310" s="379"/>
    </row>
    <row r="311" spans="1:1" x14ac:dyDescent="0.25">
      <c r="A311" s="379"/>
    </row>
    <row r="312" spans="1:1" x14ac:dyDescent="0.25">
      <c r="A312" s="379"/>
    </row>
    <row r="313" spans="1:1" x14ac:dyDescent="0.25">
      <c r="A313" s="379"/>
    </row>
    <row r="314" spans="1:1" x14ac:dyDescent="0.25">
      <c r="A314" s="379"/>
    </row>
    <row r="315" spans="1:1" x14ac:dyDescent="0.25">
      <c r="A315" s="379"/>
    </row>
    <row r="316" spans="1:1" x14ac:dyDescent="0.25">
      <c r="A316" s="379"/>
    </row>
    <row r="317" spans="1:1" x14ac:dyDescent="0.25">
      <c r="A317" s="379"/>
    </row>
    <row r="318" spans="1:1" x14ac:dyDescent="0.25">
      <c r="A318" s="379"/>
    </row>
    <row r="319" spans="1:1" x14ac:dyDescent="0.25">
      <c r="A319" s="379"/>
    </row>
    <row r="320" spans="1:1" x14ac:dyDescent="0.25">
      <c r="A320" s="379"/>
    </row>
    <row r="321" spans="1:1" x14ac:dyDescent="0.25">
      <c r="A321" s="379"/>
    </row>
    <row r="322" spans="1:1" x14ac:dyDescent="0.25">
      <c r="A322" s="379"/>
    </row>
    <row r="323" spans="1:1" x14ac:dyDescent="0.25">
      <c r="A323" s="379"/>
    </row>
    <row r="324" spans="1:1" x14ac:dyDescent="0.25">
      <c r="A324" s="379"/>
    </row>
    <row r="325" spans="1:1" x14ac:dyDescent="0.25">
      <c r="A325" s="379"/>
    </row>
    <row r="326" spans="1:1" x14ac:dyDescent="0.25">
      <c r="A326" s="379"/>
    </row>
    <row r="327" spans="1:1" x14ac:dyDescent="0.25">
      <c r="A327" s="379"/>
    </row>
    <row r="328" spans="1:1" x14ac:dyDescent="0.25">
      <c r="A328" s="379"/>
    </row>
    <row r="329" spans="1:1" x14ac:dyDescent="0.25">
      <c r="A329" s="379"/>
    </row>
    <row r="330" spans="1:1" x14ac:dyDescent="0.25">
      <c r="A330" s="379"/>
    </row>
    <row r="331" spans="1:1" x14ac:dyDescent="0.25">
      <c r="A331" s="379"/>
    </row>
    <row r="332" spans="1:1" x14ac:dyDescent="0.25">
      <c r="A332" s="379"/>
    </row>
    <row r="333" spans="1:1" x14ac:dyDescent="0.25">
      <c r="A333" s="379"/>
    </row>
    <row r="334" spans="1:1" x14ac:dyDescent="0.25">
      <c r="A334" s="379"/>
    </row>
    <row r="335" spans="1:1" x14ac:dyDescent="0.25">
      <c r="A335" s="379"/>
    </row>
    <row r="336" spans="1:1" x14ac:dyDescent="0.25">
      <c r="A336" s="379"/>
    </row>
    <row r="337" spans="1:1" x14ac:dyDescent="0.25">
      <c r="A337" s="379"/>
    </row>
    <row r="338" spans="1:1" x14ac:dyDescent="0.25">
      <c r="A338" s="379"/>
    </row>
    <row r="339" spans="1:1" x14ac:dyDescent="0.25">
      <c r="A339" s="379"/>
    </row>
    <row r="340" spans="1:1" x14ac:dyDescent="0.25">
      <c r="A340" s="379"/>
    </row>
    <row r="341" spans="1:1" x14ac:dyDescent="0.25">
      <c r="A341" s="379"/>
    </row>
    <row r="342" spans="1:1" x14ac:dyDescent="0.25">
      <c r="A342" s="379"/>
    </row>
    <row r="343" spans="1:1" x14ac:dyDescent="0.25">
      <c r="A343" s="379"/>
    </row>
    <row r="344" spans="1:1" x14ac:dyDescent="0.25">
      <c r="A344" s="379"/>
    </row>
    <row r="345" spans="1:1" x14ac:dyDescent="0.25">
      <c r="A345" s="379"/>
    </row>
    <row r="346" spans="1:1" x14ac:dyDescent="0.25">
      <c r="A346" s="379"/>
    </row>
    <row r="347" spans="1:1" x14ac:dyDescent="0.25">
      <c r="A347" s="379"/>
    </row>
    <row r="348" spans="1:1" x14ac:dyDescent="0.25">
      <c r="A348" s="379"/>
    </row>
    <row r="349" spans="1:1" x14ac:dyDescent="0.25">
      <c r="A349" s="379"/>
    </row>
    <row r="350" spans="1:1" x14ac:dyDescent="0.25">
      <c r="A350" s="379"/>
    </row>
    <row r="351" spans="1:1" x14ac:dyDescent="0.25">
      <c r="A351" s="379"/>
    </row>
    <row r="352" spans="1:1" x14ac:dyDescent="0.25">
      <c r="A352" s="379"/>
    </row>
    <row r="353" spans="1:1" x14ac:dyDescent="0.25">
      <c r="A353" s="379"/>
    </row>
    <row r="354" spans="1:1" x14ac:dyDescent="0.25">
      <c r="A354" s="379"/>
    </row>
    <row r="355" spans="1:1" x14ac:dyDescent="0.25">
      <c r="A355" s="379"/>
    </row>
    <row r="356" spans="1:1" x14ac:dyDescent="0.25">
      <c r="A356" s="379"/>
    </row>
    <row r="357" spans="1:1" x14ac:dyDescent="0.25">
      <c r="A357" s="379"/>
    </row>
    <row r="358" spans="1:1" x14ac:dyDescent="0.25">
      <c r="A358" s="379"/>
    </row>
    <row r="359" spans="1:1" x14ac:dyDescent="0.25">
      <c r="A359" s="379"/>
    </row>
    <row r="360" spans="1:1" x14ac:dyDescent="0.25">
      <c r="A360" s="379"/>
    </row>
    <row r="361" spans="1:1" x14ac:dyDescent="0.25">
      <c r="A361" s="379"/>
    </row>
    <row r="362" spans="1:1" x14ac:dyDescent="0.25">
      <c r="A362" s="379"/>
    </row>
    <row r="363" spans="1:1" x14ac:dyDescent="0.25">
      <c r="A363" s="379"/>
    </row>
    <row r="364" spans="1:1" x14ac:dyDescent="0.25">
      <c r="A364" s="379"/>
    </row>
    <row r="365" spans="1:1" x14ac:dyDescent="0.25">
      <c r="A365" s="379"/>
    </row>
    <row r="366" spans="1:1" x14ac:dyDescent="0.25">
      <c r="A366" s="379"/>
    </row>
    <row r="367" spans="1:1" x14ac:dyDescent="0.25">
      <c r="A367" s="379"/>
    </row>
    <row r="368" spans="1:1" x14ac:dyDescent="0.25">
      <c r="A368" s="379"/>
    </row>
    <row r="369" spans="1:1" x14ac:dyDescent="0.25">
      <c r="A369" s="379"/>
    </row>
    <row r="370" spans="1:1" x14ac:dyDescent="0.25">
      <c r="A370" s="379"/>
    </row>
    <row r="371" spans="1:1" x14ac:dyDescent="0.25">
      <c r="A371" s="379"/>
    </row>
    <row r="372" spans="1:1" x14ac:dyDescent="0.25">
      <c r="A372" s="379"/>
    </row>
    <row r="373" spans="1:1" x14ac:dyDescent="0.25">
      <c r="A373" s="379"/>
    </row>
    <row r="374" spans="1:1" x14ac:dyDescent="0.25">
      <c r="A374" s="379"/>
    </row>
    <row r="375" spans="1:1" x14ac:dyDescent="0.25">
      <c r="A375" s="379"/>
    </row>
    <row r="376" spans="1:1" x14ac:dyDescent="0.25">
      <c r="A376" s="379"/>
    </row>
    <row r="377" spans="1:1" x14ac:dyDescent="0.25">
      <c r="A377" s="379"/>
    </row>
    <row r="378" spans="1:1" x14ac:dyDescent="0.25">
      <c r="A378" s="379"/>
    </row>
    <row r="379" spans="1:1" x14ac:dyDescent="0.25">
      <c r="A379" s="379"/>
    </row>
    <row r="380" spans="1:1" x14ac:dyDescent="0.25">
      <c r="A380" s="379"/>
    </row>
    <row r="381" spans="1:1" x14ac:dyDescent="0.25">
      <c r="A381" s="379"/>
    </row>
    <row r="382" spans="1:1" x14ac:dyDescent="0.25">
      <c r="A382" s="379"/>
    </row>
    <row r="383" spans="1:1" x14ac:dyDescent="0.25">
      <c r="A383" s="379"/>
    </row>
    <row r="384" spans="1:1" x14ac:dyDescent="0.25">
      <c r="A384" s="379"/>
    </row>
    <row r="385" spans="1:1" x14ac:dyDescent="0.25">
      <c r="A385" s="379"/>
    </row>
    <row r="386" spans="1:1" x14ac:dyDescent="0.25">
      <c r="A386" s="379"/>
    </row>
    <row r="387" spans="1:1" x14ac:dyDescent="0.25">
      <c r="A387" s="379"/>
    </row>
    <row r="388" spans="1:1" x14ac:dyDescent="0.25">
      <c r="A388" s="379"/>
    </row>
    <row r="389" spans="1:1" x14ac:dyDescent="0.25">
      <c r="A389" s="379"/>
    </row>
    <row r="390" spans="1:1" x14ac:dyDescent="0.25">
      <c r="A390" s="379"/>
    </row>
    <row r="391" spans="1:1" x14ac:dyDescent="0.25">
      <c r="A391" s="379"/>
    </row>
    <row r="392" spans="1:1" x14ac:dyDescent="0.25">
      <c r="A392" s="379"/>
    </row>
    <row r="393" spans="1:1" x14ac:dyDescent="0.25">
      <c r="A393" s="379"/>
    </row>
    <row r="394" spans="1:1" x14ac:dyDescent="0.25">
      <c r="A394" s="379"/>
    </row>
    <row r="395" spans="1:1" x14ac:dyDescent="0.25">
      <c r="A395" s="379"/>
    </row>
    <row r="396" spans="1:1" x14ac:dyDescent="0.25">
      <c r="A396" s="379"/>
    </row>
    <row r="397" spans="1:1" x14ac:dyDescent="0.25">
      <c r="A397" s="379"/>
    </row>
    <row r="398" spans="1:1" x14ac:dyDescent="0.25">
      <c r="A398" s="379"/>
    </row>
    <row r="399" spans="1:1" x14ac:dyDescent="0.25">
      <c r="A399" s="379"/>
    </row>
    <row r="400" spans="1:1" x14ac:dyDescent="0.25">
      <c r="A400" s="379"/>
    </row>
    <row r="401" spans="1:1" x14ac:dyDescent="0.25">
      <c r="A401" s="379"/>
    </row>
    <row r="402" spans="1:1" x14ac:dyDescent="0.25">
      <c r="A402" s="379"/>
    </row>
    <row r="403" spans="1:1" x14ac:dyDescent="0.25">
      <c r="A403" s="379"/>
    </row>
    <row r="404" spans="1:1" x14ac:dyDescent="0.25">
      <c r="A404" s="379"/>
    </row>
    <row r="405" spans="1:1" x14ac:dyDescent="0.25">
      <c r="A405" s="379"/>
    </row>
    <row r="406" spans="1:1" x14ac:dyDescent="0.25">
      <c r="A406" s="379"/>
    </row>
    <row r="407" spans="1:1" x14ac:dyDescent="0.25">
      <c r="A407" s="379"/>
    </row>
    <row r="408" spans="1:1" x14ac:dyDescent="0.25">
      <c r="A408" s="379"/>
    </row>
    <row r="409" spans="1:1" x14ac:dyDescent="0.25">
      <c r="A409" s="379"/>
    </row>
    <row r="410" spans="1:1" x14ac:dyDescent="0.25">
      <c r="A410" s="379"/>
    </row>
    <row r="411" spans="1:1" x14ac:dyDescent="0.25">
      <c r="A411" s="379"/>
    </row>
    <row r="412" spans="1:1" x14ac:dyDescent="0.25">
      <c r="A412" s="379"/>
    </row>
    <row r="413" spans="1:1" x14ac:dyDescent="0.25">
      <c r="A413" s="379"/>
    </row>
    <row r="414" spans="1:1" x14ac:dyDescent="0.25">
      <c r="A414" s="379"/>
    </row>
    <row r="415" spans="1:1" x14ac:dyDescent="0.25">
      <c r="A415" s="379"/>
    </row>
    <row r="416" spans="1:1" x14ac:dyDescent="0.25">
      <c r="A416" s="379"/>
    </row>
    <row r="417" spans="1:1" x14ac:dyDescent="0.25">
      <c r="A417" s="379"/>
    </row>
    <row r="418" spans="1:1" x14ac:dyDescent="0.25">
      <c r="A418" s="379"/>
    </row>
    <row r="419" spans="1:1" x14ac:dyDescent="0.25">
      <c r="A419" s="379"/>
    </row>
    <row r="420" spans="1:1" x14ac:dyDescent="0.25">
      <c r="A420" s="379"/>
    </row>
    <row r="421" spans="1:1" x14ac:dyDescent="0.25">
      <c r="A421" s="379"/>
    </row>
    <row r="422" spans="1:1" x14ac:dyDescent="0.25">
      <c r="A422" s="379"/>
    </row>
    <row r="423" spans="1:1" x14ac:dyDescent="0.25">
      <c r="A423" s="379"/>
    </row>
    <row r="424" spans="1:1" x14ac:dyDescent="0.25">
      <c r="A424" s="379"/>
    </row>
    <row r="425" spans="1:1" x14ac:dyDescent="0.25">
      <c r="A425" s="379"/>
    </row>
    <row r="426" spans="1:1" x14ac:dyDescent="0.25">
      <c r="A426" s="379"/>
    </row>
    <row r="427" spans="1:1" x14ac:dyDescent="0.25">
      <c r="A427" s="379"/>
    </row>
    <row r="428" spans="1:1" x14ac:dyDescent="0.25">
      <c r="A428" s="379"/>
    </row>
    <row r="429" spans="1:1" x14ac:dyDescent="0.25">
      <c r="A429" s="379"/>
    </row>
    <row r="430" spans="1:1" x14ac:dyDescent="0.25">
      <c r="A430" s="379"/>
    </row>
    <row r="431" spans="1:1" x14ac:dyDescent="0.25">
      <c r="A431" s="379"/>
    </row>
    <row r="432" spans="1:1" x14ac:dyDescent="0.25">
      <c r="A432" s="379"/>
    </row>
    <row r="433" spans="1:1" x14ac:dyDescent="0.25">
      <c r="A433" s="379"/>
    </row>
    <row r="434" spans="1:1" x14ac:dyDescent="0.25">
      <c r="A434" s="379"/>
    </row>
    <row r="435" spans="1:1" x14ac:dyDescent="0.25">
      <c r="A435" s="379"/>
    </row>
    <row r="436" spans="1:1" x14ac:dyDescent="0.25">
      <c r="A436" s="379"/>
    </row>
    <row r="437" spans="1:1" x14ac:dyDescent="0.25">
      <c r="A437" s="379"/>
    </row>
    <row r="438" spans="1:1" x14ac:dyDescent="0.25">
      <c r="A438" s="379"/>
    </row>
    <row r="439" spans="1:1" x14ac:dyDescent="0.25">
      <c r="A439" s="379"/>
    </row>
    <row r="440" spans="1:1" x14ac:dyDescent="0.25">
      <c r="A440" s="379"/>
    </row>
    <row r="441" spans="1:1" x14ac:dyDescent="0.25">
      <c r="A441" s="379"/>
    </row>
    <row r="442" spans="1:1" x14ac:dyDescent="0.25">
      <c r="A442" s="379"/>
    </row>
    <row r="443" spans="1:1" x14ac:dyDescent="0.25">
      <c r="A443" s="379"/>
    </row>
    <row r="444" spans="1:1" x14ac:dyDescent="0.25">
      <c r="A444" s="379"/>
    </row>
    <row r="445" spans="1:1" x14ac:dyDescent="0.25">
      <c r="A445" s="379"/>
    </row>
    <row r="446" spans="1:1" x14ac:dyDescent="0.25">
      <c r="A446" s="379"/>
    </row>
    <row r="447" spans="1:1" x14ac:dyDescent="0.25">
      <c r="A447" s="379"/>
    </row>
    <row r="448" spans="1:1" x14ac:dyDescent="0.25">
      <c r="A448" s="379"/>
    </row>
    <row r="449" spans="1:1" x14ac:dyDescent="0.25">
      <c r="A449" s="379"/>
    </row>
    <row r="450" spans="1:1" x14ac:dyDescent="0.25">
      <c r="A450" s="379"/>
    </row>
    <row r="451" spans="1:1" x14ac:dyDescent="0.25">
      <c r="A451" s="379"/>
    </row>
    <row r="452" spans="1:1" x14ac:dyDescent="0.25">
      <c r="A452" s="379"/>
    </row>
    <row r="453" spans="1:1" x14ac:dyDescent="0.25">
      <c r="A453" s="379"/>
    </row>
    <row r="454" spans="1:1" x14ac:dyDescent="0.25">
      <c r="A454" s="379"/>
    </row>
    <row r="455" spans="1:1" x14ac:dyDescent="0.25">
      <c r="A455" s="379"/>
    </row>
    <row r="456" spans="1:1" x14ac:dyDescent="0.25">
      <c r="A456" s="379"/>
    </row>
    <row r="457" spans="1:1" x14ac:dyDescent="0.25">
      <c r="A457" s="379"/>
    </row>
    <row r="458" spans="1:1" x14ac:dyDescent="0.25">
      <c r="A458" s="379"/>
    </row>
    <row r="459" spans="1:1" x14ac:dyDescent="0.25">
      <c r="A459" s="379"/>
    </row>
    <row r="460" spans="1:1" x14ac:dyDescent="0.25">
      <c r="A460" s="379"/>
    </row>
    <row r="461" spans="1:1" x14ac:dyDescent="0.25">
      <c r="A461" s="379"/>
    </row>
    <row r="462" spans="1:1" x14ac:dyDescent="0.25">
      <c r="A462" s="379"/>
    </row>
    <row r="463" spans="1:1" x14ac:dyDescent="0.25">
      <c r="A463" s="379"/>
    </row>
    <row r="464" spans="1:1" x14ac:dyDescent="0.25">
      <c r="A464" s="379"/>
    </row>
    <row r="465" spans="1:1" x14ac:dyDescent="0.25">
      <c r="A465" s="379"/>
    </row>
    <row r="466" spans="1:1" x14ac:dyDescent="0.25">
      <c r="A466" s="379"/>
    </row>
    <row r="467" spans="1:1" x14ac:dyDescent="0.25">
      <c r="A467" s="379"/>
    </row>
    <row r="468" spans="1:1" x14ac:dyDescent="0.25">
      <c r="A468" s="379"/>
    </row>
    <row r="469" spans="1:1" x14ac:dyDescent="0.25">
      <c r="A469" s="379"/>
    </row>
    <row r="470" spans="1:1" x14ac:dyDescent="0.25">
      <c r="A470" s="379"/>
    </row>
    <row r="471" spans="1:1" x14ac:dyDescent="0.25">
      <c r="A471" s="379"/>
    </row>
    <row r="472" spans="1:1" x14ac:dyDescent="0.25">
      <c r="A472" s="379"/>
    </row>
    <row r="473" spans="1:1" x14ac:dyDescent="0.25">
      <c r="A473" s="379"/>
    </row>
    <row r="474" spans="1:1" x14ac:dyDescent="0.25">
      <c r="A474" s="379"/>
    </row>
    <row r="475" spans="1:1" x14ac:dyDescent="0.25">
      <c r="A475" s="379"/>
    </row>
    <row r="476" spans="1:1" x14ac:dyDescent="0.25">
      <c r="A476" s="379"/>
    </row>
    <row r="477" spans="1:1" x14ac:dyDescent="0.25">
      <c r="A477" s="379"/>
    </row>
    <row r="478" spans="1:1" x14ac:dyDescent="0.25">
      <c r="A478" s="379"/>
    </row>
    <row r="479" spans="1:1" x14ac:dyDescent="0.25">
      <c r="A479" s="379"/>
    </row>
    <row r="480" spans="1:1" x14ac:dyDescent="0.25">
      <c r="A480" s="379"/>
    </row>
    <row r="481" spans="1:1" x14ac:dyDescent="0.25">
      <c r="A481" s="379"/>
    </row>
    <row r="482" spans="1:1" x14ac:dyDescent="0.25">
      <c r="A482" s="379"/>
    </row>
    <row r="483" spans="1:1" x14ac:dyDescent="0.25">
      <c r="A483" s="379"/>
    </row>
    <row r="484" spans="1:1" x14ac:dyDescent="0.25">
      <c r="A484" s="379"/>
    </row>
    <row r="485" spans="1:1" x14ac:dyDescent="0.25">
      <c r="A485" s="379"/>
    </row>
    <row r="486" spans="1:1" x14ac:dyDescent="0.25">
      <c r="A486" s="379"/>
    </row>
    <row r="487" spans="1:1" x14ac:dyDescent="0.25">
      <c r="A487" s="379"/>
    </row>
    <row r="488" spans="1:1" x14ac:dyDescent="0.25">
      <c r="A488" s="379"/>
    </row>
    <row r="489" spans="1:1" x14ac:dyDescent="0.25">
      <c r="A489" s="379"/>
    </row>
    <row r="490" spans="1:1" x14ac:dyDescent="0.25">
      <c r="A490" s="379"/>
    </row>
    <row r="491" spans="1:1" x14ac:dyDescent="0.25">
      <c r="A491" s="379"/>
    </row>
    <row r="492" spans="1:1" x14ac:dyDescent="0.25">
      <c r="A492" s="379"/>
    </row>
    <row r="493" spans="1:1" x14ac:dyDescent="0.25">
      <c r="A493" s="379"/>
    </row>
    <row r="494" spans="1:1" x14ac:dyDescent="0.25">
      <c r="A494" s="379"/>
    </row>
    <row r="495" spans="1:1" x14ac:dyDescent="0.25">
      <c r="A495" s="379"/>
    </row>
    <row r="496" spans="1:1" x14ac:dyDescent="0.25">
      <c r="A496" s="379"/>
    </row>
    <row r="497" spans="1:1" x14ac:dyDescent="0.25">
      <c r="A497" s="379"/>
    </row>
    <row r="498" spans="1:1" x14ac:dyDescent="0.25">
      <c r="A498" s="379"/>
    </row>
    <row r="499" spans="1:1" x14ac:dyDescent="0.25">
      <c r="A499" s="379"/>
    </row>
    <row r="500" spans="1:1" x14ac:dyDescent="0.25">
      <c r="A500" s="379"/>
    </row>
    <row r="501" spans="1:1" x14ac:dyDescent="0.25">
      <c r="A501" s="379"/>
    </row>
    <row r="502" spans="1:1" x14ac:dyDescent="0.25">
      <c r="A502" s="379"/>
    </row>
    <row r="503" spans="1:1" x14ac:dyDescent="0.25">
      <c r="A503" s="379"/>
    </row>
    <row r="504" spans="1:1" x14ac:dyDescent="0.25">
      <c r="A504" s="379"/>
    </row>
    <row r="505" spans="1:1" x14ac:dyDescent="0.25">
      <c r="A505" s="379"/>
    </row>
    <row r="506" spans="1:1" x14ac:dyDescent="0.25">
      <c r="A506" s="379"/>
    </row>
    <row r="507" spans="1:1" x14ac:dyDescent="0.25">
      <c r="A507" s="379"/>
    </row>
    <row r="508" spans="1:1" x14ac:dyDescent="0.25">
      <c r="A508" s="379"/>
    </row>
    <row r="509" spans="1:1" x14ac:dyDescent="0.25">
      <c r="A509" s="379"/>
    </row>
    <row r="510" spans="1:1" x14ac:dyDescent="0.25">
      <c r="A510" s="379"/>
    </row>
    <row r="511" spans="1:1" x14ac:dyDescent="0.25">
      <c r="A511" s="379"/>
    </row>
    <row r="512" spans="1:1" x14ac:dyDescent="0.25">
      <c r="A512" s="379"/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D0A8-764D-4C68-9074-02C3F484D56D}">
  <sheetPr>
    <tabColor theme="3"/>
  </sheetPr>
  <dimension ref="A1:M119"/>
  <sheetViews>
    <sheetView workbookViewId="0"/>
  </sheetViews>
  <sheetFormatPr defaultColWidth="9.140625" defaultRowHeight="12.75" x14ac:dyDescent="0.2"/>
  <cols>
    <col min="1" max="1" width="9.140625" style="383"/>
    <col min="2" max="2" width="1.7109375" style="383" customWidth="1"/>
    <col min="3" max="4" width="9.140625" style="383"/>
    <col min="5" max="5" width="1.7109375" style="383" customWidth="1"/>
    <col min="6" max="7" width="9.140625" style="383"/>
    <col min="8" max="8" width="1.7109375" style="383" customWidth="1"/>
    <col min="9" max="10" width="9.140625" style="383"/>
    <col min="11" max="11" width="1.7109375" style="383" customWidth="1"/>
    <col min="12" max="16384" width="9.140625" style="383"/>
  </cols>
  <sheetData>
    <row r="1" spans="1:13" x14ac:dyDescent="0.2">
      <c r="A1" s="382"/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3" spans="1:13" x14ac:dyDescent="0.2">
      <c r="A3" s="383" t="s">
        <v>373</v>
      </c>
      <c r="C3" s="384" t="s">
        <v>370</v>
      </c>
      <c r="D3" s="384" t="s">
        <v>371</v>
      </c>
      <c r="E3" s="385"/>
      <c r="F3" s="384" t="s">
        <v>370</v>
      </c>
      <c r="G3" s="384" t="s">
        <v>371</v>
      </c>
      <c r="H3" s="385"/>
      <c r="I3" s="384" t="s">
        <v>370</v>
      </c>
      <c r="J3" s="384" t="s">
        <v>371</v>
      </c>
      <c r="K3" s="385"/>
      <c r="L3" s="384" t="s">
        <v>370</v>
      </c>
      <c r="M3" s="384" t="s">
        <v>371</v>
      </c>
    </row>
    <row r="4" spans="1:13" x14ac:dyDescent="0.2">
      <c r="A4" s="383">
        <v>-0.04</v>
      </c>
      <c r="C4" s="383">
        <v>0</v>
      </c>
      <c r="D4" s="386">
        <f t="shared" ref="D4:D67" si="0">$A$4*C4^3+$A$6*C4^2</f>
        <v>0</v>
      </c>
      <c r="F4" s="383">
        <v>20</v>
      </c>
      <c r="G4" s="383">
        <v>0</v>
      </c>
      <c r="I4" s="383">
        <v>60</v>
      </c>
      <c r="J4" s="383">
        <v>0</v>
      </c>
      <c r="L4" s="383">
        <v>100</v>
      </c>
      <c r="M4" s="383">
        <v>0</v>
      </c>
    </row>
    <row r="5" spans="1:13" x14ac:dyDescent="0.2">
      <c r="A5" s="383" t="s">
        <v>374</v>
      </c>
      <c r="C5" s="383">
        <v>1</v>
      </c>
      <c r="D5" s="386">
        <f t="shared" si="0"/>
        <v>5.46</v>
      </c>
      <c r="F5" s="383">
        <v>20</v>
      </c>
      <c r="G5" s="383">
        <f>D24</f>
        <v>1880</v>
      </c>
      <c r="I5" s="383">
        <v>60</v>
      </c>
      <c r="J5" s="383">
        <f>D64</f>
        <v>11160</v>
      </c>
      <c r="L5" s="383">
        <v>100</v>
      </c>
      <c r="M5" s="386">
        <f>D104</f>
        <v>15000</v>
      </c>
    </row>
    <row r="6" spans="1:13" x14ac:dyDescent="0.2">
      <c r="A6" s="383">
        <v>5.5</v>
      </c>
      <c r="C6" s="383">
        <v>2</v>
      </c>
      <c r="D6" s="386">
        <f t="shared" si="0"/>
        <v>21.68</v>
      </c>
    </row>
    <row r="7" spans="1:13" x14ac:dyDescent="0.2">
      <c r="C7" s="383">
        <v>3</v>
      </c>
      <c r="D7" s="386">
        <f t="shared" si="0"/>
        <v>48.42</v>
      </c>
    </row>
    <row r="8" spans="1:13" x14ac:dyDescent="0.2">
      <c r="C8" s="383">
        <v>4</v>
      </c>
      <c r="D8" s="386">
        <f t="shared" si="0"/>
        <v>85.44</v>
      </c>
    </row>
    <row r="9" spans="1:13" x14ac:dyDescent="0.2">
      <c r="C9" s="383">
        <v>5</v>
      </c>
      <c r="D9" s="386">
        <f t="shared" si="0"/>
        <v>132.5</v>
      </c>
    </row>
    <row r="10" spans="1:13" x14ac:dyDescent="0.2">
      <c r="C10" s="383">
        <v>6</v>
      </c>
      <c r="D10" s="386">
        <f t="shared" si="0"/>
        <v>189.36</v>
      </c>
    </row>
    <row r="11" spans="1:13" x14ac:dyDescent="0.2">
      <c r="C11" s="383">
        <v>7</v>
      </c>
      <c r="D11" s="386">
        <f t="shared" si="0"/>
        <v>255.78</v>
      </c>
    </row>
    <row r="12" spans="1:13" x14ac:dyDescent="0.2">
      <c r="C12" s="383">
        <v>8</v>
      </c>
      <c r="D12" s="386">
        <f t="shared" si="0"/>
        <v>331.52</v>
      </c>
    </row>
    <row r="13" spans="1:13" x14ac:dyDescent="0.2">
      <c r="C13" s="383">
        <v>9</v>
      </c>
      <c r="D13" s="386">
        <f t="shared" si="0"/>
        <v>416.34</v>
      </c>
    </row>
    <row r="14" spans="1:13" x14ac:dyDescent="0.2">
      <c r="C14" s="383">
        <v>10</v>
      </c>
      <c r="D14" s="386">
        <f t="shared" si="0"/>
        <v>510</v>
      </c>
    </row>
    <row r="15" spans="1:13" x14ac:dyDescent="0.2">
      <c r="C15" s="383">
        <v>11</v>
      </c>
      <c r="D15" s="386">
        <f t="shared" si="0"/>
        <v>612.26</v>
      </c>
    </row>
    <row r="16" spans="1:13" x14ac:dyDescent="0.2">
      <c r="C16" s="383">
        <v>12</v>
      </c>
      <c r="D16" s="386">
        <f t="shared" si="0"/>
        <v>722.88</v>
      </c>
    </row>
    <row r="17" spans="3:4" x14ac:dyDescent="0.2">
      <c r="C17" s="383">
        <v>13</v>
      </c>
      <c r="D17" s="386">
        <f t="shared" si="0"/>
        <v>841.62</v>
      </c>
    </row>
    <row r="18" spans="3:4" x14ac:dyDescent="0.2">
      <c r="C18" s="383">
        <v>14</v>
      </c>
      <c r="D18" s="386">
        <f t="shared" si="0"/>
        <v>968.24</v>
      </c>
    </row>
    <row r="19" spans="3:4" x14ac:dyDescent="0.2">
      <c r="C19" s="383">
        <v>15</v>
      </c>
      <c r="D19" s="386">
        <f t="shared" si="0"/>
        <v>1102.5</v>
      </c>
    </row>
    <row r="20" spans="3:4" x14ac:dyDescent="0.2">
      <c r="C20" s="383">
        <v>16</v>
      </c>
      <c r="D20" s="386">
        <f t="shared" si="0"/>
        <v>1244.1600000000001</v>
      </c>
    </row>
    <row r="21" spans="3:4" x14ac:dyDescent="0.2">
      <c r="C21" s="383">
        <v>17</v>
      </c>
      <c r="D21" s="386">
        <f t="shared" si="0"/>
        <v>1392.98</v>
      </c>
    </row>
    <row r="22" spans="3:4" x14ac:dyDescent="0.2">
      <c r="C22" s="383">
        <v>18</v>
      </c>
      <c r="D22" s="386">
        <f t="shared" si="0"/>
        <v>1548.72</v>
      </c>
    </row>
    <row r="23" spans="3:4" x14ac:dyDescent="0.2">
      <c r="C23" s="383">
        <v>19</v>
      </c>
      <c r="D23" s="386">
        <f t="shared" si="0"/>
        <v>1711.1399999999999</v>
      </c>
    </row>
    <row r="24" spans="3:4" x14ac:dyDescent="0.2">
      <c r="C24" s="383">
        <v>20</v>
      </c>
      <c r="D24" s="386">
        <f t="shared" si="0"/>
        <v>1880</v>
      </c>
    </row>
    <row r="25" spans="3:4" x14ac:dyDescent="0.2">
      <c r="C25" s="383">
        <v>21</v>
      </c>
      <c r="D25" s="386">
        <f t="shared" si="0"/>
        <v>2055.06</v>
      </c>
    </row>
    <row r="26" spans="3:4" x14ac:dyDescent="0.2">
      <c r="C26" s="383">
        <v>22</v>
      </c>
      <c r="D26" s="386">
        <f t="shared" si="0"/>
        <v>2236.08</v>
      </c>
    </row>
    <row r="27" spans="3:4" x14ac:dyDescent="0.2">
      <c r="C27" s="383">
        <v>23</v>
      </c>
      <c r="D27" s="386">
        <f t="shared" si="0"/>
        <v>2422.8200000000002</v>
      </c>
    </row>
    <row r="28" spans="3:4" x14ac:dyDescent="0.2">
      <c r="C28" s="383">
        <v>24</v>
      </c>
      <c r="D28" s="386">
        <f t="shared" si="0"/>
        <v>2615.04</v>
      </c>
    </row>
    <row r="29" spans="3:4" x14ac:dyDescent="0.2">
      <c r="C29" s="383">
        <v>25</v>
      </c>
      <c r="D29" s="386">
        <f t="shared" si="0"/>
        <v>2812.5</v>
      </c>
    </row>
    <row r="30" spans="3:4" x14ac:dyDescent="0.2">
      <c r="C30" s="383">
        <v>26</v>
      </c>
      <c r="D30" s="386">
        <f t="shared" si="0"/>
        <v>3014.96</v>
      </c>
    </row>
    <row r="31" spans="3:4" x14ac:dyDescent="0.2">
      <c r="C31" s="383">
        <v>27</v>
      </c>
      <c r="D31" s="386">
        <f t="shared" si="0"/>
        <v>3222.18</v>
      </c>
    </row>
    <row r="32" spans="3:4" x14ac:dyDescent="0.2">
      <c r="C32" s="383">
        <v>28</v>
      </c>
      <c r="D32" s="386">
        <f t="shared" si="0"/>
        <v>3433.92</v>
      </c>
    </row>
    <row r="33" spans="3:4" x14ac:dyDescent="0.2">
      <c r="C33" s="383">
        <v>29</v>
      </c>
      <c r="D33" s="386">
        <f t="shared" si="0"/>
        <v>3649.94</v>
      </c>
    </row>
    <row r="34" spans="3:4" x14ac:dyDescent="0.2">
      <c r="C34" s="383">
        <v>30</v>
      </c>
      <c r="D34" s="386">
        <f t="shared" si="0"/>
        <v>3870</v>
      </c>
    </row>
    <row r="35" spans="3:4" x14ac:dyDescent="0.2">
      <c r="C35" s="383">
        <v>31</v>
      </c>
      <c r="D35" s="386">
        <f t="shared" si="0"/>
        <v>4093.8599999999997</v>
      </c>
    </row>
    <row r="36" spans="3:4" x14ac:dyDescent="0.2">
      <c r="C36" s="383">
        <v>32</v>
      </c>
      <c r="D36" s="386">
        <f t="shared" si="0"/>
        <v>4321.28</v>
      </c>
    </row>
    <row r="37" spans="3:4" x14ac:dyDescent="0.2">
      <c r="C37" s="383">
        <v>33</v>
      </c>
      <c r="D37" s="386">
        <f t="shared" si="0"/>
        <v>4552.0200000000004</v>
      </c>
    </row>
    <row r="38" spans="3:4" x14ac:dyDescent="0.2">
      <c r="C38" s="383">
        <v>34</v>
      </c>
      <c r="D38" s="386">
        <f t="shared" si="0"/>
        <v>4785.84</v>
      </c>
    </row>
    <row r="39" spans="3:4" x14ac:dyDescent="0.2">
      <c r="C39" s="383">
        <v>35</v>
      </c>
      <c r="D39" s="386">
        <f t="shared" si="0"/>
        <v>5022.5</v>
      </c>
    </row>
    <row r="40" spans="3:4" x14ac:dyDescent="0.2">
      <c r="C40" s="383">
        <v>36</v>
      </c>
      <c r="D40" s="386">
        <f t="shared" si="0"/>
        <v>5261.76</v>
      </c>
    </row>
    <row r="41" spans="3:4" x14ac:dyDescent="0.2">
      <c r="C41" s="383">
        <v>37</v>
      </c>
      <c r="D41" s="386">
        <f t="shared" si="0"/>
        <v>5503.38</v>
      </c>
    </row>
    <row r="42" spans="3:4" x14ac:dyDescent="0.2">
      <c r="C42" s="383">
        <v>38</v>
      </c>
      <c r="D42" s="386">
        <f t="shared" si="0"/>
        <v>5747.12</v>
      </c>
    </row>
    <row r="43" spans="3:4" x14ac:dyDescent="0.2">
      <c r="C43" s="383">
        <v>39</v>
      </c>
      <c r="D43" s="386">
        <f t="shared" si="0"/>
        <v>5992.74</v>
      </c>
    </row>
    <row r="44" spans="3:4" x14ac:dyDescent="0.2">
      <c r="C44" s="383">
        <v>40</v>
      </c>
      <c r="D44" s="386">
        <f t="shared" si="0"/>
        <v>6240</v>
      </c>
    </row>
    <row r="45" spans="3:4" x14ac:dyDescent="0.2">
      <c r="C45" s="383">
        <v>41</v>
      </c>
      <c r="D45" s="386">
        <f t="shared" si="0"/>
        <v>6488.66</v>
      </c>
    </row>
    <row r="46" spans="3:4" x14ac:dyDescent="0.2">
      <c r="C46" s="383">
        <v>42</v>
      </c>
      <c r="D46" s="386">
        <f t="shared" si="0"/>
        <v>6738.48</v>
      </c>
    </row>
    <row r="47" spans="3:4" x14ac:dyDescent="0.2">
      <c r="C47" s="383">
        <v>43</v>
      </c>
      <c r="D47" s="386">
        <f t="shared" si="0"/>
        <v>6989.2199999999993</v>
      </c>
    </row>
    <row r="48" spans="3:4" x14ac:dyDescent="0.2">
      <c r="C48" s="383">
        <v>44</v>
      </c>
      <c r="D48" s="386">
        <f t="shared" si="0"/>
        <v>7240.6399999999994</v>
      </c>
    </row>
    <row r="49" spans="3:4" x14ac:dyDescent="0.2">
      <c r="C49" s="383">
        <v>45</v>
      </c>
      <c r="D49" s="386">
        <f t="shared" si="0"/>
        <v>7492.5</v>
      </c>
    </row>
    <row r="50" spans="3:4" x14ac:dyDescent="0.2">
      <c r="C50" s="383">
        <v>46</v>
      </c>
      <c r="D50" s="386">
        <f t="shared" si="0"/>
        <v>7744.5599999999995</v>
      </c>
    </row>
    <row r="51" spans="3:4" x14ac:dyDescent="0.2">
      <c r="C51" s="383">
        <v>47</v>
      </c>
      <c r="D51" s="386">
        <f t="shared" si="0"/>
        <v>7996.58</v>
      </c>
    </row>
    <row r="52" spans="3:4" x14ac:dyDescent="0.2">
      <c r="C52" s="383">
        <v>48</v>
      </c>
      <c r="D52" s="386">
        <f t="shared" si="0"/>
        <v>8248.32</v>
      </c>
    </row>
    <row r="53" spans="3:4" x14ac:dyDescent="0.2">
      <c r="C53" s="383">
        <v>49</v>
      </c>
      <c r="D53" s="386">
        <f t="shared" si="0"/>
        <v>8499.5400000000009</v>
      </c>
    </row>
    <row r="54" spans="3:4" x14ac:dyDescent="0.2">
      <c r="C54" s="383">
        <v>50</v>
      </c>
      <c r="D54" s="386">
        <f t="shared" si="0"/>
        <v>8750</v>
      </c>
    </row>
    <row r="55" spans="3:4" x14ac:dyDescent="0.2">
      <c r="C55" s="383">
        <v>51</v>
      </c>
      <c r="D55" s="386">
        <f t="shared" si="0"/>
        <v>8999.4599999999991</v>
      </c>
    </row>
    <row r="56" spans="3:4" x14ac:dyDescent="0.2">
      <c r="C56" s="383">
        <v>52</v>
      </c>
      <c r="D56" s="386">
        <f t="shared" si="0"/>
        <v>9247.68</v>
      </c>
    </row>
    <row r="57" spans="3:4" x14ac:dyDescent="0.2">
      <c r="C57" s="383">
        <v>53</v>
      </c>
      <c r="D57" s="386">
        <f t="shared" si="0"/>
        <v>9494.42</v>
      </c>
    </row>
    <row r="58" spans="3:4" x14ac:dyDescent="0.2">
      <c r="C58" s="383">
        <v>54</v>
      </c>
      <c r="D58" s="386">
        <f t="shared" si="0"/>
        <v>9739.4399999999987</v>
      </c>
    </row>
    <row r="59" spans="3:4" x14ac:dyDescent="0.2">
      <c r="C59" s="383">
        <v>55</v>
      </c>
      <c r="D59" s="386">
        <f t="shared" si="0"/>
        <v>9982.5</v>
      </c>
    </row>
    <row r="60" spans="3:4" x14ac:dyDescent="0.2">
      <c r="C60" s="383">
        <v>56</v>
      </c>
      <c r="D60" s="386">
        <f t="shared" si="0"/>
        <v>10223.36</v>
      </c>
    </row>
    <row r="61" spans="3:4" x14ac:dyDescent="0.2">
      <c r="C61" s="383">
        <v>57</v>
      </c>
      <c r="D61" s="386">
        <f t="shared" si="0"/>
        <v>10461.779999999999</v>
      </c>
    </row>
    <row r="62" spans="3:4" x14ac:dyDescent="0.2">
      <c r="C62" s="383">
        <v>58</v>
      </c>
      <c r="D62" s="386">
        <f t="shared" si="0"/>
        <v>10697.52</v>
      </c>
    </row>
    <row r="63" spans="3:4" x14ac:dyDescent="0.2">
      <c r="C63" s="383">
        <v>59</v>
      </c>
      <c r="D63" s="386">
        <f t="shared" si="0"/>
        <v>10930.34</v>
      </c>
    </row>
    <row r="64" spans="3:4" x14ac:dyDescent="0.2">
      <c r="C64" s="383">
        <v>60</v>
      </c>
      <c r="D64" s="386">
        <f t="shared" si="0"/>
        <v>11160</v>
      </c>
    </row>
    <row r="65" spans="3:4" x14ac:dyDescent="0.2">
      <c r="C65" s="383">
        <v>61</v>
      </c>
      <c r="D65" s="386">
        <f t="shared" si="0"/>
        <v>11386.26</v>
      </c>
    </row>
    <row r="66" spans="3:4" x14ac:dyDescent="0.2">
      <c r="C66" s="383">
        <v>62</v>
      </c>
      <c r="D66" s="386">
        <f t="shared" si="0"/>
        <v>11608.88</v>
      </c>
    </row>
    <row r="67" spans="3:4" x14ac:dyDescent="0.2">
      <c r="C67" s="383">
        <v>63</v>
      </c>
      <c r="D67" s="386">
        <f t="shared" si="0"/>
        <v>11827.619999999999</v>
      </c>
    </row>
    <row r="68" spans="3:4" x14ac:dyDescent="0.2">
      <c r="C68" s="383">
        <v>64</v>
      </c>
      <c r="D68" s="386">
        <f t="shared" ref="D68:D99" si="1">$A$4*C68^3+$A$6*C68^2</f>
        <v>12042.24</v>
      </c>
    </row>
    <row r="69" spans="3:4" x14ac:dyDescent="0.2">
      <c r="C69" s="383">
        <v>65</v>
      </c>
      <c r="D69" s="386">
        <f t="shared" si="1"/>
        <v>12252.5</v>
      </c>
    </row>
    <row r="70" spans="3:4" x14ac:dyDescent="0.2">
      <c r="C70" s="383">
        <v>66</v>
      </c>
      <c r="D70" s="386">
        <f t="shared" si="1"/>
        <v>12458.16</v>
      </c>
    </row>
    <row r="71" spans="3:4" x14ac:dyDescent="0.2">
      <c r="C71" s="383">
        <v>67</v>
      </c>
      <c r="D71" s="386">
        <f t="shared" si="1"/>
        <v>12658.98</v>
      </c>
    </row>
    <row r="72" spans="3:4" x14ac:dyDescent="0.2">
      <c r="C72" s="383">
        <v>68</v>
      </c>
      <c r="D72" s="386">
        <f t="shared" si="1"/>
        <v>12854.72</v>
      </c>
    </row>
    <row r="73" spans="3:4" x14ac:dyDescent="0.2">
      <c r="C73" s="383">
        <v>69</v>
      </c>
      <c r="D73" s="386">
        <f t="shared" si="1"/>
        <v>13045.14</v>
      </c>
    </row>
    <row r="74" spans="3:4" x14ac:dyDescent="0.2">
      <c r="C74" s="383">
        <v>70</v>
      </c>
      <c r="D74" s="386">
        <f t="shared" si="1"/>
        <v>13230</v>
      </c>
    </row>
    <row r="75" spans="3:4" x14ac:dyDescent="0.2">
      <c r="C75" s="383">
        <v>71</v>
      </c>
      <c r="D75" s="386">
        <f t="shared" si="1"/>
        <v>13409.06</v>
      </c>
    </row>
    <row r="76" spans="3:4" x14ac:dyDescent="0.2">
      <c r="C76" s="383">
        <v>72</v>
      </c>
      <c r="D76" s="386">
        <f t="shared" si="1"/>
        <v>13582.08</v>
      </c>
    </row>
    <row r="77" spans="3:4" x14ac:dyDescent="0.2">
      <c r="C77" s="383">
        <v>73</v>
      </c>
      <c r="D77" s="386">
        <f t="shared" si="1"/>
        <v>13748.82</v>
      </c>
    </row>
    <row r="78" spans="3:4" x14ac:dyDescent="0.2">
      <c r="C78" s="383">
        <v>74</v>
      </c>
      <c r="D78" s="386">
        <f t="shared" si="1"/>
        <v>13909.039999999999</v>
      </c>
    </row>
    <row r="79" spans="3:4" x14ac:dyDescent="0.2">
      <c r="C79" s="383">
        <v>75</v>
      </c>
      <c r="D79" s="386">
        <f t="shared" si="1"/>
        <v>14062.5</v>
      </c>
    </row>
    <row r="80" spans="3:4" x14ac:dyDescent="0.2">
      <c r="C80" s="383">
        <v>76</v>
      </c>
      <c r="D80" s="386">
        <f t="shared" si="1"/>
        <v>14208.96</v>
      </c>
    </row>
    <row r="81" spans="3:4" x14ac:dyDescent="0.2">
      <c r="C81" s="383">
        <v>77</v>
      </c>
      <c r="D81" s="386">
        <f t="shared" si="1"/>
        <v>14348.18</v>
      </c>
    </row>
    <row r="82" spans="3:4" x14ac:dyDescent="0.2">
      <c r="C82" s="383">
        <v>78</v>
      </c>
      <c r="D82" s="386">
        <f t="shared" si="1"/>
        <v>14479.919999999998</v>
      </c>
    </row>
    <row r="83" spans="3:4" x14ac:dyDescent="0.2">
      <c r="C83" s="383">
        <v>79</v>
      </c>
      <c r="D83" s="386">
        <f t="shared" si="1"/>
        <v>14603.939999999999</v>
      </c>
    </row>
    <row r="84" spans="3:4" x14ac:dyDescent="0.2">
      <c r="C84" s="383">
        <v>80</v>
      </c>
      <c r="D84" s="386">
        <f t="shared" si="1"/>
        <v>14720</v>
      </c>
    </row>
    <row r="85" spans="3:4" x14ac:dyDescent="0.2">
      <c r="C85" s="383">
        <v>81</v>
      </c>
      <c r="D85" s="386">
        <f t="shared" si="1"/>
        <v>14827.86</v>
      </c>
    </row>
    <row r="86" spans="3:4" x14ac:dyDescent="0.2">
      <c r="C86" s="383">
        <v>82</v>
      </c>
      <c r="D86" s="386">
        <f t="shared" si="1"/>
        <v>14927.279999999999</v>
      </c>
    </row>
    <row r="87" spans="3:4" x14ac:dyDescent="0.2">
      <c r="C87" s="383">
        <v>83</v>
      </c>
      <c r="D87" s="386">
        <f t="shared" si="1"/>
        <v>15018.02</v>
      </c>
    </row>
    <row r="88" spans="3:4" x14ac:dyDescent="0.2">
      <c r="C88" s="383">
        <v>84</v>
      </c>
      <c r="D88" s="386">
        <f t="shared" si="1"/>
        <v>15099.84</v>
      </c>
    </row>
    <row r="89" spans="3:4" x14ac:dyDescent="0.2">
      <c r="C89" s="383">
        <v>85</v>
      </c>
      <c r="D89" s="386">
        <f t="shared" si="1"/>
        <v>15172.5</v>
      </c>
    </row>
    <row r="90" spans="3:4" x14ac:dyDescent="0.2">
      <c r="C90" s="383">
        <v>86</v>
      </c>
      <c r="D90" s="386">
        <f t="shared" si="1"/>
        <v>15235.759999999998</v>
      </c>
    </row>
    <row r="91" spans="3:4" x14ac:dyDescent="0.2">
      <c r="C91" s="383">
        <v>87</v>
      </c>
      <c r="D91" s="386">
        <f t="shared" si="1"/>
        <v>15289.380000000001</v>
      </c>
    </row>
    <row r="92" spans="3:4" x14ac:dyDescent="0.2">
      <c r="C92" s="383">
        <v>88</v>
      </c>
      <c r="D92" s="386">
        <f t="shared" si="1"/>
        <v>15333.119999999999</v>
      </c>
    </row>
    <row r="93" spans="3:4" x14ac:dyDescent="0.2">
      <c r="C93" s="383">
        <v>89</v>
      </c>
      <c r="D93" s="386">
        <f t="shared" si="1"/>
        <v>15366.739999999998</v>
      </c>
    </row>
    <row r="94" spans="3:4" x14ac:dyDescent="0.2">
      <c r="C94" s="383">
        <v>90</v>
      </c>
      <c r="D94" s="386">
        <f t="shared" si="1"/>
        <v>15390</v>
      </c>
    </row>
    <row r="95" spans="3:4" x14ac:dyDescent="0.2">
      <c r="C95" s="383">
        <v>91</v>
      </c>
      <c r="D95" s="386">
        <f t="shared" si="1"/>
        <v>15402.66</v>
      </c>
    </row>
    <row r="96" spans="3:4" x14ac:dyDescent="0.2">
      <c r="C96" s="383">
        <v>92</v>
      </c>
      <c r="D96" s="386">
        <f t="shared" si="1"/>
        <v>15404.48</v>
      </c>
    </row>
    <row r="97" spans="3:4" x14ac:dyDescent="0.2">
      <c r="C97" s="383">
        <v>93</v>
      </c>
      <c r="D97" s="386">
        <f t="shared" si="1"/>
        <v>15395.219999999998</v>
      </c>
    </row>
    <row r="98" spans="3:4" x14ac:dyDescent="0.2">
      <c r="C98" s="383">
        <v>94</v>
      </c>
      <c r="D98" s="386">
        <f t="shared" si="1"/>
        <v>15374.64</v>
      </c>
    </row>
    <row r="99" spans="3:4" x14ac:dyDescent="0.2">
      <c r="C99" s="383">
        <v>95</v>
      </c>
      <c r="D99" s="386">
        <f t="shared" si="1"/>
        <v>15342.5</v>
      </c>
    </row>
    <row r="100" spans="3:4" x14ac:dyDescent="0.2">
      <c r="C100" s="383">
        <v>96</v>
      </c>
      <c r="D100" s="386">
        <f>$A$4*C100^3+$A$6*C100^2</f>
        <v>15298.559999999998</v>
      </c>
    </row>
    <row r="101" spans="3:4" x14ac:dyDescent="0.2">
      <c r="C101" s="383">
        <v>97</v>
      </c>
      <c r="D101" s="386">
        <f>$A$4*C101^3+$A$6*C101^2</f>
        <v>15242.580000000002</v>
      </c>
    </row>
    <row r="102" spans="3:4" x14ac:dyDescent="0.2">
      <c r="C102" s="383">
        <v>98</v>
      </c>
      <c r="D102" s="386">
        <f>$A$4*C102^3+$A$6*C102^2</f>
        <v>15174.32</v>
      </c>
    </row>
    <row r="103" spans="3:4" x14ac:dyDescent="0.2">
      <c r="C103" s="383">
        <v>99</v>
      </c>
      <c r="D103" s="386">
        <f>$A$4*C103^3+$A$6*C103^2</f>
        <v>15093.54</v>
      </c>
    </row>
    <row r="104" spans="3:4" x14ac:dyDescent="0.2">
      <c r="C104" s="383">
        <v>100</v>
      </c>
      <c r="D104" s="386">
        <f>$A$4*C104^3+$A$6*C104^2</f>
        <v>15000</v>
      </c>
    </row>
    <row r="105" spans="3:4" x14ac:dyDescent="0.2">
      <c r="C105" s="383">
        <v>101</v>
      </c>
      <c r="D105" s="386">
        <f t="shared" ref="D105:D119" si="2">$A$4*C105^3+$A$6*C105^2</f>
        <v>14893.46</v>
      </c>
    </row>
    <row r="106" spans="3:4" x14ac:dyDescent="0.2">
      <c r="C106" s="383">
        <v>102</v>
      </c>
      <c r="D106" s="386">
        <f t="shared" si="2"/>
        <v>14773.68</v>
      </c>
    </row>
    <row r="107" spans="3:4" x14ac:dyDescent="0.2">
      <c r="C107" s="383">
        <v>103</v>
      </c>
      <c r="D107" s="386">
        <f t="shared" si="2"/>
        <v>14640.419999999998</v>
      </c>
    </row>
    <row r="108" spans="3:4" x14ac:dyDescent="0.2">
      <c r="C108" s="383">
        <v>104</v>
      </c>
      <c r="D108" s="386">
        <f t="shared" si="2"/>
        <v>14493.440000000002</v>
      </c>
    </row>
    <row r="109" spans="3:4" x14ac:dyDescent="0.2">
      <c r="C109" s="383">
        <v>105</v>
      </c>
      <c r="D109" s="386">
        <f t="shared" si="2"/>
        <v>14332.5</v>
      </c>
    </row>
    <row r="110" spans="3:4" x14ac:dyDescent="0.2">
      <c r="C110" s="383">
        <v>106</v>
      </c>
      <c r="D110" s="386">
        <f t="shared" si="2"/>
        <v>14157.36</v>
      </c>
    </row>
    <row r="111" spans="3:4" x14ac:dyDescent="0.2">
      <c r="C111" s="383">
        <v>107</v>
      </c>
      <c r="D111" s="386">
        <f t="shared" si="2"/>
        <v>13967.779999999999</v>
      </c>
    </row>
    <row r="112" spans="3:4" x14ac:dyDescent="0.2">
      <c r="C112" s="383">
        <v>108</v>
      </c>
      <c r="D112" s="386">
        <f>$A$4*C112^3+$A$6*C112^2</f>
        <v>13763.519999999997</v>
      </c>
    </row>
    <row r="113" spans="3:4" x14ac:dyDescent="0.2">
      <c r="C113" s="383">
        <v>109</v>
      </c>
      <c r="D113" s="386">
        <f t="shared" si="2"/>
        <v>13544.339999999997</v>
      </c>
    </row>
    <row r="114" spans="3:4" x14ac:dyDescent="0.2">
      <c r="C114" s="383">
        <v>110</v>
      </c>
      <c r="D114" s="386">
        <f t="shared" si="2"/>
        <v>13310</v>
      </c>
    </row>
    <row r="115" spans="3:4" x14ac:dyDescent="0.2">
      <c r="C115" s="383">
        <v>111</v>
      </c>
      <c r="D115" s="386">
        <f t="shared" si="2"/>
        <v>13060.260000000002</v>
      </c>
    </row>
    <row r="116" spans="3:4" x14ac:dyDescent="0.2">
      <c r="C116" s="383">
        <v>112</v>
      </c>
      <c r="D116" s="386">
        <f t="shared" si="2"/>
        <v>12794.879999999997</v>
      </c>
    </row>
    <row r="117" spans="3:4" x14ac:dyDescent="0.2">
      <c r="C117" s="383">
        <v>113</v>
      </c>
      <c r="D117" s="386">
        <f t="shared" si="2"/>
        <v>12513.619999999995</v>
      </c>
    </row>
    <row r="118" spans="3:4" x14ac:dyDescent="0.2">
      <c r="C118" s="383">
        <v>114</v>
      </c>
      <c r="D118" s="386">
        <f t="shared" si="2"/>
        <v>12216.239999999998</v>
      </c>
    </row>
    <row r="119" spans="3:4" x14ac:dyDescent="0.2">
      <c r="C119" s="383">
        <v>115</v>
      </c>
      <c r="D119" s="386">
        <f t="shared" si="2"/>
        <v>11902.5</v>
      </c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8C588-9A15-4AA7-B474-330D3991045E}">
  <sheetPr>
    <tabColor theme="3"/>
  </sheetPr>
  <dimension ref="A1:F25"/>
  <sheetViews>
    <sheetView workbookViewId="0">
      <selection sqref="A1:B1"/>
    </sheetView>
  </sheetViews>
  <sheetFormatPr defaultRowHeight="15" x14ac:dyDescent="0.25"/>
  <cols>
    <col min="1" max="4" width="9.140625" style="311"/>
    <col min="5" max="5" width="11.7109375" style="311" customWidth="1"/>
    <col min="6" max="16384" width="9.140625" style="311"/>
  </cols>
  <sheetData>
    <row r="1" spans="1:6" ht="21" x14ac:dyDescent="0.3">
      <c r="A1" s="423" t="s">
        <v>375</v>
      </c>
      <c r="B1" s="423"/>
      <c r="C1" s="173"/>
    </row>
    <row r="3" spans="1:6" x14ac:dyDescent="0.25">
      <c r="E3" s="37" t="s">
        <v>376</v>
      </c>
      <c r="F3" s="311" t="s">
        <v>377</v>
      </c>
    </row>
    <row r="4" spans="1:6" x14ac:dyDescent="0.25">
      <c r="A4" s="311" t="s">
        <v>376</v>
      </c>
      <c r="D4" s="310" t="s">
        <v>370</v>
      </c>
      <c r="E4" s="95" t="s">
        <v>371</v>
      </c>
      <c r="F4" s="310" t="s">
        <v>371</v>
      </c>
    </row>
    <row r="5" spans="1:6" x14ac:dyDescent="0.25">
      <c r="A5" s="311" t="s">
        <v>373</v>
      </c>
      <c r="B5" s="311">
        <v>0.2</v>
      </c>
      <c r="D5" s="311">
        <v>0</v>
      </c>
      <c r="E5" s="37">
        <f>$B$5*D5^2+$B$6*D5+$B$7</f>
        <v>15</v>
      </c>
      <c r="F5" s="311">
        <f>$B$12*D5^2+$B$13*D5+$B$14</f>
        <v>2.2000000000000002</v>
      </c>
    </row>
    <row r="6" spans="1:6" x14ac:dyDescent="0.25">
      <c r="A6" s="311" t="s">
        <v>374</v>
      </c>
      <c r="B6" s="311">
        <v>-3.2</v>
      </c>
      <c r="D6" s="311">
        <v>1</v>
      </c>
      <c r="E6" s="37">
        <f t="shared" ref="E6:E25" si="0">$B$5*D6^2+$B$6*D6+$B$7</f>
        <v>12</v>
      </c>
      <c r="F6" s="311">
        <f t="shared" ref="F6:F25" si="1">$B$12*D6^2+$B$13*D6+$B$14</f>
        <v>5.2</v>
      </c>
    </row>
    <row r="7" spans="1:6" x14ac:dyDescent="0.25">
      <c r="A7" s="311" t="s">
        <v>378</v>
      </c>
      <c r="B7" s="311">
        <v>15</v>
      </c>
      <c r="D7" s="311">
        <v>2</v>
      </c>
      <c r="E7" s="37">
        <f t="shared" si="0"/>
        <v>9.3999999999999986</v>
      </c>
      <c r="F7" s="311">
        <f t="shared" si="1"/>
        <v>7.8000000000000007</v>
      </c>
    </row>
    <row r="8" spans="1:6" x14ac:dyDescent="0.25">
      <c r="D8" s="311">
        <v>3</v>
      </c>
      <c r="E8" s="37">
        <f t="shared" si="0"/>
        <v>7.1999999999999984</v>
      </c>
      <c r="F8" s="311">
        <f t="shared" si="1"/>
        <v>10.000000000000002</v>
      </c>
    </row>
    <row r="9" spans="1:6" x14ac:dyDescent="0.25">
      <c r="D9" s="311">
        <v>4</v>
      </c>
      <c r="E9" s="37">
        <f t="shared" si="0"/>
        <v>5.3999999999999986</v>
      </c>
      <c r="F9" s="311">
        <f t="shared" si="1"/>
        <v>11.8</v>
      </c>
    </row>
    <row r="10" spans="1:6" x14ac:dyDescent="0.25">
      <c r="A10" s="311" t="s">
        <v>377</v>
      </c>
      <c r="D10" s="311">
        <v>5</v>
      </c>
      <c r="E10" s="37">
        <f t="shared" si="0"/>
        <v>4</v>
      </c>
      <c r="F10" s="311">
        <f t="shared" si="1"/>
        <v>13.2</v>
      </c>
    </row>
    <row r="11" spans="1:6" x14ac:dyDescent="0.25">
      <c r="D11" s="311">
        <v>6</v>
      </c>
      <c r="E11" s="37">
        <f t="shared" si="0"/>
        <v>2.9999999999999964</v>
      </c>
      <c r="F11" s="311">
        <f t="shared" si="1"/>
        <v>14.200000000000003</v>
      </c>
    </row>
    <row r="12" spans="1:6" x14ac:dyDescent="0.25">
      <c r="A12" s="311" t="s">
        <v>373</v>
      </c>
      <c r="B12" s="311">
        <v>-0.2</v>
      </c>
      <c r="D12" s="311">
        <v>7</v>
      </c>
      <c r="E12" s="37">
        <f t="shared" si="0"/>
        <v>2.3999999999999986</v>
      </c>
      <c r="F12" s="311">
        <f t="shared" si="1"/>
        <v>14.8</v>
      </c>
    </row>
    <row r="13" spans="1:6" x14ac:dyDescent="0.25">
      <c r="A13" s="311" t="s">
        <v>374</v>
      </c>
      <c r="B13" s="311">
        <v>3.2</v>
      </c>
      <c r="D13" s="311">
        <v>8</v>
      </c>
      <c r="E13" s="37">
        <f t="shared" si="0"/>
        <v>2.1999999999999993</v>
      </c>
      <c r="F13" s="311">
        <f t="shared" si="1"/>
        <v>15</v>
      </c>
    </row>
    <row r="14" spans="1:6" x14ac:dyDescent="0.25">
      <c r="A14" s="311" t="s">
        <v>378</v>
      </c>
      <c r="B14" s="311">
        <v>2.2000000000000002</v>
      </c>
      <c r="D14" s="311">
        <v>9</v>
      </c>
      <c r="E14" s="37">
        <f t="shared" si="0"/>
        <v>2.3999999999999986</v>
      </c>
      <c r="F14" s="311">
        <f t="shared" si="1"/>
        <v>14.8</v>
      </c>
    </row>
    <row r="15" spans="1:6" x14ac:dyDescent="0.25">
      <c r="D15" s="311">
        <v>10</v>
      </c>
      <c r="E15" s="37">
        <f t="shared" si="0"/>
        <v>3</v>
      </c>
      <c r="F15" s="311">
        <f t="shared" si="1"/>
        <v>14.2</v>
      </c>
    </row>
    <row r="16" spans="1:6" x14ac:dyDescent="0.25">
      <c r="D16" s="311">
        <v>11</v>
      </c>
      <c r="E16" s="37">
        <f t="shared" si="0"/>
        <v>4</v>
      </c>
      <c r="F16" s="311">
        <f t="shared" si="1"/>
        <v>13.2</v>
      </c>
    </row>
    <row r="17" spans="4:6" x14ac:dyDescent="0.25">
      <c r="D17" s="311">
        <v>12</v>
      </c>
      <c r="E17" s="37">
        <f t="shared" si="0"/>
        <v>5.399999999999995</v>
      </c>
      <c r="F17" s="311">
        <f t="shared" si="1"/>
        <v>11.800000000000004</v>
      </c>
    </row>
    <row r="18" spans="4:6" x14ac:dyDescent="0.25">
      <c r="D18" s="311">
        <v>13</v>
      </c>
      <c r="E18" s="37">
        <f t="shared" si="0"/>
        <v>7.2000000000000028</v>
      </c>
      <c r="F18" s="311">
        <f t="shared" si="1"/>
        <v>9.9999999999999964</v>
      </c>
    </row>
    <row r="19" spans="4:6" x14ac:dyDescent="0.25">
      <c r="D19" s="311">
        <v>14</v>
      </c>
      <c r="E19" s="37">
        <f t="shared" si="0"/>
        <v>9.3999999999999986</v>
      </c>
      <c r="F19" s="311">
        <f t="shared" si="1"/>
        <v>7.8000000000000016</v>
      </c>
    </row>
    <row r="20" spans="4:6" x14ac:dyDescent="0.25">
      <c r="D20" s="311">
        <v>15</v>
      </c>
      <c r="E20" s="37">
        <f t="shared" si="0"/>
        <v>12</v>
      </c>
      <c r="F20" s="311">
        <f t="shared" si="1"/>
        <v>5.2</v>
      </c>
    </row>
    <row r="21" spans="4:6" x14ac:dyDescent="0.25">
      <c r="D21" s="311">
        <v>16</v>
      </c>
      <c r="E21" s="37">
        <f t="shared" si="0"/>
        <v>15</v>
      </c>
      <c r="F21" s="311">
        <f t="shared" si="1"/>
        <v>2.2000000000000002</v>
      </c>
    </row>
    <row r="22" spans="4:6" x14ac:dyDescent="0.25">
      <c r="D22" s="311">
        <v>17</v>
      </c>
      <c r="E22" s="37">
        <f t="shared" si="0"/>
        <v>18.399999999999999</v>
      </c>
      <c r="F22" s="311">
        <f t="shared" si="1"/>
        <v>-1.1999999999999984</v>
      </c>
    </row>
    <row r="23" spans="4:6" x14ac:dyDescent="0.25">
      <c r="D23" s="311">
        <v>18</v>
      </c>
      <c r="E23" s="37">
        <f t="shared" si="0"/>
        <v>22.199999999999996</v>
      </c>
      <c r="F23" s="311">
        <f t="shared" si="1"/>
        <v>-4.9999999999999956</v>
      </c>
    </row>
    <row r="24" spans="4:6" x14ac:dyDescent="0.25">
      <c r="D24" s="311">
        <v>19</v>
      </c>
      <c r="E24" s="37">
        <f t="shared" si="0"/>
        <v>26.4</v>
      </c>
      <c r="F24" s="311">
        <f t="shared" si="1"/>
        <v>-9.1999999999999993</v>
      </c>
    </row>
    <row r="25" spans="4:6" x14ac:dyDescent="0.25">
      <c r="D25" s="311">
        <v>20</v>
      </c>
      <c r="E25" s="37">
        <f t="shared" si="0"/>
        <v>31</v>
      </c>
      <c r="F25" s="311">
        <f t="shared" si="1"/>
        <v>-13.8</v>
      </c>
    </row>
  </sheetData>
  <mergeCells count="1">
    <mergeCell ref="A1:B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76C5-FE4A-47F0-AC7A-60DE529F23EB}">
  <sheetPr>
    <tabColor theme="3"/>
  </sheetPr>
  <dimension ref="A1:J22"/>
  <sheetViews>
    <sheetView workbookViewId="0">
      <selection activeCell="K23" sqref="K23"/>
    </sheetView>
  </sheetViews>
  <sheetFormatPr defaultRowHeight="15" x14ac:dyDescent="0.25"/>
  <cols>
    <col min="1" max="1" width="4.5703125" style="311" customWidth="1"/>
    <col min="2" max="2" width="4.7109375" style="311" customWidth="1"/>
    <col min="3" max="3" width="3.85546875" style="311" customWidth="1"/>
    <col min="4" max="4" width="5.7109375" style="311" customWidth="1"/>
    <col min="5" max="5" width="8.140625" style="311" customWidth="1"/>
    <col min="6" max="6" width="8.7109375" style="311" customWidth="1"/>
    <col min="7" max="7" width="5.85546875" style="311" customWidth="1"/>
    <col min="8" max="8" width="6.140625" style="311" customWidth="1"/>
    <col min="9" max="9" width="6.28515625" style="311" customWidth="1"/>
    <col min="10" max="10" width="6" style="311" customWidth="1"/>
    <col min="11" max="16384" width="9.140625" style="311"/>
  </cols>
  <sheetData>
    <row r="1" spans="1:10" x14ac:dyDescent="0.25">
      <c r="A1" s="311" t="s">
        <v>370</v>
      </c>
      <c r="B1" s="311" t="s">
        <v>371</v>
      </c>
      <c r="C1" s="398" t="s">
        <v>379</v>
      </c>
      <c r="D1" s="398"/>
      <c r="E1" s="311" t="s">
        <v>380</v>
      </c>
      <c r="F1" s="311" t="s">
        <v>381</v>
      </c>
      <c r="G1" s="398" t="s">
        <v>382</v>
      </c>
      <c r="H1" s="398"/>
      <c r="I1" s="398" t="s">
        <v>383</v>
      </c>
      <c r="J1" s="398"/>
    </row>
    <row r="2" spans="1:10" x14ac:dyDescent="0.25">
      <c r="A2" s="48">
        <v>1</v>
      </c>
      <c r="B2" s="48">
        <v>100</v>
      </c>
      <c r="C2" s="48">
        <v>0</v>
      </c>
      <c r="D2" s="48">
        <v>100</v>
      </c>
      <c r="E2" s="48">
        <v>0</v>
      </c>
      <c r="F2" s="48">
        <v>-40</v>
      </c>
      <c r="G2" s="48">
        <v>22</v>
      </c>
      <c r="H2" s="48">
        <v>10</v>
      </c>
      <c r="I2" s="48">
        <v>22</v>
      </c>
      <c r="J2" s="48">
        <v>-5</v>
      </c>
    </row>
    <row r="3" spans="1:10" x14ac:dyDescent="0.25">
      <c r="A3" s="48">
        <v>2</v>
      </c>
      <c r="B3" s="48">
        <v>75</v>
      </c>
      <c r="C3" s="48">
        <v>1</v>
      </c>
      <c r="D3" s="48">
        <v>100</v>
      </c>
      <c r="E3" s="48">
        <v>0</v>
      </c>
      <c r="F3" s="48">
        <v>-40</v>
      </c>
      <c r="G3" s="48">
        <v>22</v>
      </c>
      <c r="H3" s="48">
        <v>90</v>
      </c>
      <c r="I3" s="48">
        <v>22</v>
      </c>
      <c r="J3" s="48">
        <v>-35</v>
      </c>
    </row>
    <row r="4" spans="1:10" x14ac:dyDescent="0.25">
      <c r="A4" s="48">
        <v>3</v>
      </c>
      <c r="B4" s="48">
        <v>55</v>
      </c>
      <c r="C4" s="48">
        <v>2</v>
      </c>
      <c r="D4" s="48">
        <v>100</v>
      </c>
      <c r="E4" s="48">
        <v>0</v>
      </c>
      <c r="F4" s="48">
        <v>-40</v>
      </c>
      <c r="G4" s="48"/>
      <c r="H4" s="48"/>
      <c r="I4" s="48"/>
    </row>
    <row r="5" spans="1:10" x14ac:dyDescent="0.25">
      <c r="A5" s="48">
        <v>4</v>
      </c>
      <c r="B5" s="48">
        <v>37</v>
      </c>
      <c r="C5" s="48">
        <v>3</v>
      </c>
      <c r="D5" s="48">
        <v>100</v>
      </c>
      <c r="E5" s="48">
        <v>0</v>
      </c>
      <c r="F5" s="48">
        <v>-40</v>
      </c>
      <c r="G5" s="48"/>
      <c r="H5" s="48"/>
      <c r="I5" s="48"/>
    </row>
    <row r="6" spans="1:10" x14ac:dyDescent="0.25">
      <c r="A6" s="48">
        <v>5</v>
      </c>
      <c r="B6" s="48">
        <v>25</v>
      </c>
      <c r="C6" s="48">
        <v>4</v>
      </c>
      <c r="D6" s="48">
        <v>100</v>
      </c>
      <c r="E6" s="48">
        <v>0</v>
      </c>
      <c r="F6" s="48">
        <v>-40</v>
      </c>
      <c r="G6" s="48"/>
      <c r="H6" s="48"/>
      <c r="I6" s="48"/>
    </row>
    <row r="7" spans="1:10" x14ac:dyDescent="0.25">
      <c r="A7" s="48">
        <v>6</v>
      </c>
      <c r="B7" s="48">
        <v>17</v>
      </c>
      <c r="C7" s="48">
        <v>5</v>
      </c>
      <c r="D7" s="48">
        <v>100</v>
      </c>
      <c r="E7" s="48">
        <v>0</v>
      </c>
      <c r="F7" s="48">
        <v>-40</v>
      </c>
      <c r="G7" s="48"/>
      <c r="H7" s="48"/>
      <c r="I7" s="48"/>
    </row>
    <row r="8" spans="1:10" x14ac:dyDescent="0.25">
      <c r="A8" s="48">
        <v>7</v>
      </c>
      <c r="B8" s="48">
        <v>12</v>
      </c>
      <c r="C8" s="48">
        <v>6</v>
      </c>
      <c r="D8" s="48">
        <v>100</v>
      </c>
      <c r="E8" s="48">
        <v>0</v>
      </c>
      <c r="F8" s="48">
        <v>-40</v>
      </c>
      <c r="G8" s="48"/>
      <c r="H8" s="48"/>
      <c r="I8" s="48"/>
    </row>
    <row r="9" spans="1:10" x14ac:dyDescent="0.25">
      <c r="A9" s="48">
        <v>8</v>
      </c>
      <c r="B9" s="48">
        <v>8.25</v>
      </c>
      <c r="C9" s="48">
        <v>7</v>
      </c>
      <c r="D9" s="48">
        <v>100</v>
      </c>
      <c r="E9" s="48">
        <v>0</v>
      </c>
      <c r="F9" s="48">
        <v>-40</v>
      </c>
      <c r="G9" s="48"/>
      <c r="H9" s="48"/>
      <c r="I9" s="48"/>
    </row>
    <row r="10" spans="1:10" x14ac:dyDescent="0.25">
      <c r="A10" s="48">
        <v>9</v>
      </c>
      <c r="B10" s="48">
        <v>5.5</v>
      </c>
      <c r="C10" s="48">
        <v>8</v>
      </c>
      <c r="D10" s="48">
        <v>100</v>
      </c>
      <c r="E10" s="48">
        <v>0</v>
      </c>
      <c r="F10" s="48">
        <v>-40</v>
      </c>
      <c r="G10" s="48"/>
      <c r="H10" s="48"/>
      <c r="I10" s="48"/>
    </row>
    <row r="11" spans="1:10" x14ac:dyDescent="0.25">
      <c r="A11" s="48">
        <v>10</v>
      </c>
      <c r="B11" s="48">
        <v>4</v>
      </c>
      <c r="C11" s="48">
        <v>9</v>
      </c>
      <c r="D11" s="48">
        <v>100</v>
      </c>
      <c r="E11" s="48">
        <v>0</v>
      </c>
      <c r="F11" s="48">
        <v>-40</v>
      </c>
      <c r="G11" s="48"/>
      <c r="H11" s="48"/>
      <c r="I11" s="48"/>
    </row>
    <row r="12" spans="1:10" x14ac:dyDescent="0.25">
      <c r="A12" s="48">
        <v>11</v>
      </c>
      <c r="B12" s="48">
        <v>3.2</v>
      </c>
      <c r="C12" s="48">
        <v>10</v>
      </c>
      <c r="D12" s="48">
        <v>100</v>
      </c>
      <c r="E12" s="48">
        <v>0</v>
      </c>
      <c r="F12" s="48">
        <v>-40</v>
      </c>
      <c r="G12" s="48"/>
      <c r="H12" s="48"/>
      <c r="I12" s="48"/>
    </row>
    <row r="13" spans="1:10" x14ac:dyDescent="0.25">
      <c r="A13" s="48">
        <v>12</v>
      </c>
      <c r="B13" s="48">
        <v>2.7</v>
      </c>
      <c r="C13" s="48">
        <v>11</v>
      </c>
      <c r="D13" s="48">
        <v>100</v>
      </c>
      <c r="E13" s="48">
        <v>0</v>
      </c>
      <c r="F13" s="48">
        <v>-40</v>
      </c>
      <c r="G13" s="48"/>
      <c r="H13" s="48"/>
      <c r="I13" s="48"/>
    </row>
    <row r="14" spans="1:10" x14ac:dyDescent="0.25">
      <c r="A14" s="48">
        <v>13</v>
      </c>
      <c r="B14" s="48">
        <v>2.2999999999999998</v>
      </c>
      <c r="C14" s="48">
        <v>12</v>
      </c>
      <c r="D14" s="48">
        <v>100</v>
      </c>
      <c r="E14" s="48">
        <v>0</v>
      </c>
      <c r="F14" s="48">
        <v>-40</v>
      </c>
      <c r="G14" s="48"/>
      <c r="H14" s="48"/>
      <c r="I14" s="48"/>
    </row>
    <row r="15" spans="1:10" x14ac:dyDescent="0.25">
      <c r="A15" s="48">
        <v>14</v>
      </c>
      <c r="B15" s="48">
        <v>1.9</v>
      </c>
      <c r="C15" s="48">
        <v>13</v>
      </c>
      <c r="D15" s="48">
        <v>100</v>
      </c>
      <c r="E15" s="48">
        <v>0</v>
      </c>
      <c r="F15" s="48">
        <v>-40</v>
      </c>
      <c r="G15" s="48"/>
      <c r="H15" s="48"/>
      <c r="I15" s="48"/>
    </row>
    <row r="16" spans="1:10" x14ac:dyDescent="0.25">
      <c r="A16" s="48">
        <v>15</v>
      </c>
      <c r="B16" s="48">
        <v>1.7</v>
      </c>
      <c r="C16" s="48">
        <v>14</v>
      </c>
      <c r="D16" s="48">
        <v>100</v>
      </c>
      <c r="E16" s="48">
        <v>0</v>
      </c>
      <c r="F16" s="48">
        <v>-40</v>
      </c>
      <c r="G16" s="48"/>
      <c r="H16" s="48"/>
      <c r="I16" s="48"/>
    </row>
    <row r="17" spans="1:9" x14ac:dyDescent="0.25">
      <c r="A17" s="48">
        <v>16</v>
      </c>
      <c r="B17" s="48">
        <v>1.5</v>
      </c>
      <c r="C17" s="48">
        <v>15</v>
      </c>
      <c r="D17" s="48">
        <v>100</v>
      </c>
      <c r="E17" s="48">
        <v>0</v>
      </c>
      <c r="F17" s="48">
        <v>-40</v>
      </c>
      <c r="G17" s="48"/>
      <c r="H17" s="48"/>
      <c r="I17" s="48"/>
    </row>
    <row r="18" spans="1:9" x14ac:dyDescent="0.25">
      <c r="A18" s="48">
        <v>17</v>
      </c>
      <c r="B18" s="48">
        <v>1.3</v>
      </c>
      <c r="C18" s="48">
        <v>16</v>
      </c>
      <c r="D18" s="48">
        <v>100</v>
      </c>
      <c r="E18" s="48">
        <v>0</v>
      </c>
      <c r="F18" s="48">
        <v>-40</v>
      </c>
      <c r="G18" s="48"/>
      <c r="H18" s="48"/>
      <c r="I18" s="48"/>
    </row>
    <row r="19" spans="1:9" x14ac:dyDescent="0.25">
      <c r="A19" s="48">
        <v>18</v>
      </c>
      <c r="B19" s="48">
        <v>1.2</v>
      </c>
      <c r="C19" s="48">
        <v>17</v>
      </c>
      <c r="D19" s="48">
        <v>100</v>
      </c>
      <c r="E19" s="48">
        <v>0</v>
      </c>
      <c r="F19" s="48">
        <v>-40</v>
      </c>
      <c r="G19" s="48"/>
      <c r="H19" s="48"/>
      <c r="I19" s="48"/>
    </row>
    <row r="20" spans="1:9" x14ac:dyDescent="0.25">
      <c r="A20" s="48">
        <v>19</v>
      </c>
      <c r="B20" s="48">
        <v>1.1000000000000001</v>
      </c>
      <c r="C20" s="48">
        <v>18</v>
      </c>
      <c r="D20" s="48">
        <v>100</v>
      </c>
      <c r="E20" s="48">
        <v>0</v>
      </c>
      <c r="F20" s="48">
        <v>-40</v>
      </c>
      <c r="G20" s="48"/>
      <c r="H20" s="48"/>
      <c r="I20" s="48"/>
    </row>
    <row r="21" spans="1:9" x14ac:dyDescent="0.25">
      <c r="A21" s="48">
        <v>20</v>
      </c>
      <c r="B21" s="48">
        <v>1</v>
      </c>
      <c r="C21" s="48">
        <v>19</v>
      </c>
      <c r="D21" s="48">
        <v>100</v>
      </c>
      <c r="E21" s="48">
        <v>0</v>
      </c>
      <c r="F21" s="48">
        <v>-40</v>
      </c>
      <c r="G21" s="48"/>
      <c r="H21" s="48"/>
      <c r="I21" s="48"/>
    </row>
    <row r="22" spans="1:9" x14ac:dyDescent="0.25">
      <c r="A22" s="48"/>
      <c r="B22" s="48"/>
      <c r="C22" s="48">
        <v>20</v>
      </c>
      <c r="D22" s="48">
        <v>100</v>
      </c>
      <c r="E22" s="48">
        <v>0</v>
      </c>
      <c r="F22" s="48">
        <v>-40</v>
      </c>
      <c r="G22" s="48"/>
      <c r="H22" s="48"/>
      <c r="I22" s="48"/>
    </row>
  </sheetData>
  <mergeCells count="3">
    <mergeCell ref="C1:D1"/>
    <mergeCell ref="G1:H1"/>
    <mergeCell ref="I1:J1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26E9178-9FEA-46AD-921E-78483005C9CE}"/>
</file>

<file path=customXml/itemProps2.xml><?xml version="1.0" encoding="utf-8"?>
<ds:datastoreItem xmlns:ds="http://schemas.openxmlformats.org/officeDocument/2006/customXml" ds:itemID="{10A4E4A5-8222-44E7-94AC-1C41BC9E740A}"/>
</file>

<file path=customXml/itemProps3.xml><?xml version="1.0" encoding="utf-8"?>
<ds:datastoreItem xmlns:ds="http://schemas.openxmlformats.org/officeDocument/2006/customXml" ds:itemID="{56B55A2E-61A9-4CB5-9719-E3984C9D1004}"/>
</file>

<file path=customXml/itemProps4.xml><?xml version="1.0" encoding="utf-8"?>
<ds:datastoreItem xmlns:ds="http://schemas.openxmlformats.org/officeDocument/2006/customXml" ds:itemID="{D2AD9317-D7CD-4DB2-A2B7-8836EECB63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6</vt:i4>
      </vt:variant>
    </vt:vector>
  </HeadingPairs>
  <TitlesOfParts>
    <vt:vector size="28" baseType="lpstr">
      <vt:lpstr>2 Final WACC</vt:lpstr>
      <vt:lpstr>3 Proxy Sum</vt:lpstr>
      <vt:lpstr>4 Stock Price</vt:lpstr>
      <vt:lpstr>5 Div Yields</vt:lpstr>
      <vt:lpstr>6 Growth Determinants</vt:lpstr>
      <vt:lpstr>7 DCF Result</vt:lpstr>
      <vt:lpstr>8 Risk Free Rate</vt:lpstr>
      <vt:lpstr>9 Beta</vt:lpstr>
      <vt:lpstr>10 Implied ERP</vt:lpstr>
      <vt:lpstr>11 ERP Result</vt:lpstr>
      <vt:lpstr>12 CAPM Result</vt:lpstr>
      <vt:lpstr>13 COE Summary</vt:lpstr>
      <vt:lpstr>14 Market COE</vt:lpstr>
      <vt:lpstr>15 Historic ROE</vt:lpstr>
      <vt:lpstr>16 Optimal Cap Structure</vt:lpstr>
      <vt:lpstr>17 Competitive Debt Ratios</vt:lpstr>
      <vt:lpstr>18 Proxy Debt Ratios</vt:lpstr>
      <vt:lpstr>Fig Industry Betas</vt:lpstr>
      <vt:lpstr>Fig CAPM Graph</vt:lpstr>
      <vt:lpstr>Fig Bus Cycle</vt:lpstr>
      <vt:lpstr>Fig Opt. WACC</vt:lpstr>
      <vt:lpstr>Fig Diversify</vt:lpstr>
      <vt:lpstr>'11 ERP Result'!Print_Area</vt:lpstr>
      <vt:lpstr>'15 Historic ROE'!Print_Area</vt:lpstr>
      <vt:lpstr>'16 Optimal Cap Structure'!Print_Area</vt:lpstr>
      <vt:lpstr>'17 Competitive Debt Ratios'!Print_Area</vt:lpstr>
      <vt:lpstr>'2 Final WACC'!Print_Area</vt:lpstr>
      <vt:lpstr>'Fig Bus Cycle'!Print_Area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2017-11-01T15:11:40Z</dcterms:created>
  <dcterms:modified xsi:type="dcterms:W3CDTF">2017-11-01T15:11:57Z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