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Electric Deferral" sheetId="1" r:id="rId1"/>
    <sheet name="Nat Gas Deferral" sheetId="2" r:id="rId2"/>
    <sheet name="Accounting Balances" sheetId="3" r:id="rId3"/>
    <sheet name="Notes" sheetId="4" r:id="rId4"/>
  </sheets>
  <definedNames>
    <definedName name="_xlnm.Print_Area" localSheetId="2">'Accounting Balances'!$A$1:$H$144</definedName>
    <definedName name="_xlnm.Print_Area" localSheetId="3">Notes!$A$1:$J$31</definedName>
  </definedNames>
  <calcPr calcId="152511"/>
</workbook>
</file>

<file path=xl/calcChain.xml><?xml version="1.0" encoding="utf-8"?>
<calcChain xmlns="http://schemas.openxmlformats.org/spreadsheetml/2006/main">
  <c r="J46" i="3" l="1"/>
  <c r="J43" i="3"/>
  <c r="K43" i="3" s="1"/>
  <c r="J44" i="3"/>
  <c r="K44" i="3" s="1"/>
  <c r="J42" i="3"/>
  <c r="K42" i="3" s="1"/>
  <c r="P28" i="2"/>
  <c r="P9" i="2"/>
  <c r="Q28" i="2"/>
  <c r="Q9" i="2"/>
  <c r="P32" i="1"/>
  <c r="P9" i="1"/>
  <c r="J47" i="3" l="1"/>
  <c r="K47" i="3" s="1"/>
  <c r="J48" i="3"/>
  <c r="K48" i="3" s="1"/>
  <c r="K46" i="3"/>
  <c r="C53" i="1" l="1"/>
  <c r="C50" i="1"/>
  <c r="D46" i="1"/>
  <c r="E46" i="1" s="1"/>
  <c r="F46" i="1" s="1"/>
  <c r="G46" i="1" s="1"/>
  <c r="H46" i="1" s="1"/>
  <c r="I46" i="1" s="1"/>
  <c r="K46" i="1" s="1"/>
  <c r="L46" i="1" s="1"/>
  <c r="M46" i="1" s="1"/>
  <c r="N46" i="1" s="1"/>
  <c r="O46" i="1" s="1"/>
  <c r="A38" i="1"/>
  <c r="O34" i="1"/>
  <c r="L34" i="1"/>
  <c r="K34" i="1"/>
  <c r="H34" i="1"/>
  <c r="G34" i="1"/>
  <c r="D34" i="1"/>
  <c r="A34" i="1"/>
  <c r="N34" i="1"/>
  <c r="M34" i="1"/>
  <c r="J34" i="1"/>
  <c r="I34" i="1"/>
  <c r="A33" i="1"/>
  <c r="C34" i="1" s="1"/>
  <c r="Q32" i="1"/>
  <c r="F34" i="1"/>
  <c r="E34" i="1"/>
  <c r="C27" i="1"/>
  <c r="E23" i="1"/>
  <c r="F23" i="1" s="1"/>
  <c r="G23" i="1" s="1"/>
  <c r="H23" i="1" s="1"/>
  <c r="I23" i="1" s="1"/>
  <c r="K23" i="1" s="1"/>
  <c r="L23" i="1" s="1"/>
  <c r="M23" i="1" s="1"/>
  <c r="N23" i="1" s="1"/>
  <c r="O23" i="1" s="1"/>
  <c r="C19" i="1"/>
  <c r="C18" i="1"/>
  <c r="F18" i="1"/>
  <c r="E18" i="1"/>
  <c r="E19" i="1" s="1"/>
  <c r="E20" i="1" s="1"/>
  <c r="D18" i="1"/>
  <c r="D19" i="1" s="1"/>
  <c r="M11" i="1"/>
  <c r="L11" i="1"/>
  <c r="I11" i="1"/>
  <c r="H11" i="1"/>
  <c r="E11" i="1"/>
  <c r="O11" i="1"/>
  <c r="N11" i="1"/>
  <c r="K11" i="1"/>
  <c r="J11" i="1"/>
  <c r="G11" i="1"/>
  <c r="A10" i="1"/>
  <c r="F11" i="1"/>
  <c r="E6" i="1"/>
  <c r="F6" i="1" s="1"/>
  <c r="G6" i="1" s="1"/>
  <c r="H6" i="1" s="1"/>
  <c r="I6" i="1" s="1"/>
  <c r="J6" i="1" s="1"/>
  <c r="K6" i="1" s="1"/>
  <c r="L6" i="1" s="1"/>
  <c r="M6" i="1" s="1"/>
  <c r="N6" i="1" s="1"/>
  <c r="O6" i="1" s="1"/>
  <c r="P11" i="1" l="1"/>
  <c r="P10" i="1" s="1"/>
  <c r="P34" i="1"/>
  <c r="P33" i="1" s="1"/>
  <c r="D41" i="1"/>
  <c r="D42" i="1" s="1"/>
  <c r="G18" i="1"/>
  <c r="G19" i="1" s="1"/>
  <c r="D11" i="1"/>
  <c r="Q9" i="1"/>
  <c r="A11" i="1"/>
  <c r="C21" i="1" s="1"/>
  <c r="C11" i="1"/>
  <c r="E21" i="1"/>
  <c r="D20" i="1"/>
  <c r="F19" i="1"/>
  <c r="Q34" i="1"/>
  <c r="Q33" i="1" s="1"/>
  <c r="A39" i="1"/>
  <c r="G20" i="1" l="1"/>
  <c r="G21" i="1"/>
  <c r="D43" i="1"/>
  <c r="D44" i="1"/>
  <c r="F20" i="1"/>
  <c r="F21" i="1"/>
  <c r="E41" i="1"/>
  <c r="E42" i="1" s="1"/>
  <c r="A40" i="1"/>
  <c r="A41" i="1" s="1"/>
  <c r="H18" i="1"/>
  <c r="H19" i="1" s="1"/>
  <c r="E22" i="1"/>
  <c r="D21" i="1"/>
  <c r="Q11" i="1"/>
  <c r="Q10" i="1" s="1"/>
  <c r="C41" i="1" l="1"/>
  <c r="G22" i="1"/>
  <c r="D22" i="1"/>
  <c r="H20" i="1"/>
  <c r="H21" i="1"/>
  <c r="F41" i="1"/>
  <c r="F42" i="1" s="1"/>
  <c r="I18" i="1"/>
  <c r="I19" i="1" s="1"/>
  <c r="P19" i="1" s="1"/>
  <c r="P20" i="1" s="1"/>
  <c r="E43" i="1"/>
  <c r="E44" i="1"/>
  <c r="F22" i="1"/>
  <c r="A42" i="1"/>
  <c r="C44" i="1" s="1"/>
  <c r="C42" i="1"/>
  <c r="D45" i="1"/>
  <c r="P21" i="1" l="1"/>
  <c r="D47" i="1"/>
  <c r="D48" i="1" s="1"/>
  <c r="G41" i="1"/>
  <c r="G42" i="1" s="1"/>
  <c r="E45" i="1"/>
  <c r="F43" i="1"/>
  <c r="F44" i="1"/>
  <c r="I20" i="1"/>
  <c r="I21" i="1"/>
  <c r="J18" i="1"/>
  <c r="J19" i="1" s="1"/>
  <c r="H22" i="1"/>
  <c r="D24" i="1"/>
  <c r="D27" i="1" s="1"/>
  <c r="P22" i="1" l="1"/>
  <c r="D50" i="1"/>
  <c r="E50" i="1" s="1"/>
  <c r="E47" i="1"/>
  <c r="E48" i="1" s="1"/>
  <c r="E24" i="1"/>
  <c r="E25" i="1" s="1"/>
  <c r="K18" i="1"/>
  <c r="K19" i="1" s="1"/>
  <c r="F45" i="1"/>
  <c r="H41" i="1"/>
  <c r="H42" i="1" s="1"/>
  <c r="I22" i="1"/>
  <c r="G43" i="1"/>
  <c r="G44" i="1"/>
  <c r="D25" i="1"/>
  <c r="J20" i="1"/>
  <c r="J21" i="1"/>
  <c r="P42" i="1" l="1"/>
  <c r="P43" i="1" s="1"/>
  <c r="D53" i="1"/>
  <c r="F47" i="1"/>
  <c r="F48" i="1" s="1"/>
  <c r="E27" i="1"/>
  <c r="F24" i="1" s="1"/>
  <c r="F27" i="1" s="1"/>
  <c r="I41" i="1"/>
  <c r="I42" i="1" s="1"/>
  <c r="K20" i="1"/>
  <c r="K21" i="1"/>
  <c r="J22" i="1"/>
  <c r="G45" i="1"/>
  <c r="H43" i="1"/>
  <c r="H44" i="1"/>
  <c r="L18" i="1"/>
  <c r="L19" i="1" s="1"/>
  <c r="P44" i="1" l="1"/>
  <c r="F50" i="1"/>
  <c r="G47" i="1" s="1"/>
  <c r="E53" i="1"/>
  <c r="G24" i="1"/>
  <c r="F53" i="1"/>
  <c r="K22" i="1"/>
  <c r="F25" i="1"/>
  <c r="L20" i="1"/>
  <c r="L21" i="1"/>
  <c r="J41" i="1"/>
  <c r="J42" i="1" s="1"/>
  <c r="M18" i="1"/>
  <c r="M19" i="1" s="1"/>
  <c r="I43" i="1"/>
  <c r="I44" i="1"/>
  <c r="H45" i="1"/>
  <c r="G48" i="1" l="1"/>
  <c r="G25" i="1"/>
  <c r="G50" i="1"/>
  <c r="H47" i="1" s="1"/>
  <c r="H48" i="1" s="1"/>
  <c r="J43" i="1"/>
  <c r="J44" i="1"/>
  <c r="I45" i="1"/>
  <c r="P45" i="1" s="1"/>
  <c r="K41" i="1"/>
  <c r="K42" i="1" s="1"/>
  <c r="M20" i="1"/>
  <c r="M21" i="1"/>
  <c r="N18" i="1"/>
  <c r="N19" i="1" s="1"/>
  <c r="O18" i="1"/>
  <c r="O19" i="1" s="1"/>
  <c r="L22" i="1"/>
  <c r="G27" i="1"/>
  <c r="H24" i="1" l="1"/>
  <c r="G53" i="1"/>
  <c r="N20" i="1"/>
  <c r="N21" i="1"/>
  <c r="O20" i="1"/>
  <c r="O21" i="1"/>
  <c r="Q19" i="1"/>
  <c r="Q20" i="1" s="1"/>
  <c r="M22" i="1"/>
  <c r="J45" i="1"/>
  <c r="L41" i="1"/>
  <c r="L42" i="1" s="1"/>
  <c r="K43" i="1"/>
  <c r="K44" i="1"/>
  <c r="H50" i="1"/>
  <c r="H27" i="1" l="1"/>
  <c r="K45" i="1"/>
  <c r="N22" i="1"/>
  <c r="M41" i="1"/>
  <c r="M42" i="1" s="1"/>
  <c r="H25" i="1"/>
  <c r="L43" i="1"/>
  <c r="L44" i="1"/>
  <c r="O22" i="1"/>
  <c r="Q21" i="1"/>
  <c r="H53" i="1"/>
  <c r="I24" i="1"/>
  <c r="I25" i="1" s="1"/>
  <c r="I47" i="1"/>
  <c r="I48" i="1" l="1"/>
  <c r="P47" i="1"/>
  <c r="P48" i="1" s="1"/>
  <c r="P24" i="1"/>
  <c r="P25" i="1" s="1"/>
  <c r="I50" i="1"/>
  <c r="J47" i="1" s="1"/>
  <c r="J48" i="1" s="1"/>
  <c r="Q22" i="1"/>
  <c r="N41" i="1"/>
  <c r="N42" i="1" s="1"/>
  <c r="O41" i="1"/>
  <c r="O42" i="1" s="1"/>
  <c r="L45" i="1"/>
  <c r="M43" i="1"/>
  <c r="M44" i="1"/>
  <c r="I27" i="1"/>
  <c r="J50" i="1" l="1"/>
  <c r="K47" i="1" s="1"/>
  <c r="K48" i="1" s="1"/>
  <c r="I53" i="1"/>
  <c r="J24" i="1"/>
  <c r="J27" i="1" s="1"/>
  <c r="N43" i="1"/>
  <c r="N44" i="1"/>
  <c r="M45" i="1"/>
  <c r="O43" i="1"/>
  <c r="O44" i="1"/>
  <c r="Q42" i="1"/>
  <c r="Q43" i="1" s="1"/>
  <c r="O45" i="1" l="1"/>
  <c r="Q44" i="1"/>
  <c r="K24" i="1"/>
  <c r="K25" i="1" s="1"/>
  <c r="J53" i="1"/>
  <c r="N45" i="1"/>
  <c r="J25" i="1"/>
  <c r="K50" i="1"/>
  <c r="Q45" i="1" l="1"/>
  <c r="K27" i="1"/>
  <c r="K53" i="1" s="1"/>
  <c r="L47" i="1"/>
  <c r="L48" i="1" s="1"/>
  <c r="L50" i="1" l="1"/>
  <c r="M47" i="1" s="1"/>
  <c r="M48" i="1" s="1"/>
  <c r="L24" i="1"/>
  <c r="L25" i="1" s="1"/>
  <c r="L27" i="1" l="1"/>
  <c r="M24" i="1" s="1"/>
  <c r="M25" i="1" s="1"/>
  <c r="M50" i="1"/>
  <c r="L53" i="1" l="1"/>
  <c r="M27" i="1"/>
  <c r="N24" i="1" s="1"/>
  <c r="N25" i="1" s="1"/>
  <c r="N47" i="1"/>
  <c r="N48" i="1" s="1"/>
  <c r="N50" i="1" l="1"/>
  <c r="O47" i="1" s="1"/>
  <c r="M53" i="1"/>
  <c r="N27" i="1"/>
  <c r="O24" i="1" s="1"/>
  <c r="O27" i="1" s="1"/>
  <c r="N53" i="1" l="1"/>
  <c r="Q24" i="1"/>
  <c r="Q25" i="1" s="1"/>
  <c r="O25" i="1"/>
  <c r="Q47" i="1"/>
  <c r="Q48" i="1" s="1"/>
  <c r="O48" i="1"/>
  <c r="O50" i="1"/>
  <c r="O53" i="1" s="1"/>
  <c r="C44" i="2" l="1"/>
  <c r="C42" i="2"/>
  <c r="E38" i="2"/>
  <c r="F38" i="2" s="1"/>
  <c r="G38" i="2" s="1"/>
  <c r="H38" i="2" s="1"/>
  <c r="I38" i="2" s="1"/>
  <c r="K38" i="2" s="1"/>
  <c r="L38" i="2" s="1"/>
  <c r="M38" i="2" s="1"/>
  <c r="N38" i="2" s="1"/>
  <c r="O38" i="2" s="1"/>
  <c r="C36" i="2"/>
  <c r="O34" i="2"/>
  <c r="O35" i="2" s="1"/>
  <c r="N34" i="2"/>
  <c r="N35" i="2" s="1"/>
  <c r="M34" i="2"/>
  <c r="M35" i="2" s="1"/>
  <c r="L34" i="2"/>
  <c r="L35" i="2" s="1"/>
  <c r="K34" i="2"/>
  <c r="K35" i="2" s="1"/>
  <c r="J34" i="2"/>
  <c r="J35" i="2" s="1"/>
  <c r="I34" i="2"/>
  <c r="I35" i="2" s="1"/>
  <c r="H34" i="2"/>
  <c r="H35" i="2" s="1"/>
  <c r="G34" i="2"/>
  <c r="C34" i="2"/>
  <c r="D34" i="2"/>
  <c r="F34" i="2"/>
  <c r="F35" i="2" s="1"/>
  <c r="E34" i="2"/>
  <c r="E35" i="2" s="1"/>
  <c r="O30" i="2"/>
  <c r="O36" i="2" s="1"/>
  <c r="N30" i="2"/>
  <c r="N36" i="2" s="1"/>
  <c r="L30" i="2"/>
  <c r="L36" i="2" s="1"/>
  <c r="K30" i="2"/>
  <c r="K36" i="2" s="1"/>
  <c r="J30" i="2"/>
  <c r="J36" i="2" s="1"/>
  <c r="H30" i="2"/>
  <c r="G30" i="2"/>
  <c r="C30" i="2"/>
  <c r="M30" i="2"/>
  <c r="M36" i="2" s="1"/>
  <c r="I30" i="2"/>
  <c r="I36" i="2" s="1"/>
  <c r="F30" i="2"/>
  <c r="F36" i="2" s="1"/>
  <c r="E30" i="2"/>
  <c r="E36" i="2" s="1"/>
  <c r="D30" i="2"/>
  <c r="C23" i="2"/>
  <c r="F19" i="2"/>
  <c r="G19" i="2" s="1"/>
  <c r="H19" i="2" s="1"/>
  <c r="I19" i="2" s="1"/>
  <c r="K19" i="2" s="1"/>
  <c r="L19" i="2" s="1"/>
  <c r="M19" i="2" s="1"/>
  <c r="N19" i="2" s="1"/>
  <c r="O19" i="2" s="1"/>
  <c r="E19" i="2"/>
  <c r="O15" i="2"/>
  <c r="O16" i="2" s="1"/>
  <c r="N15" i="2"/>
  <c r="N16" i="2" s="1"/>
  <c r="M15" i="2"/>
  <c r="M16" i="2" s="1"/>
  <c r="L15" i="2"/>
  <c r="L16" i="2" s="1"/>
  <c r="K15" i="2"/>
  <c r="K16" i="2" s="1"/>
  <c r="J15" i="2"/>
  <c r="J16" i="2" s="1"/>
  <c r="I15" i="2"/>
  <c r="I16" i="2" s="1"/>
  <c r="H15" i="2"/>
  <c r="H16" i="2" s="1"/>
  <c r="G15" i="2"/>
  <c r="C15" i="2"/>
  <c r="F15" i="2"/>
  <c r="F16" i="2" s="1"/>
  <c r="E15" i="2"/>
  <c r="E16" i="2" s="1"/>
  <c r="D15" i="2"/>
  <c r="O11" i="2"/>
  <c r="O17" i="2" s="1"/>
  <c r="N11" i="2"/>
  <c r="N17" i="2" s="1"/>
  <c r="K11" i="2"/>
  <c r="K17" i="2" s="1"/>
  <c r="J11" i="2"/>
  <c r="J17" i="2" s="1"/>
  <c r="G11" i="2"/>
  <c r="P11" i="2" s="1"/>
  <c r="P10" i="2" s="1"/>
  <c r="F11" i="2"/>
  <c r="F17" i="2" s="1"/>
  <c r="M11" i="2"/>
  <c r="M17" i="2" s="1"/>
  <c r="L11" i="2"/>
  <c r="L17" i="2" s="1"/>
  <c r="I11" i="2"/>
  <c r="H11" i="2"/>
  <c r="H17" i="2" s="1"/>
  <c r="A10" i="2"/>
  <c r="C11" i="2" s="1"/>
  <c r="E11" i="2"/>
  <c r="D11" i="2"/>
  <c r="E6" i="2"/>
  <c r="F6" i="2" s="1"/>
  <c r="G6" i="2" s="1"/>
  <c r="H6" i="2" s="1"/>
  <c r="I6" i="2" s="1"/>
  <c r="J6" i="2" s="1"/>
  <c r="K6" i="2" s="1"/>
  <c r="L6" i="2" s="1"/>
  <c r="M6" i="2" s="1"/>
  <c r="N6" i="2" s="1"/>
  <c r="O6" i="2" s="1"/>
  <c r="A11" i="2" l="1"/>
  <c r="C17" i="2" s="1"/>
  <c r="G16" i="2"/>
  <c r="P15" i="2"/>
  <c r="P16" i="2" s="1"/>
  <c r="G35" i="2"/>
  <c r="P34" i="2"/>
  <c r="P35" i="2" s="1"/>
  <c r="G36" i="2"/>
  <c r="P30" i="2"/>
  <c r="P29" i="2" s="1"/>
  <c r="H36" i="2"/>
  <c r="H37" i="2" s="1"/>
  <c r="G17" i="2"/>
  <c r="P17" i="2" s="1"/>
  <c r="I17" i="2"/>
  <c r="E17" i="2"/>
  <c r="G18" i="2"/>
  <c r="O18" i="2"/>
  <c r="F18" i="2"/>
  <c r="N18" i="2"/>
  <c r="F37" i="2"/>
  <c r="J37" i="2"/>
  <c r="D35" i="2"/>
  <c r="Q34" i="2"/>
  <c r="Q35" i="2" s="1"/>
  <c r="E18" i="2"/>
  <c r="I18" i="2"/>
  <c r="M18" i="2"/>
  <c r="K18" i="2"/>
  <c r="E37" i="2"/>
  <c r="N37" i="2"/>
  <c r="D17" i="2"/>
  <c r="Q11" i="2"/>
  <c r="Q10" i="2" s="1"/>
  <c r="H18" i="2"/>
  <c r="L18" i="2"/>
  <c r="J18" i="2"/>
  <c r="Q15" i="2"/>
  <c r="Q16" i="2" s="1"/>
  <c r="D16" i="2"/>
  <c r="D36" i="2"/>
  <c r="Q30" i="2"/>
  <c r="Q29" i="2" s="1"/>
  <c r="I37" i="2"/>
  <c r="M37" i="2"/>
  <c r="L37" i="2"/>
  <c r="G37" i="2"/>
  <c r="K37" i="2"/>
  <c r="O37" i="2"/>
  <c r="P18" i="2" l="1"/>
  <c r="P37" i="2"/>
  <c r="P36" i="2"/>
  <c r="Q17" i="2"/>
  <c r="D18" i="2"/>
  <c r="Q18" i="2" s="1"/>
  <c r="Q36" i="2"/>
  <c r="D37" i="2"/>
  <c r="Q37" i="2" s="1"/>
  <c r="D39" i="2" l="1"/>
  <c r="D40" i="2" s="1"/>
  <c r="D20" i="2"/>
  <c r="D42" i="2" l="1"/>
  <c r="E39" i="2"/>
  <c r="E40" i="2" s="1"/>
  <c r="D21" i="2"/>
  <c r="D23" i="2"/>
  <c r="E42" i="2" l="1"/>
  <c r="D44" i="2"/>
  <c r="E20" i="2"/>
  <c r="F39" i="2" l="1"/>
  <c r="F40" i="2" s="1"/>
  <c r="E21" i="2"/>
  <c r="E23" i="2"/>
  <c r="F42" i="2" l="1"/>
  <c r="G39" i="2" s="1"/>
  <c r="E44" i="2"/>
  <c r="F20" i="2"/>
  <c r="F23" i="2" s="1"/>
  <c r="G42" i="2" l="1"/>
  <c r="G40" i="2"/>
  <c r="G20" i="2"/>
  <c r="F44" i="2"/>
  <c r="F21" i="2"/>
  <c r="G21" i="2" l="1"/>
  <c r="H39" i="2"/>
  <c r="H42" i="2" s="1"/>
  <c r="G23" i="2"/>
  <c r="I39" i="2" l="1"/>
  <c r="I40" i="2" s="1"/>
  <c r="I42" i="2"/>
  <c r="J39" i="2" s="1"/>
  <c r="J40" i="2" s="1"/>
  <c r="H40" i="2"/>
  <c r="P39" i="2"/>
  <c r="P40" i="2" s="1"/>
  <c r="H20" i="2"/>
  <c r="G44" i="2"/>
  <c r="J42" i="2"/>
  <c r="H23" i="2" l="1"/>
  <c r="H44" i="2"/>
  <c r="I20" i="2"/>
  <c r="I21" i="2" s="1"/>
  <c r="K39" i="2"/>
  <c r="K40" i="2" s="1"/>
  <c r="H21" i="2"/>
  <c r="P20" i="2" l="1"/>
  <c r="P21" i="2" s="1"/>
  <c r="I23" i="2"/>
  <c r="I44" i="2" s="1"/>
  <c r="K42" i="2"/>
  <c r="J20" i="2" l="1"/>
  <c r="J21" i="2" s="1"/>
  <c r="L39" i="2"/>
  <c r="L40" i="2" s="1"/>
  <c r="J23" i="2" l="1"/>
  <c r="J44" i="2" s="1"/>
  <c r="L42" i="2"/>
  <c r="K20" i="2" l="1"/>
  <c r="K21" i="2" s="1"/>
  <c r="M39" i="2"/>
  <c r="M40" i="2" s="1"/>
  <c r="K23" i="2" l="1"/>
  <c r="K44" i="2" s="1"/>
  <c r="M42" i="2"/>
  <c r="N39" i="2" s="1"/>
  <c r="N40" i="2" s="1"/>
  <c r="L20" i="2" l="1"/>
  <c r="L21" i="2" s="1"/>
  <c r="N42" i="2"/>
  <c r="O39" i="2" s="1"/>
  <c r="O42" i="2" s="1"/>
  <c r="L23" i="2" l="1"/>
  <c r="L44" i="2" s="1"/>
  <c r="O40" i="2"/>
  <c r="Q39" i="2"/>
  <c r="Q40" i="2" s="1"/>
  <c r="M20" i="2" l="1"/>
  <c r="M23" i="2" s="1"/>
  <c r="M21" i="2" l="1"/>
  <c r="N20" i="2"/>
  <c r="N21" i="2" s="1"/>
  <c r="M44" i="2"/>
  <c r="N23" i="2" l="1"/>
  <c r="O20" i="2" s="1"/>
  <c r="N44" i="2" l="1"/>
  <c r="O21" i="2"/>
  <c r="Q20" i="2"/>
  <c r="Q21" i="2" s="1"/>
  <c r="O23" i="2"/>
  <c r="O44" i="2" s="1"/>
</calcChain>
</file>

<file path=xl/sharedStrings.xml><?xml version="1.0" encoding="utf-8"?>
<sst xmlns="http://schemas.openxmlformats.org/spreadsheetml/2006/main" count="472" uniqueCount="170">
  <si>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</si>
  <si>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</si>
  <si>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</si>
  <si>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</si>
  <si>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</si>
  <si>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</si>
  <si>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</si>
  <si>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</si>
  <si>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</si>
  <si>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</si>
  <si>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</si>
  <si>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</si>
  <si>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</si>
  <si>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</si>
  <si>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</si>
  <si>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</si>
  <si>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</si>
  <si>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</si>
  <si>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</si>
  <si>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</si>
  <si>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</si>
  <si>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</si>
  <si>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</si>
  <si>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</si>
  <si>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</si>
  <si>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</si>
  <si>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</si>
  <si>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</si>
  <si>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</si>
  <si>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</si>
  <si>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</si>
  <si>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</si>
  <si>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</si>
  <si>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</si>
  <si>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</si>
  <si>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</si>
  <si>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</si>
  <si>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</si>
  <si>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</si>
  <si>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</si>
  <si>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</si>
  <si>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</si>
  <si>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</si>
  <si>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</si>
  <si>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</si>
  <si>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</si>
  <si>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</si>
  <si>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</si>
  <si>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</si>
  <si>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</si>
  <si>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</si>
  <si>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</si>
  <si>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</si>
  <si>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</si>
  <si>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</si>
  <si>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</si>
  <si>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</si>
  <si>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</si>
  <si>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</si>
  <si>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</si>
  <si>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</si>
  <si>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</si>
  <si>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</si>
  <si>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</si>
  <si>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</si>
  <si>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</si>
  <si>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</si>
  <si>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</si>
  <si>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</si>
  <si>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</si>
  <si>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</si>
  <si>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</si>
  <si>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</si>
  <si>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</si>
  <si>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</si>
  <si>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</si>
  <si>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</si>
  <si>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</si>
  <si>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</si>
  <si>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</si>
  <si>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407428</t>
  </si>
  <si>
    <t>REG CREDIT DECOUPLING DEF REV</t>
  </si>
  <si>
    <t>407438</t>
  </si>
  <si>
    <t xml:space="preserve">REG CREDIT NON-RES DECOUPLING </t>
  </si>
  <si>
    <t>FERC Acct 407428</t>
  </si>
  <si>
    <t>FERC Acct 407438</t>
  </si>
  <si>
    <t>FERC Acct 186338</t>
  </si>
  <si>
    <t>Electric Service</t>
  </si>
  <si>
    <t>Natural Gas Service</t>
  </si>
  <si>
    <t>Revenue Deferral Credits</t>
  </si>
  <si>
    <t>407328</t>
  </si>
  <si>
    <t>REG DEBIT DECOUPLING DEF REV</t>
  </si>
  <si>
    <t>407338</t>
  </si>
  <si>
    <t>REG DEBIT NON-RES DECOUPLING D</t>
  </si>
  <si>
    <t>Sum: 0.00</t>
  </si>
  <si>
    <t>Revenue Deferral Debits</t>
  </si>
  <si>
    <t>Check</t>
  </si>
  <si>
    <t>NOTES</t>
  </si>
  <si>
    <t>YTD June 2015</t>
  </si>
  <si>
    <t>2nd Quarter 2015</t>
  </si>
  <si>
    <t>Total Cumulative Electric Deferral</t>
  </si>
  <si>
    <t>Total Cumulative Natural Gas Deferral</t>
  </si>
  <si>
    <t>GL Account Balance  Accounting Period : '201504, 201505, 201506'</t>
  </si>
  <si>
    <t>201504</t>
  </si>
  <si>
    <t>201505</t>
  </si>
  <si>
    <t>201506</t>
  </si>
  <si>
    <t>Sum: 1,292,350.23</t>
  </si>
  <si>
    <t>Sum: 2,105,613.30</t>
  </si>
  <si>
    <t>Sum: 3,397,963.53</t>
  </si>
  <si>
    <t>Sum: -3,301,389.71</t>
  </si>
  <si>
    <t>Sum: 156,514.74</t>
  </si>
  <si>
    <t>Sum: -3,144,874.97</t>
  </si>
  <si>
    <t>Sum: 44.85</t>
  </si>
  <si>
    <t>Sum: 703,163.82</t>
  </si>
  <si>
    <t>Sum: -1,015,243.33</t>
  </si>
  <si>
    <t>Sum: -312,079.51</t>
  </si>
  <si>
    <t>Sum: 3,973,640.24</t>
  </si>
  <si>
    <t>Sum: 2,687,913.70</t>
  </si>
  <si>
    <t>Sum: 6,661,553.94</t>
  </si>
  <si>
    <t>Sum: 1,186,320.76</t>
  </si>
  <si>
    <t>Sum: 507,924.67</t>
  </si>
  <si>
    <t>Sum: 1,694,245.43</t>
  </si>
  <si>
    <t>Year to Date Values moved to Account 456 or 495 in May</t>
  </si>
  <si>
    <t>Sum: -1,178,015.87</t>
  </si>
  <si>
    <t>Sum: -522,304.87</t>
  </si>
  <si>
    <t>Sum: -1,700,320.74</t>
  </si>
  <si>
    <t>Sum: -113,544.76</t>
  </si>
  <si>
    <t>456328</t>
  </si>
  <si>
    <t>RESIDENTIAL DECOUPLING DEFERRE</t>
  </si>
  <si>
    <t>Sum: -4,058,393.23</t>
  </si>
  <si>
    <t>456338</t>
  </si>
  <si>
    <t>NON-RES DECOUPLING DEFERRED RE</t>
  </si>
  <si>
    <t>Sum: 2,226,190.34</t>
  </si>
  <si>
    <t>495328</t>
  </si>
  <si>
    <t>Sum: -4,244,615.48</t>
  </si>
  <si>
    <t>495338</t>
  </si>
  <si>
    <t>Sum: -659,777.70</t>
  </si>
  <si>
    <t>FERC Acct 407328</t>
  </si>
  <si>
    <t>FERC Acct 407338</t>
  </si>
  <si>
    <t>FERC Acct 456328</t>
  </si>
  <si>
    <t>FERC Acct 456338</t>
  </si>
  <si>
    <t>FERC Acct 495328</t>
  </si>
  <si>
    <t>FERC Acct 495338</t>
  </si>
  <si>
    <t xml:space="preserve">May Entries include transfer of Year to Balances from 407 Accounts </t>
  </si>
  <si>
    <t>419605</t>
  </si>
  <si>
    <t>INT INC ON OTH DEFERRALS-IV FU</t>
  </si>
  <si>
    <t>Sum: -31,070.13</t>
  </si>
  <si>
    <t>Sum: -31,313.21</t>
  </si>
  <si>
    <t>Sum: -62,383.34</t>
  </si>
  <si>
    <t>431605</t>
  </si>
  <si>
    <t>INT EXP ON OTH DEFERRALS-IV FU</t>
  </si>
  <si>
    <t>Sum: 3,912.13</t>
  </si>
  <si>
    <t>Sum: -58,471.21</t>
  </si>
  <si>
    <t>Interest Income or Expense</t>
  </si>
  <si>
    <t>Income Statement Accounts (continued)</t>
  </si>
  <si>
    <t>As stated in the notes to the 1st Quarter 2015 Report, the Company's external auditors have determined that the decoupling deferred revenue under this mechanism qualifies as revenue per generally accepted accounting principals and therefore should be recorded in Other Electric Revenue FERC Account 456 and Other Natural Gas Revenue FERC Account 495.  The 2015 amounts already recorded in FERC Account 407 Regulatory Debits and Credits were transferred to dedicated 456 and 495 sub accounts in May, and all subsequent entries will be recorded in these revenue accounts.  There was no change to the balance sheet accounts associated with this transfer.</t>
  </si>
  <si>
    <t>Electric Residential</t>
  </si>
  <si>
    <t>Change in Use per Customer</t>
  </si>
  <si>
    <t>Q1</t>
  </si>
  <si>
    <t>Q2</t>
  </si>
  <si>
    <t>YTD</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</si>
  <si>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</si>
  <si>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</si>
  <si>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</si>
  <si>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</si>
  <si>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</si>
  <si>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</si>
  <si>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</si>
  <si>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</si>
  <si>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The following table shows how the decoupled revenue per customer has tracked with use per customer for the first two quarters of 2015.  The similarity of the percentage change indicates that the mechanism is working as intended.</t>
  </si>
</sst>
</file>

<file path=xl/styles.xml><?xml version="1.0" encoding="utf-8"?>
<styleSheet xmlns="http://schemas.openxmlformats.org/spreadsheetml/2006/main" xmlns:mc="http://schemas.openxmlformats.org/markup-compatibility/2006" xmlns:x14ac="http://schemas.microsoft.com/office/spreadsheetml/2009/9/ac" mc:Ignorable="x14ac">
  <numFmts count="8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s>
  <fonts count="173">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sz val="10"/>
      <color rgb="FF0000CC"/>
      <name val="Times New Roman"/>
      <family val="1"/>
    </font>
    <font>
      <sz val="10"/>
      <color rgb="FF3B2CFC"/>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s>
  <fills count="10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s>
  <borders count="52">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s>
  <cellStyleXfs count="30956">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6"/>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6"/>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7" applyNumberFormat="0" applyAlignment="0" applyProtection="0"/>
    <xf numFmtId="174" fontId="34" fillId="0" borderId="0">
      <alignment horizontal="left" wrapText="1"/>
    </xf>
    <xf numFmtId="0" fontId="43" fillId="68" borderId="17" applyNumberFormat="0" applyAlignment="0" applyProtection="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10" applyNumberFormat="0" applyAlignment="0" applyProtection="0"/>
    <xf numFmtId="0" fontId="44" fillId="69" borderId="10"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10" applyNumberFormat="0" applyAlignment="0" applyProtection="0"/>
    <xf numFmtId="0" fontId="25" fillId="7" borderId="10" applyNumberFormat="0" applyAlignment="0" applyProtection="0"/>
    <xf numFmtId="0" fontId="45" fillId="70" borderId="18" applyNumberFormat="0" applyAlignment="0" applyProtection="0"/>
    <xf numFmtId="0" fontId="45" fillId="70" borderId="18" applyNumberFormat="0" applyAlignment="0" applyProtection="0"/>
    <xf numFmtId="174" fontId="34" fillId="0" borderId="0">
      <alignment horizontal="left" wrapText="1"/>
    </xf>
    <xf numFmtId="0" fontId="45" fillId="70" borderId="18" applyNumberFormat="0" applyAlignment="0" applyProtection="0"/>
    <xf numFmtId="174" fontId="34" fillId="0" borderId="0">
      <alignment horizontal="left" wrapText="1"/>
    </xf>
    <xf numFmtId="0" fontId="27" fillId="8" borderId="13" applyNumberFormat="0" applyAlignment="0" applyProtection="0"/>
    <xf numFmtId="0" fontId="45" fillId="70" borderId="18"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6"/>
    <xf numFmtId="189" fontId="68" fillId="0" borderId="0" applyNumberFormat="0" applyFill="0" applyBorder="0" applyProtection="0">
      <alignment horizontal="right"/>
    </xf>
    <xf numFmtId="0" fontId="69" fillId="0" borderId="19" applyNumberFormat="0" applyAlignment="0" applyProtection="0">
      <alignment horizontal="left"/>
    </xf>
    <xf numFmtId="0" fontId="69" fillId="0" borderId="19"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9" applyNumberFormat="0" applyAlignment="0" applyProtection="0">
      <alignment horizontal="left"/>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20">
      <alignment horizontal="left"/>
    </xf>
    <xf numFmtId="0" fontId="69" fillId="0" borderId="20">
      <alignment horizontal="left"/>
    </xf>
    <xf numFmtId="174" fontId="34" fillId="0" borderId="0">
      <alignment horizontal="left" wrapText="1"/>
    </xf>
    <xf numFmtId="14" fontId="15" fillId="75" borderId="21">
      <alignment horizontal="center" vertical="center" wrapText="1"/>
    </xf>
    <xf numFmtId="0" fontId="54" fillId="0" borderId="0" applyNumberFormat="0" applyFill="0" applyBorder="0" applyAlignment="0" applyProtection="0"/>
    <xf numFmtId="0" fontId="70" fillId="0" borderId="22" applyNumberFormat="0" applyFill="0" applyAlignment="0" applyProtection="0"/>
    <xf numFmtId="0" fontId="70" fillId="0" borderId="22"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1" fillId="0" borderId="23" applyNumberFormat="0" applyFill="0" applyAlignment="0" applyProtection="0"/>
    <xf numFmtId="0" fontId="17" fillId="0" borderId="7" applyNumberFormat="0" applyFill="0" applyAlignment="0" applyProtection="0"/>
    <xf numFmtId="0" fontId="71" fillId="0" borderId="23"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3" applyNumberFormat="0" applyFill="0" applyAlignment="0" applyProtection="0"/>
    <xf numFmtId="0" fontId="72" fillId="0" borderId="0" applyNumberFormat="0" applyFill="0" applyBorder="0" applyAlignment="0" applyProtection="0"/>
    <xf numFmtId="0" fontId="71" fillId="0" borderId="23" applyNumberFormat="0" applyFill="0" applyAlignment="0" applyProtection="0"/>
    <xf numFmtId="0" fontId="17" fillId="0" borderId="7" applyNumberFormat="0" applyFill="0" applyAlignment="0" applyProtection="0"/>
    <xf numFmtId="0" fontId="5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74" fillId="0" borderId="25" applyNumberFormat="0" applyFill="0" applyAlignment="0" applyProtection="0"/>
    <xf numFmtId="0" fontId="18" fillId="0" borderId="8" applyNumberFormat="0" applyFill="0" applyAlignment="0" applyProtection="0"/>
    <xf numFmtId="0" fontId="74" fillId="0" borderId="25"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5" applyNumberFormat="0" applyFill="0" applyAlignment="0" applyProtection="0"/>
    <xf numFmtId="0" fontId="66" fillId="0" borderId="0" applyNumberFormat="0" applyFill="0" applyBorder="0" applyAlignment="0" applyProtection="0"/>
    <xf numFmtId="0" fontId="74" fillId="0" borderId="25" applyNumberFormat="0" applyFill="0" applyAlignment="0" applyProtection="0"/>
    <xf numFmtId="0" fontId="18" fillId="0" borderId="8"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75" fillId="0" borderId="26" applyNumberFormat="0" applyFill="0" applyAlignment="0" applyProtection="0"/>
    <xf numFmtId="0" fontId="19" fillId="0" borderId="9" applyNumberFormat="0" applyFill="0" applyAlignment="0" applyProtection="0"/>
    <xf numFmtId="0" fontId="76" fillId="0" borderId="27" applyNumberFormat="0" applyFill="0" applyAlignment="0" applyProtection="0"/>
    <xf numFmtId="174" fontId="34" fillId="0" borderId="0">
      <alignment horizontal="left" wrapText="1"/>
    </xf>
    <xf numFmtId="174" fontId="34" fillId="0" borderId="0">
      <alignment horizontal="left" wrapText="1"/>
    </xf>
    <xf numFmtId="0" fontId="76" fillId="0" borderId="27" applyNumberFormat="0" applyFill="0" applyAlignment="0" applyProtection="0"/>
    <xf numFmtId="0" fontId="76" fillId="0" borderId="27" applyNumberFormat="0" applyFill="0" applyAlignment="0" applyProtection="0"/>
    <xf numFmtId="0" fontId="76" fillId="0" borderId="27"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0" fontId="66" fillId="67" borderId="28"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174" fontId="34" fillId="0" borderId="0">
      <alignment horizontal="left" wrapText="1"/>
    </xf>
    <xf numFmtId="0" fontId="79" fillId="41" borderId="17" applyNumberFormat="0" applyAlignment="0" applyProtection="0"/>
    <xf numFmtId="0" fontId="23" fillId="6" borderId="10" applyNumberFormat="0" applyAlignment="0" applyProtection="0"/>
    <xf numFmtId="0" fontId="23" fillId="44" borderId="10"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41" fontId="80" fillId="76" borderId="29">
      <alignment horizontal="left"/>
      <protection locked="0"/>
    </xf>
    <xf numFmtId="174" fontId="34" fillId="0" borderId="0">
      <alignment horizontal="left" wrapText="1"/>
    </xf>
    <xf numFmtId="41" fontId="80" fillId="76" borderId="29">
      <alignment horizontal="left"/>
      <protection locked="0"/>
    </xf>
    <xf numFmtId="10" fontId="80" fillId="76" borderId="29">
      <alignment horizontal="right"/>
      <protection locked="0"/>
    </xf>
    <xf numFmtId="174" fontId="34" fillId="0" borderId="0">
      <alignment horizontal="left" wrapText="1"/>
    </xf>
    <xf numFmtId="10" fontId="80" fillId="76" borderId="29">
      <alignment horizontal="right"/>
      <protection locked="0"/>
    </xf>
    <xf numFmtId="174" fontId="34" fillId="0" borderId="0">
      <alignment horizontal="left" wrapText="1"/>
    </xf>
    <xf numFmtId="41" fontId="80" fillId="76" borderId="29">
      <alignment horizontal="left"/>
      <protection locked="0"/>
    </xf>
    <xf numFmtId="0" fontId="67" fillId="0" borderId="30"/>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82" fillId="0" borderId="31" applyNumberFormat="0" applyFill="0" applyAlignment="0" applyProtection="0"/>
    <xf numFmtId="0" fontId="26" fillId="0" borderId="12" applyNumberFormat="0" applyFill="0" applyAlignment="0" applyProtection="0"/>
    <xf numFmtId="0" fontId="83" fillId="0" borderId="32" applyNumberFormat="0" applyFill="0" applyAlignment="0" applyProtection="0"/>
    <xf numFmtId="174" fontId="34" fillId="0" borderId="0">
      <alignment horizontal="left" wrapText="1"/>
    </xf>
    <xf numFmtId="174" fontId="34" fillId="0" borderId="0">
      <alignment horizontal="left" wrapText="1"/>
    </xf>
    <xf numFmtId="0" fontId="83" fillId="0" borderId="32" applyNumberFormat="0" applyFill="0" applyAlignment="0" applyProtection="0"/>
    <xf numFmtId="0" fontId="83" fillId="0" borderId="32" applyNumberFormat="0" applyFill="0" applyAlignment="0" applyProtection="0"/>
    <xf numFmtId="0" fontId="83" fillId="0" borderId="32"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174" fontId="34" fillId="0" borderId="0">
      <alignment horizontal="left" wrapText="1"/>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44" fontId="15" fillId="0" borderId="34"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10" fillId="39" borderId="35" applyNumberFormat="0" applyFont="0" applyAlignment="0" applyProtection="0"/>
    <xf numFmtId="174" fontId="34" fillId="0" borderId="0">
      <alignment horizontal="left" wrapText="1"/>
    </xf>
    <xf numFmtId="0" fontId="10"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174" fontId="34" fillId="0" borderId="0">
      <alignment horizontal="left" wrapText="1"/>
    </xf>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9" borderId="14" applyNumberFormat="0" applyFont="0" applyAlignment="0" applyProtection="0"/>
    <xf numFmtId="0" fontId="39" fillId="9" borderId="14"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174" fontId="34" fillId="0" borderId="0">
      <alignment horizontal="left" wrapText="1"/>
    </xf>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24" fillId="7" borderId="11" applyNumberFormat="0" applyAlignment="0" applyProtection="0"/>
    <xf numFmtId="0" fontId="24" fillId="69" borderId="11" applyNumberFormat="0" applyAlignment="0" applyProtection="0"/>
    <xf numFmtId="174" fontId="34" fillId="0" borderId="0">
      <alignment horizontal="left" wrapText="1"/>
    </xf>
    <xf numFmtId="174" fontId="34" fillId="0" borderId="0">
      <alignment horizontal="left" wrapText="1"/>
    </xf>
    <xf numFmtId="0" fontId="91" fillId="69" borderId="36" applyNumberFormat="0" applyAlignment="0" applyProtection="0"/>
    <xf numFmtId="0" fontId="24" fillId="69" borderId="11" applyNumberFormat="0" applyAlignment="0" applyProtection="0"/>
    <xf numFmtId="0" fontId="24" fillId="69" borderId="11"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9"/>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9" fontId="39"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 fillId="0" borderId="0" applyFont="0" applyFill="0" applyBorder="0" applyAlignment="0" applyProtection="0"/>
    <xf numFmtId="10" fontId="10" fillId="0" borderId="29"/>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9" fontId="46" fillId="0" borderId="0" applyFont="0" applyFill="0" applyBorder="0" applyAlignment="0" applyProtection="0"/>
    <xf numFmtId="174" fontId="34" fillId="0" borderId="0">
      <alignment horizontal="left" wrapText="1"/>
    </xf>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47" fillId="0" borderId="0" applyFont="0" applyFill="0" applyBorder="0" applyAlignment="0" applyProtection="0"/>
    <xf numFmtId="10" fontId="10" fillId="0" borderId="29"/>
    <xf numFmtId="174" fontId="34" fillId="0" borderId="0">
      <alignment horizontal="left" wrapText="1"/>
    </xf>
    <xf numFmtId="9" fontId="47" fillId="0" borderId="0" applyFont="0" applyFill="0" applyBorder="0" applyAlignment="0" applyProtection="0"/>
    <xf numFmtId="10" fontId="10" fillId="0" borderId="29"/>
    <xf numFmtId="9" fontId="10" fillId="0" borderId="0" applyFont="0" applyFill="0" applyBorder="0" applyAlignment="0" applyProtection="0"/>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9"/>
    <xf numFmtId="10" fontId="10" fillId="0" borderId="29"/>
    <xf numFmtId="174" fontId="34" fillId="0" borderId="0">
      <alignment horizontal="left" wrapText="1"/>
    </xf>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74" fontId="34" fillId="0" borderId="0">
      <alignment horizontal="left" wrapText="1"/>
    </xf>
    <xf numFmtId="10" fontId="10" fillId="0" borderId="29"/>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9"/>
    <xf numFmtId="10" fontId="10" fillId="0" borderId="29"/>
    <xf numFmtId="10" fontId="10" fillId="0" borderId="29"/>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10" fontId="10" fillId="0" borderId="29"/>
    <xf numFmtId="41" fontId="10" fillId="77" borderId="29"/>
    <xf numFmtId="41" fontId="10" fillId="77" borderId="29"/>
    <xf numFmtId="174" fontId="34" fillId="0" borderId="0">
      <alignment horizontal="left" wrapText="1"/>
    </xf>
    <xf numFmtId="41" fontId="10" fillId="77" borderId="29"/>
    <xf numFmtId="41" fontId="10" fillId="77" borderId="29"/>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1">
      <alignment horizontal="center"/>
    </xf>
    <xf numFmtId="0" fontId="92" fillId="0" borderId="21">
      <alignment horizontal="center"/>
    </xf>
    <xf numFmtId="174" fontId="34" fillId="0" borderId="0">
      <alignment horizontal="left" wrapText="1"/>
    </xf>
    <xf numFmtId="174" fontId="34" fillId="0" borderId="0">
      <alignment horizontal="left" wrapText="1"/>
    </xf>
    <xf numFmtId="0" fontId="92" fillId="0" borderId="21">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30"/>
    <xf numFmtId="0" fontId="97" fillId="80" borderId="3"/>
    <xf numFmtId="0" fontId="98" fillId="79" borderId="37"/>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8">
      <alignment vertical="center"/>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42" fontId="10" fillId="67" borderId="38">
      <alignment vertical="center"/>
    </xf>
    <xf numFmtId="174" fontId="34" fillId="0" borderId="0">
      <alignment horizontal="left" wrapText="1"/>
    </xf>
    <xf numFmtId="0" fontId="15" fillId="67" borderId="1" applyNumberFormat="0">
      <alignment horizontal="center" vertical="center" wrapText="1"/>
    </xf>
    <xf numFmtId="0" fontId="15" fillId="67" borderId="39"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6" applyNumberFormat="0" applyProtection="0">
      <alignment vertical="center"/>
    </xf>
    <xf numFmtId="174" fontId="34" fillId="0" borderId="0">
      <alignment horizontal="left" wrapText="1"/>
    </xf>
    <xf numFmtId="4" fontId="12" fillId="76" borderId="36" applyNumberFormat="0" applyProtection="0">
      <alignment vertical="center"/>
    </xf>
    <xf numFmtId="4" fontId="100" fillId="76" borderId="36" applyNumberFormat="0" applyProtection="0">
      <alignment vertical="center"/>
    </xf>
    <xf numFmtId="174" fontId="34" fillId="0" borderId="0">
      <alignment horizontal="left" wrapText="1"/>
    </xf>
    <xf numFmtId="4" fontId="100" fillId="76" borderId="36" applyNumberFormat="0" applyProtection="0">
      <alignment vertical="center"/>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4" fontId="12" fillId="76" borderId="36" applyNumberFormat="0" applyProtection="0">
      <alignment horizontal="left" vertical="center" indent="1"/>
    </xf>
    <xf numFmtId="174" fontId="34" fillId="0" borderId="0">
      <alignment horizontal="left" wrapTex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174" fontId="34" fillId="0" borderId="0">
      <alignment horizontal="left" wrapText="1"/>
    </xf>
    <xf numFmtId="4" fontId="12" fillId="83" borderId="36" applyNumberFormat="0" applyProtection="0">
      <alignment horizontal="right" vertical="center"/>
    </xf>
    <xf numFmtId="4" fontId="12" fillId="84" borderId="36" applyNumberFormat="0" applyProtection="0">
      <alignment horizontal="right" vertical="center"/>
    </xf>
    <xf numFmtId="174" fontId="34" fillId="0" borderId="0">
      <alignment horizontal="left" wrapText="1"/>
    </xf>
    <xf numFmtId="4" fontId="12" fillId="84" borderId="36" applyNumberFormat="0" applyProtection="0">
      <alignment horizontal="right" vertical="center"/>
    </xf>
    <xf numFmtId="4" fontId="12" fillId="85" borderId="36" applyNumberFormat="0" applyProtection="0">
      <alignment horizontal="right" vertical="center"/>
    </xf>
    <xf numFmtId="174" fontId="34" fillId="0" borderId="0">
      <alignment horizontal="left" wrapText="1"/>
    </xf>
    <xf numFmtId="4" fontId="12" fillId="85" borderId="36" applyNumberFormat="0" applyProtection="0">
      <alignment horizontal="right" vertical="center"/>
    </xf>
    <xf numFmtId="4" fontId="12" fillId="86" borderId="36" applyNumberFormat="0" applyProtection="0">
      <alignment horizontal="right" vertical="center"/>
    </xf>
    <xf numFmtId="174" fontId="34" fillId="0" borderId="0">
      <alignment horizontal="left" wrapText="1"/>
    </xf>
    <xf numFmtId="4" fontId="12" fillId="86" borderId="36" applyNumberFormat="0" applyProtection="0">
      <alignment horizontal="right" vertical="center"/>
    </xf>
    <xf numFmtId="4" fontId="12" fillId="87" borderId="36" applyNumberFormat="0" applyProtection="0">
      <alignment horizontal="right" vertical="center"/>
    </xf>
    <xf numFmtId="174" fontId="34" fillId="0" borderId="0">
      <alignment horizontal="left" wrapText="1"/>
    </xf>
    <xf numFmtId="4" fontId="12" fillId="87" borderId="36" applyNumberFormat="0" applyProtection="0">
      <alignment horizontal="right" vertical="center"/>
    </xf>
    <xf numFmtId="4" fontId="12" fillId="88" borderId="36" applyNumberFormat="0" applyProtection="0">
      <alignment horizontal="right" vertical="center"/>
    </xf>
    <xf numFmtId="174" fontId="34" fillId="0" borderId="0">
      <alignment horizontal="left" wrapText="1"/>
    </xf>
    <xf numFmtId="4" fontId="12" fillId="88" borderId="36" applyNumberFormat="0" applyProtection="0">
      <alignment horizontal="right" vertical="center"/>
    </xf>
    <xf numFmtId="4" fontId="12" fillId="89" borderId="36" applyNumberFormat="0" applyProtection="0">
      <alignment horizontal="right" vertical="center"/>
    </xf>
    <xf numFmtId="174" fontId="34" fillId="0" borderId="0">
      <alignment horizontal="left" wrapText="1"/>
    </xf>
    <xf numFmtId="4" fontId="12" fillId="89" borderId="36" applyNumberFormat="0" applyProtection="0">
      <alignment horizontal="right" vertical="center"/>
    </xf>
    <xf numFmtId="4" fontId="12" fillId="90" borderId="36" applyNumberFormat="0" applyProtection="0">
      <alignment horizontal="right" vertical="center"/>
    </xf>
    <xf numFmtId="174" fontId="34" fillId="0" borderId="0">
      <alignment horizontal="left" wrapText="1"/>
    </xf>
    <xf numFmtId="4" fontId="12" fillId="90" borderId="36" applyNumberFormat="0" applyProtection="0">
      <alignment horizontal="right" vertical="center"/>
    </xf>
    <xf numFmtId="4" fontId="12" fillId="91" borderId="36" applyNumberFormat="0" applyProtection="0">
      <alignment horizontal="right" vertical="center"/>
    </xf>
    <xf numFmtId="174" fontId="34" fillId="0" borderId="0">
      <alignment horizontal="left" wrapText="1"/>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6" applyNumberFormat="0" applyProtection="0">
      <alignment horizontal="left" vertical="center" indent="1"/>
    </xf>
    <xf numFmtId="4" fontId="12" fillId="94" borderId="40"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02" fillId="0" borderId="0"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02" fillId="0" borderId="0"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0" fontId="10" fillId="96"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174" fontId="34" fillId="0" borderId="0">
      <alignment horizontal="left" wrapTex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174" fontId="34" fillId="0" borderId="0">
      <alignment horizontal="left" wrapTex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69" borderId="28" applyNumberFormat="0">
      <protection locked="0"/>
    </xf>
    <xf numFmtId="0" fontId="10" fillId="69" borderId="28" applyNumberFormat="0">
      <protection locked="0"/>
    </xf>
    <xf numFmtId="174" fontId="34" fillId="0" borderId="0">
      <alignment horizontal="left" wrapText="1"/>
    </xf>
    <xf numFmtId="174" fontId="34" fillId="0" borderId="0">
      <alignment horizontal="left" wrapText="1"/>
    </xf>
    <xf numFmtId="0" fontId="77" fillId="64" borderId="41" applyBorder="0"/>
    <xf numFmtId="4" fontId="12" fillId="98" borderId="36" applyNumberFormat="0" applyProtection="0">
      <alignment vertical="center"/>
    </xf>
    <xf numFmtId="174" fontId="34" fillId="0" borderId="0">
      <alignment horizontal="left" wrapText="1"/>
    </xf>
    <xf numFmtId="4" fontId="12" fillId="98" borderId="36" applyNumberFormat="0" applyProtection="0">
      <alignment vertical="center"/>
    </xf>
    <xf numFmtId="4" fontId="100" fillId="98" borderId="36" applyNumberFormat="0" applyProtection="0">
      <alignment vertical="center"/>
    </xf>
    <xf numFmtId="174" fontId="34" fillId="0" borderId="0">
      <alignment horizontal="left" wrapText="1"/>
    </xf>
    <xf numFmtId="4" fontId="100" fillId="98" borderId="36" applyNumberFormat="0" applyProtection="0">
      <alignment vertical="center"/>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8" borderId="36" applyNumberFormat="0" applyProtection="0">
      <alignment horizontal="left" vertical="center" indent="1"/>
    </xf>
    <xf numFmtId="174" fontId="34" fillId="0" borderId="0">
      <alignment horizontal="left" wrapTex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174" fontId="34" fillId="0" borderId="0">
      <alignment horizontal="left" wrapText="1"/>
    </xf>
    <xf numFmtId="4" fontId="12" fillId="94" borderId="36" applyNumberFormat="0" applyProtection="0">
      <alignment horizontal="right" vertical="center"/>
    </xf>
    <xf numFmtId="4" fontId="100" fillId="94" borderId="36" applyNumberFormat="0" applyProtection="0">
      <alignment horizontal="right" vertical="center"/>
    </xf>
    <xf numFmtId="174" fontId="34" fillId="0" borderId="0">
      <alignment horizontal="left" wrapText="1"/>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0" fontId="10" fillId="81" borderId="36"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8"/>
    <xf numFmtId="4" fontId="105" fillId="94" borderId="36" applyNumberFormat="0" applyProtection="0">
      <alignment horizontal="right" vertical="center"/>
    </xf>
    <xf numFmtId="174" fontId="34" fillId="0" borderId="0">
      <alignment horizontal="left" wrapText="1"/>
    </xf>
    <xf numFmtId="4" fontId="105" fillId="94" borderId="36"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38" fontId="66" fillId="0" borderId="42"/>
    <xf numFmtId="174" fontId="34" fillId="0" borderId="0">
      <alignment horizontal="left" wrapText="1"/>
    </xf>
    <xf numFmtId="38" fontId="66" fillId="0" borderId="42"/>
    <xf numFmtId="0" fontId="66" fillId="0" borderId="42"/>
    <xf numFmtId="38" fontId="66" fillId="0" borderId="42"/>
    <xf numFmtId="38" fontId="66" fillId="0" borderId="42"/>
    <xf numFmtId="38" fontId="66" fillId="0" borderId="42"/>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7"/>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3" applyNumberFormat="0" applyFont="0" applyFill="0" applyAlignment="0" applyProtection="0"/>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0" fontId="30" fillId="0" borderId="45" applyNumberFormat="0" applyFill="0" applyAlignment="0" applyProtection="0"/>
    <xf numFmtId="0" fontId="30" fillId="0" borderId="15" applyNumberFormat="0" applyFill="0" applyAlignment="0" applyProtection="0"/>
    <xf numFmtId="0" fontId="30" fillId="0" borderId="45"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5" applyNumberFormat="0" applyFill="0" applyAlignment="0" applyProtection="0"/>
    <xf numFmtId="0" fontId="30" fillId="0" borderId="15" applyNumberFormat="0" applyFill="0" applyAlignment="0" applyProtection="0"/>
    <xf numFmtId="0" fontId="52" fillId="0" borderId="46"/>
    <xf numFmtId="0" fontId="53" fillId="0" borderId="46"/>
    <xf numFmtId="0" fontId="53" fillId="0" borderId="46"/>
    <xf numFmtId="0" fontId="52" fillId="0" borderId="46"/>
    <xf numFmtId="0" fontId="53" fillId="0" borderId="46"/>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9"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5" fillId="0" borderId="9"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6"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7" fillId="0" borderId="0" applyBorder="0">
      <alignment horizontal="centerContinuous"/>
    </xf>
    <xf numFmtId="0" fontId="128" fillId="0" borderId="0" applyBorder="0">
      <alignment horizontal="centerContinuous"/>
    </xf>
    <xf numFmtId="0" fontId="129" fillId="67" borderId="0">
      <alignment horizontal="right"/>
    </xf>
    <xf numFmtId="0" fontId="128" fillId="67" borderId="47"/>
    <xf numFmtId="42" fontId="10" fillId="0" borderId="0" applyFont="0" applyFill="0" applyBorder="0" applyAlignment="0" applyProtection="0"/>
    <xf numFmtId="0" fontId="13" fillId="69" borderId="0">
      <alignment horizontal="left"/>
    </xf>
    <xf numFmtId="0" fontId="130" fillId="69" borderId="0">
      <alignment horizontal="right"/>
    </xf>
    <xf numFmtId="0" fontId="130" fillId="69" borderId="0">
      <alignment horizontal="center"/>
    </xf>
    <xf numFmtId="0" fontId="130" fillId="69" borderId="0">
      <alignment horizontal="right"/>
    </xf>
    <xf numFmtId="0" fontId="131"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2"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30" fillId="69" borderId="0">
      <alignment horizontal="center"/>
    </xf>
    <xf numFmtId="0" fontId="130"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30" fillId="69" borderId="0">
      <alignment horizontal="right"/>
    </xf>
    <xf numFmtId="0" fontId="60" fillId="102" borderId="0">
      <alignment horizontal="center"/>
    </xf>
    <xf numFmtId="0" fontId="63" fillId="102" borderId="0">
      <alignment horizontal="center"/>
    </xf>
    <xf numFmtId="0" fontId="133"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9"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7"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4"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5"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10" applyNumberFormat="0" applyAlignment="0" applyProtection="0"/>
    <xf numFmtId="0" fontId="25" fillId="68" borderId="10" applyNumberFormat="0" applyAlignment="0" applyProtection="0"/>
    <xf numFmtId="0" fontId="43" fillId="68" borderId="17" applyNumberFormat="0" applyAlignment="0" applyProtection="0"/>
    <xf numFmtId="0" fontId="77" fillId="0" borderId="0" applyFill="0" applyBorder="0" applyProtection="0">
      <alignment horizontal="center" vertical="center"/>
    </xf>
    <xf numFmtId="0" fontId="136" fillId="0" borderId="0" applyFill="0" applyBorder="0" applyProtection="0">
      <alignment horizontal="center"/>
      <protection locked="0"/>
    </xf>
    <xf numFmtId="0" fontId="77" fillId="0" borderId="0" applyFill="0" applyBorder="0" applyProtection="0">
      <alignment horizontal="center" vertical="center"/>
    </xf>
    <xf numFmtId="0" fontId="27" fillId="8" borderId="13" applyNumberFormat="0" applyAlignment="0" applyProtection="0"/>
    <xf numFmtId="0" fontId="27" fillId="8" borderId="13" applyNumberFormat="0" applyAlignment="0" applyProtection="0"/>
    <xf numFmtId="0" fontId="45" fillId="70" borderId="18" applyNumberFormat="0" applyAlignment="0" applyProtection="0"/>
    <xf numFmtId="0" fontId="137" fillId="0" borderId="48">
      <alignment horizontal="center"/>
    </xf>
    <xf numFmtId="208" fontId="138" fillId="0" borderId="0" applyFont="0" applyFill="0" applyBorder="0" applyAlignment="0" applyProtection="0">
      <alignment horizontal="right"/>
    </xf>
    <xf numFmtId="209" fontId="139" fillId="0" borderId="0" applyFont="0" applyFill="0" applyBorder="0" applyAlignment="0" applyProtection="0"/>
    <xf numFmtId="210" fontId="140" fillId="0" borderId="0" applyFont="0" applyFill="0" applyBorder="0" applyAlignment="0" applyProtection="0"/>
    <xf numFmtId="211" fontId="1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39"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9" fillId="0" borderId="0">
      <protection locked="0"/>
    </xf>
    <xf numFmtId="0" fontId="145" fillId="0" borderId="0" applyFill="0" applyBorder="0" applyAlignment="0" applyProtection="0"/>
    <xf numFmtId="0" fontId="146" fillId="0" borderId="0" applyFill="0" applyBorder="0" applyAlignment="0" applyProtection="0">
      <protection locked="0"/>
    </xf>
    <xf numFmtId="0" fontId="145" fillId="0" borderId="0" applyFill="0" applyBorder="0" applyAlignment="0" applyProtection="0"/>
    <xf numFmtId="214" fontId="140" fillId="0" borderId="0" applyFont="0" applyFill="0" applyBorder="0" applyAlignment="0" applyProtection="0"/>
    <xf numFmtId="215" fontId="140" fillId="0" borderId="0" applyFont="0" applyFill="0" applyBorder="0" applyAlignment="0" applyProtection="0"/>
    <xf numFmtId="216" fontId="14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2"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9" fillId="0" borderId="0">
      <protection locked="0"/>
    </xf>
    <xf numFmtId="186" fontId="147" fillId="0" borderId="0" applyFont="0" applyFill="0" applyBorder="0" applyAlignment="0" applyProtection="0"/>
    <xf numFmtId="207" fontId="148"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9" fillId="0" borderId="0"/>
    <xf numFmtId="219" fontId="149" fillId="0" borderId="0"/>
    <xf numFmtId="165" fontId="149" fillId="0" borderId="0"/>
    <xf numFmtId="219" fontId="149" fillId="0" borderId="0"/>
    <xf numFmtId="220" fontId="149" fillId="0" borderId="0"/>
    <xf numFmtId="220" fontId="149" fillId="0" borderId="0"/>
    <xf numFmtId="218" fontId="149" fillId="0" borderId="0"/>
    <xf numFmtId="189" fontId="149" fillId="0" borderId="0"/>
    <xf numFmtId="221" fontId="149" fillId="0" borderId="0"/>
    <xf numFmtId="222" fontId="149" fillId="0" borderId="0"/>
    <xf numFmtId="223" fontId="149"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7" applyNumberFormat="0" applyFill="0" applyAlignment="0" applyProtection="0"/>
    <xf numFmtId="0" fontId="150" fillId="0" borderId="22" applyNumberFormat="0" applyFill="0" applyAlignment="0" applyProtection="0"/>
    <xf numFmtId="0" fontId="70" fillId="0" borderId="22" applyNumberFormat="0" applyFill="0" applyAlignment="0" applyProtection="0"/>
    <xf numFmtId="0" fontId="18" fillId="0" borderId="8" applyNumberFormat="0" applyFill="0" applyAlignment="0" applyProtection="0"/>
    <xf numFmtId="0" fontId="151" fillId="0" borderId="8" applyNumberFormat="0" applyFill="0" applyAlignment="0" applyProtection="0"/>
    <xf numFmtId="0" fontId="73" fillId="0" borderId="24"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52" fillId="0" borderId="26" applyNumberFormat="0" applyFill="0" applyAlignment="0" applyProtection="0"/>
    <xf numFmtId="0" fontId="75" fillId="0" borderId="26"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6" fillId="0" borderId="0" applyFill="0" applyAlignment="0" applyProtection="0">
      <protection locked="0"/>
    </xf>
    <xf numFmtId="0" fontId="15" fillId="0" borderId="0" applyFill="0" applyAlignment="0" applyProtection="0"/>
    <xf numFmtId="0" fontId="15" fillId="0" borderId="39" applyFill="0" applyAlignment="0" applyProtection="0"/>
    <xf numFmtId="0" fontId="136" fillId="0" borderId="39" applyFill="0" applyAlignment="0" applyProtection="0">
      <protection locked="0"/>
    </xf>
    <xf numFmtId="0" fontId="15" fillId="0" borderId="39" applyFill="0" applyAlignment="0" applyProtection="0"/>
    <xf numFmtId="0" fontId="136" fillId="0" borderId="0" applyFill="0" applyAlignment="0" applyProtection="0"/>
    <xf numFmtId="207" fontId="153" fillId="67" borderId="0" applyNumberFormat="0" applyBorder="0" applyAlignment="0" applyProtection="0"/>
    <xf numFmtId="0" fontId="23" fillId="6" borderId="10"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2" applyNumberFormat="0" applyFill="0" applyAlignment="0" applyProtection="0"/>
    <xf numFmtId="0" fontId="26" fillId="0" borderId="12" applyNumberFormat="0" applyFill="0" applyAlignment="0" applyProtection="0"/>
    <xf numFmtId="0" fontId="82" fillId="0" borderId="31"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1" fillId="0" borderId="0"/>
    <xf numFmtId="207" fontId="10" fillId="0" borderId="0"/>
    <xf numFmtId="0" fontId="14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0" fillId="39" borderId="35" applyNumberFormat="0" applyFont="0" applyAlignment="0" applyProtection="0"/>
    <xf numFmtId="0" fontId="1" fillId="9" borderId="14" applyNumberFormat="0" applyFont="0" applyAlignment="0" applyProtection="0"/>
    <xf numFmtId="0" fontId="24" fillId="7" borderId="11" applyNumberFormat="0" applyAlignment="0" applyProtection="0"/>
    <xf numFmtId="0" fontId="24" fillId="7" borderId="11" applyNumberFormat="0" applyAlignment="0" applyProtection="0"/>
    <xf numFmtId="0" fontId="24" fillId="68" borderId="11" applyNumberFormat="0" applyAlignment="0" applyProtection="0"/>
    <xf numFmtId="0" fontId="91" fillId="68" borderId="36"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40" fillId="0" borderId="0" applyFont="0" applyFill="0" applyBorder="0" applyAlignment="0" applyProtection="0"/>
    <xf numFmtId="225" fontId="139" fillId="0" borderId="0" applyFont="0" applyFill="0" applyBorder="0" applyAlignment="0" applyProtection="0"/>
    <xf numFmtId="226" fontId="140" fillId="0" borderId="0" applyFont="0" applyFill="0" applyBorder="0" applyAlignment="0" applyProtection="0"/>
    <xf numFmtId="227" fontId="139" fillId="0" borderId="0" applyFont="0" applyFill="0" applyBorder="0" applyAlignment="0" applyProtection="0"/>
    <xf numFmtId="228" fontId="140" fillId="0" borderId="0" applyFont="0" applyFill="0" applyBorder="0" applyAlignment="0" applyProtection="0"/>
    <xf numFmtId="229" fontId="139" fillId="0" borderId="0" applyFont="0" applyFill="0" applyBorder="0" applyAlignment="0" applyProtection="0"/>
    <xf numFmtId="230" fontId="140" fillId="0" borderId="0" applyFont="0" applyFill="0" applyBorder="0" applyAlignment="0" applyProtection="0"/>
    <xf numFmtId="231" fontId="139" fillId="0" borderId="0" applyFont="0" applyFill="0" applyBorder="0" applyAlignment="0" applyProtection="0"/>
    <xf numFmtId="232" fontId="139" fillId="0" borderId="0" applyFont="0" applyFill="0" applyBorder="0" applyAlignment="0" applyProtection="0"/>
    <xf numFmtId="233"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4" fillId="85" borderId="0" applyNumberFormat="0" applyBorder="0" applyAlignment="0" applyProtection="0"/>
    <xf numFmtId="0" fontId="154" fillId="0" borderId="0">
      <alignment horizontal="right"/>
    </xf>
    <xf numFmtId="0" fontId="155" fillId="0" borderId="0">
      <alignment horizontal="right"/>
    </xf>
    <xf numFmtId="0" fontId="149" fillId="0" borderId="0"/>
    <xf numFmtId="0" fontId="156" fillId="0" borderId="0" applyNumberFormat="0" applyBorder="0" applyAlignment="0"/>
    <xf numFmtId="0" fontId="156" fillId="0" borderId="0" applyNumberFormat="0" applyBorder="0" applyAlignment="0"/>
    <xf numFmtId="0" fontId="12" fillId="0" borderId="0" applyNumberFormat="0" applyBorder="0" applyAlignment="0"/>
    <xf numFmtId="207" fontId="12" fillId="0" borderId="0" applyNumberFormat="0" applyBorder="0" applyAlignment="0"/>
    <xf numFmtId="0" fontId="149" fillId="0" borderId="0"/>
    <xf numFmtId="207" fontId="12" fillId="0" borderId="0" applyNumberFormat="0" applyBorder="0" applyAlignment="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xf numFmtId="207" fontId="160" fillId="0" borderId="0"/>
    <xf numFmtId="0" fontId="161" fillId="0" borderId="0"/>
    <xf numFmtId="0" fontId="162" fillId="0" borderId="0" applyNumberFormat="0" applyBorder="0" applyAlignment="0"/>
    <xf numFmtId="0" fontId="162" fillId="0" borderId="0" applyNumberFormat="0" applyBorder="0" applyAlignment="0"/>
    <xf numFmtId="0" fontId="161" fillId="0" borderId="0"/>
    <xf numFmtId="0" fontId="163" fillId="0" borderId="0" applyNumberFormat="0" applyBorder="0" applyAlignment="0"/>
    <xf numFmtId="0" fontId="164" fillId="0" borderId="0"/>
    <xf numFmtId="207" fontId="165" fillId="0" borderId="0"/>
    <xf numFmtId="0" fontId="166" fillId="0" borderId="0"/>
    <xf numFmtId="0" fontId="162" fillId="105" borderId="0" applyNumberFormat="0" applyBorder="0" applyAlignment="0"/>
    <xf numFmtId="0" fontId="167" fillId="0" borderId="0"/>
    <xf numFmtId="0" fontId="168" fillId="0" borderId="0"/>
    <xf numFmtId="0" fontId="169" fillId="0" borderId="0"/>
    <xf numFmtId="0" fontId="168" fillId="79" borderId="0"/>
    <xf numFmtId="0" fontId="16" fillId="0" borderId="0" applyNumberFormat="0" applyFill="0" applyBorder="0" applyAlignment="0" applyProtection="0"/>
    <xf numFmtId="0" fontId="170" fillId="71" borderId="49" applyNumberFormat="0">
      <alignment horizontal="left"/>
    </xf>
    <xf numFmtId="0" fontId="16" fillId="0" borderId="0" applyNumberFormat="0" applyFill="0" applyBorder="0" applyAlignment="0" applyProtection="0"/>
    <xf numFmtId="0" fontId="171" fillId="0" borderId="0" applyNumberFormat="0" applyFill="0" applyBorder="0" applyAlignment="0" applyProtection="0"/>
    <xf numFmtId="0" fontId="113" fillId="0" borderId="0" applyNumberFormat="0" applyFill="0" applyBorder="0" applyAlignment="0" applyProtection="0"/>
    <xf numFmtId="0" fontId="170" fillId="71" borderId="50">
      <alignment horizontal="left"/>
    </xf>
    <xf numFmtId="3" fontId="32" fillId="0" borderId="0"/>
    <xf numFmtId="0" fontId="30" fillId="0" borderId="15"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9" fillId="0" borderId="0" applyFont="0" applyFill="0" applyBorder="0" applyAlignment="0" applyProtection="0"/>
    <xf numFmtId="235" fontId="139" fillId="0" borderId="0" applyFont="0" applyFill="0" applyBorder="0" applyAlignment="0" applyProtection="0"/>
    <xf numFmtId="236" fontId="139" fillId="0" borderId="0" applyFont="0" applyFill="0" applyBorder="0" applyAlignment="0" applyProtection="0"/>
    <xf numFmtId="237" fontId="139" fillId="0" borderId="0" applyFont="0" applyFill="0" applyBorder="0" applyAlignment="0" applyProtection="0"/>
    <xf numFmtId="238" fontId="139" fillId="0" borderId="0" applyFont="0" applyFill="0" applyBorder="0" applyAlignment="0" applyProtection="0"/>
    <xf numFmtId="239" fontId="139" fillId="0" borderId="0" applyFont="0" applyFill="0" applyBorder="0" applyAlignment="0" applyProtection="0"/>
    <xf numFmtId="240" fontId="139" fillId="0" borderId="0" applyFont="0" applyFill="0" applyBorder="0" applyAlignment="0" applyProtection="0"/>
    <xf numFmtId="241" fontId="139"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5" fillId="0" borderId="9"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5" fillId="0" borderId="9"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6" applyNumberFormat="0" applyAlignment="0" applyProtection="0"/>
    <xf numFmtId="0" fontId="43" fillId="68" borderId="17"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0" fontId="10" fillId="39" borderId="35" applyNumberFormat="0" applyFont="0" applyAlignment="0" applyProtection="0"/>
    <xf numFmtId="9" fontId="32" fillId="0" borderId="0" applyFont="0" applyFill="0" applyBorder="0" applyAlignment="0" applyProtection="0"/>
    <xf numFmtId="0" fontId="62" fillId="0" borderId="44"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7"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32" fillId="0" borderId="0" applyFont="0" applyFill="0" applyBorder="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4"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9" fontId="32" fillId="0" borderId="0" applyFont="0" applyFill="0" applyBorder="0" applyAlignment="0" applyProtection="0"/>
    <xf numFmtId="0" fontId="91" fillId="68" borderId="36" applyNumberFormat="0" applyAlignment="0" applyProtection="0"/>
    <xf numFmtId="0" fontId="30"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4" applyNumberFormat="0" applyFill="0" applyAlignment="0" applyProtection="0"/>
    <xf numFmtId="0" fontId="62" fillId="0" borderId="44"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7"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5" applyNumberFormat="0" applyFont="0" applyAlignment="0" applyProtection="0"/>
    <xf numFmtId="0" fontId="91" fillId="68" borderId="36"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4"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5" applyNumberFormat="0" applyFont="0" applyAlignment="0" applyProtection="0"/>
    <xf numFmtId="0" fontId="43" fillId="68"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4"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7"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5"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2" fillId="0" borderId="0"/>
    <xf numFmtId="44"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2" fillId="0" borderId="0" applyFont="0" applyFill="0" applyBorder="0" applyAlignment="0" applyProtection="0"/>
    <xf numFmtId="9" fontId="172"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5" fillId="0" borderId="9"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0" fontId="1" fillId="9" borderId="1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91" fillId="68" borderId="36" applyNumberFormat="0" applyAlignment="0" applyProtection="0"/>
    <xf numFmtId="0" fontId="43" fillId="68" borderId="17" applyNumberFormat="0" applyAlignment="0" applyProtection="0"/>
    <xf numFmtId="0" fontId="43" fillId="68" borderId="17" applyNumberFormat="0" applyAlignment="0" applyProtection="0"/>
    <xf numFmtId="0" fontId="10" fillId="39" borderId="35" applyNumberFormat="0" applyFon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43" fillId="68" borderId="17" applyNumberFormat="0" applyAlignment="0" applyProtection="0"/>
    <xf numFmtId="0" fontId="91" fillId="68" borderId="36" applyNumberFormat="0" applyAlignment="0" applyProtection="0"/>
    <xf numFmtId="0" fontId="30" fillId="0" borderId="44" applyNumberFormat="0" applyFill="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30" fillId="0" borderId="44" applyNumberFormat="0" applyFill="0" applyAlignment="0" applyProtection="0"/>
    <xf numFmtId="0" fontId="10" fillId="39" borderId="35" applyNumberFormat="0" applyFont="0" applyAlignment="0" applyProtection="0"/>
    <xf numFmtId="0" fontId="91" fillId="68" borderId="36" applyNumberFormat="0" applyAlignment="0" applyProtection="0"/>
    <xf numFmtId="0" fontId="62" fillId="0" borderId="44" applyNumberFormat="0" applyFill="0" applyAlignment="0" applyProtection="0"/>
    <xf numFmtId="0" fontId="43" fillId="68" borderId="17" applyNumberFormat="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43" fillId="68" borderId="17"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79" fillId="41" borderId="17" applyNumberFormat="0" applyAlignment="0" applyProtection="0"/>
    <xf numFmtId="0" fontId="10" fillId="39" borderId="35" applyNumberFormat="0" applyFont="0" applyAlignment="0" applyProtection="0"/>
    <xf numFmtId="0" fontId="30" fillId="0" borderId="44" applyNumberFormat="0" applyFill="0" applyAlignment="0" applyProtection="0"/>
    <xf numFmtId="0" fontId="91" fillId="68" borderId="36" applyNumberFormat="0" applyAlignment="0" applyProtection="0"/>
    <xf numFmtId="0" fontId="91" fillId="68" borderId="36" applyNumberFormat="0" applyAlignment="0" applyProtection="0"/>
    <xf numFmtId="0" fontId="62" fillId="0" borderId="44" applyNumberFormat="0" applyFill="0" applyAlignment="0" applyProtection="0"/>
    <xf numFmtId="0" fontId="30" fillId="0" borderId="44" applyNumberFormat="0" applyFill="0" applyAlignment="0" applyProtection="0"/>
    <xf numFmtId="0" fontId="91" fillId="68" borderId="36" applyNumberFormat="0" applyAlignment="0" applyProtection="0"/>
    <xf numFmtId="0" fontId="79" fillId="41" borderId="17" applyNumberFormat="0" applyAlignment="0" applyProtection="0"/>
    <xf numFmtId="0" fontId="79" fillId="41" borderId="17" applyNumberFormat="0" applyAlignment="0" applyProtection="0"/>
    <xf numFmtId="0" fontId="43" fillId="68" borderId="17" applyNumberFormat="0" applyAlignment="0" applyProtection="0"/>
    <xf numFmtId="0" fontId="91" fillId="68" borderId="36" applyNumberFormat="0" applyAlignment="0" applyProtection="0"/>
    <xf numFmtId="0" fontId="79" fillId="41" borderId="17" applyNumberFormat="0" applyAlignment="0" applyProtection="0"/>
    <xf numFmtId="0" fontId="43" fillId="68" borderId="17" applyNumberFormat="0" applyAlignment="0" applyProtection="0"/>
    <xf numFmtId="3" fontId="66" fillId="0" borderId="0" applyFont="0" applyFill="0" applyBorder="0" applyAlignment="0" applyProtection="0"/>
    <xf numFmtId="0" fontId="43" fillId="68" borderId="17" applyNumberFormat="0" applyAlignment="0" applyProtection="0"/>
    <xf numFmtId="0" fontId="43" fillId="68"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79" fillId="41" borderId="17" applyNumberFormat="0" applyAlignment="0" applyProtection="0"/>
    <xf numFmtId="0" fontId="39" fillId="39" borderId="35" applyNumberFormat="0" applyFont="0" applyAlignment="0" applyProtection="0"/>
    <xf numFmtId="0" fontId="39"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34"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39" fillId="39" borderId="35" applyNumberFormat="0" applyFon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8" borderId="36" applyNumberFormat="0" applyAlignment="0" applyProtection="0"/>
    <xf numFmtId="0" fontId="91" fillId="69" borderId="36"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6" applyNumberFormat="0" applyProtection="0">
      <alignment vertical="center"/>
    </xf>
    <xf numFmtId="4" fontId="12" fillId="76" borderId="36" applyNumberFormat="0" applyProtection="0">
      <alignment vertical="center"/>
    </xf>
    <xf numFmtId="4" fontId="100" fillId="76" borderId="36" applyNumberFormat="0" applyProtection="0">
      <alignment vertical="center"/>
    </xf>
    <xf numFmtId="4" fontId="100" fillId="76" borderId="36" applyNumberFormat="0" applyProtection="0">
      <alignment vertical="center"/>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4" fontId="12" fillId="76"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83" borderId="36" applyNumberFormat="0" applyProtection="0">
      <alignment horizontal="right" vertical="center"/>
    </xf>
    <xf numFmtId="4" fontId="12" fillId="83" borderId="36" applyNumberFormat="0" applyProtection="0">
      <alignment horizontal="right" vertical="center"/>
    </xf>
    <xf numFmtId="4" fontId="12" fillId="84" borderId="36" applyNumberFormat="0" applyProtection="0">
      <alignment horizontal="right" vertical="center"/>
    </xf>
    <xf numFmtId="4" fontId="12" fillId="84" borderId="36" applyNumberFormat="0" applyProtection="0">
      <alignment horizontal="right" vertical="center"/>
    </xf>
    <xf numFmtId="4" fontId="12" fillId="85" borderId="36" applyNumberFormat="0" applyProtection="0">
      <alignment horizontal="right" vertical="center"/>
    </xf>
    <xf numFmtId="4" fontId="12" fillId="85" borderId="36" applyNumberFormat="0" applyProtection="0">
      <alignment horizontal="right" vertical="center"/>
    </xf>
    <xf numFmtId="4" fontId="12" fillId="86" borderId="36" applyNumberFormat="0" applyProtection="0">
      <alignment horizontal="right" vertical="center"/>
    </xf>
    <xf numFmtId="4" fontId="12" fillId="86" borderId="36" applyNumberFormat="0" applyProtection="0">
      <alignment horizontal="right" vertical="center"/>
    </xf>
    <xf numFmtId="4" fontId="12" fillId="87" borderId="36" applyNumberFormat="0" applyProtection="0">
      <alignment horizontal="right" vertical="center"/>
    </xf>
    <xf numFmtId="4" fontId="12" fillId="87" borderId="36" applyNumberFormat="0" applyProtection="0">
      <alignment horizontal="right" vertical="center"/>
    </xf>
    <xf numFmtId="4" fontId="12" fillId="88" borderId="36" applyNumberFormat="0" applyProtection="0">
      <alignment horizontal="right" vertical="center"/>
    </xf>
    <xf numFmtId="4" fontId="12" fillId="88" borderId="36" applyNumberFormat="0" applyProtection="0">
      <alignment horizontal="right" vertical="center"/>
    </xf>
    <xf numFmtId="4" fontId="12" fillId="89" borderId="36" applyNumberFormat="0" applyProtection="0">
      <alignment horizontal="right" vertical="center"/>
    </xf>
    <xf numFmtId="4" fontId="12" fillId="89" borderId="36" applyNumberFormat="0" applyProtection="0">
      <alignment horizontal="right" vertical="center"/>
    </xf>
    <xf numFmtId="4" fontId="12" fillId="90" borderId="36" applyNumberFormat="0" applyProtection="0">
      <alignment horizontal="right" vertical="center"/>
    </xf>
    <xf numFmtId="4" fontId="12" fillId="90" borderId="36" applyNumberFormat="0" applyProtection="0">
      <alignment horizontal="right" vertical="center"/>
    </xf>
    <xf numFmtId="4" fontId="12" fillId="91" borderId="36" applyNumberFormat="0" applyProtection="0">
      <alignment horizontal="right" vertical="center"/>
    </xf>
    <xf numFmtId="4" fontId="12" fillId="91" borderId="36" applyNumberFormat="0" applyProtection="0">
      <alignment horizontal="right" vertical="center"/>
    </xf>
    <xf numFmtId="4" fontId="13" fillId="92" borderId="36" applyNumberFormat="0" applyProtection="0">
      <alignment horizontal="left" vertical="center" indent="1"/>
    </xf>
    <xf numFmtId="4" fontId="13" fillId="92"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4"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4" fontId="12"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6"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97"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7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2" fillId="98" borderId="36" applyNumberFormat="0" applyProtection="0">
      <alignment vertical="center"/>
    </xf>
    <xf numFmtId="4" fontId="12" fillId="98" borderId="36" applyNumberFormat="0" applyProtection="0">
      <alignment vertical="center"/>
    </xf>
    <xf numFmtId="4" fontId="100" fillId="98" borderId="36" applyNumberFormat="0" applyProtection="0">
      <alignment vertical="center"/>
    </xf>
    <xf numFmtId="4" fontId="100" fillId="98" borderId="36" applyNumberFormat="0" applyProtection="0">
      <alignment vertical="center"/>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8" borderId="36" applyNumberFormat="0" applyProtection="0">
      <alignment horizontal="left" vertical="center" indent="1"/>
    </xf>
    <xf numFmtId="4" fontId="12" fillId="94" borderId="36" applyNumberFormat="0" applyProtection="0">
      <alignment horizontal="right" vertical="center"/>
    </xf>
    <xf numFmtId="4" fontId="12" fillId="94" borderId="36" applyNumberFormat="0" applyProtection="0">
      <alignment horizontal="right" vertical="center"/>
    </xf>
    <xf numFmtId="4" fontId="12" fillId="94" borderId="36" applyNumberFormat="0" applyProtection="0">
      <alignment horizontal="right" vertical="center"/>
    </xf>
    <xf numFmtId="4" fontId="100" fillId="94" borderId="36" applyNumberFormat="0" applyProtection="0">
      <alignment horizontal="right" vertical="center"/>
    </xf>
    <xf numFmtId="4" fontId="100" fillId="94" borderId="36" applyNumberFormat="0" applyProtection="0">
      <alignment horizontal="right" vertical="center"/>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0" fontId="10" fillId="81" borderId="36" applyNumberFormat="0" applyProtection="0">
      <alignment horizontal="left" vertical="center" indent="1"/>
    </xf>
    <xf numFmtId="4" fontId="105" fillId="94" borderId="36" applyNumberFormat="0" applyProtection="0">
      <alignment horizontal="right" vertical="center"/>
    </xf>
    <xf numFmtId="4" fontId="105" fillId="94" borderId="36"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0" fontId="43" fillId="68" borderId="17" applyNumberFormat="0" applyAlignment="0" applyProtection="0"/>
    <xf numFmtId="0" fontId="10" fillId="39" borderId="35" applyNumberFormat="0" applyFont="0" applyAlignment="0" applyProtection="0"/>
    <xf numFmtId="0" fontId="91" fillId="68" borderId="36" applyNumberFormat="0" applyAlignment="0" applyProtection="0"/>
    <xf numFmtId="0" fontId="30" fillId="0" borderId="44" applyNumberFormat="0" applyFill="0" applyAlignment="0" applyProtection="0"/>
    <xf numFmtId="0" fontId="62" fillId="0" borderId="44" applyNumberFormat="0" applyFill="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39" borderId="3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10">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0" fillId="0" borderId="0" xfId="7"/>
    <xf numFmtId="0" fontId="11" fillId="0" borderId="3" xfId="7" applyFont="1" applyFill="1" applyBorder="1" applyAlignment="1">
      <alignment horizontal="left" vertical="top"/>
    </xf>
    <xf numFmtId="0" fontId="10" fillId="0" borderId="0" xfId="7" applyFill="1"/>
    <xf numFmtId="0" fontId="0" fillId="0" borderId="0" xfId="0" applyFill="1"/>
    <xf numFmtId="0" fontId="12" fillId="0" borderId="3" xfId="7" applyFont="1" applyFill="1" applyBorder="1" applyAlignment="1">
      <alignment horizontal="left" vertical="top"/>
    </xf>
    <xf numFmtId="0" fontId="11" fillId="0" borderId="4" xfId="7" applyFont="1" applyFill="1" applyBorder="1" applyAlignment="1">
      <alignment horizontal="left" vertical="top" wrapText="1"/>
    </xf>
    <xf numFmtId="0" fontId="11" fillId="0" borderId="4" xfId="7" applyFont="1" applyFill="1" applyBorder="1" applyAlignment="1">
      <alignment horizontal="left" vertical="top"/>
    </xf>
    <xf numFmtId="0" fontId="11" fillId="0" borderId="5" xfId="7" applyFont="1" applyFill="1" applyBorder="1" applyAlignment="1">
      <alignment horizontal="left" vertical="top" wrapText="1"/>
    </xf>
    <xf numFmtId="0" fontId="11" fillId="0" borderId="5" xfId="7" applyFont="1" applyFill="1" applyBorder="1" applyAlignment="1">
      <alignment horizontal="left" vertical="top"/>
    </xf>
    <xf numFmtId="0" fontId="11" fillId="0" borderId="6" xfId="7" applyFont="1" applyFill="1" applyBorder="1" applyAlignment="1">
      <alignment horizontal="left" vertical="top"/>
    </xf>
    <xf numFmtId="0" fontId="11" fillId="0" borderId="6" xfId="7" applyFont="1" applyFill="1" applyBorder="1" applyAlignment="1">
      <alignment horizontal="left" vertical="top" wrapText="1"/>
    </xf>
    <xf numFmtId="0" fontId="11" fillId="0" borderId="3" xfId="7" applyFont="1" applyFill="1" applyBorder="1" applyAlignment="1">
      <alignment horizontal="center" wrapText="1"/>
    </xf>
    <xf numFmtId="0" fontId="12" fillId="0" borderId="3" xfId="7" applyFont="1" applyFill="1" applyBorder="1" applyAlignment="1">
      <alignment horizontal="center"/>
    </xf>
    <xf numFmtId="0" fontId="15" fillId="0" borderId="0" xfId="7" applyFont="1" applyFill="1"/>
    <xf numFmtId="173" fontId="13" fillId="0" borderId="3" xfId="7" applyNumberFormat="1" applyFont="1" applyFill="1" applyBorder="1" applyAlignment="1">
      <alignment horizontal="right" vertical="center"/>
    </xf>
    <xf numFmtId="0" fontId="13" fillId="0" borderId="3" xfId="7" applyNumberFormat="1" applyFont="1" applyFill="1" applyBorder="1" applyAlignment="1">
      <alignment horizontal="right" vertical="center"/>
    </xf>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3" xfId="7" applyFont="1" applyFill="1" applyBorder="1" applyAlignment="1">
      <alignment horizont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6" fillId="2" borderId="0" xfId="3" applyFont="1" applyFill="1" applyAlignment="1">
      <alignment horizontal="right"/>
    </xf>
    <xf numFmtId="0" fontId="9" fillId="0" borderId="0" xfId="3" applyFont="1" applyAlignment="1">
      <alignment horizontal="right"/>
    </xf>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0" fontId="11" fillId="0" borderId="3" xfId="30951" applyFont="1" applyFill="1" applyBorder="1" applyAlignment="1">
      <alignment horizontal="left" vertical="top"/>
    </xf>
    <xf numFmtId="173" fontId="13" fillId="0" borderId="3" xfId="30949" applyNumberFormat="1" applyFont="1" applyFill="1" applyBorder="1" applyAlignment="1">
      <alignment horizontal="right" vertical="center"/>
    </xf>
    <xf numFmtId="173" fontId="13" fillId="0" borderId="3" xfId="9550" applyNumberFormat="1" applyFont="1" applyFill="1" applyBorder="1" applyAlignment="1">
      <alignment horizontal="right" vertical="center"/>
    </xf>
    <xf numFmtId="171" fontId="11" fillId="0" borderId="3" xfId="9550" applyNumberFormat="1" applyFont="1" applyFill="1" applyBorder="1" applyAlignment="1">
      <alignment horizontal="right" vertical="center"/>
    </xf>
    <xf numFmtId="171" fontId="11" fillId="0" borderId="3" xfId="30949" applyNumberFormat="1" applyFont="1" applyFill="1" applyBorder="1" applyAlignment="1">
      <alignment horizontal="right" vertical="center"/>
    </xf>
    <xf numFmtId="0" fontId="10" fillId="0" borderId="0" xfId="30954"/>
    <xf numFmtId="0" fontId="11" fillId="0" borderId="3" xfId="9552" applyFont="1" applyFill="1" applyBorder="1" applyAlignment="1">
      <alignment horizontal="left" vertical="center"/>
    </xf>
    <xf numFmtId="173" fontId="13" fillId="0" borderId="3" xfId="9554" applyNumberFormat="1" applyFont="1" applyFill="1" applyBorder="1" applyAlignment="1">
      <alignment horizontal="right" vertical="center"/>
    </xf>
    <xf numFmtId="171" fontId="13" fillId="0" borderId="3" xfId="30951" applyNumberFormat="1" applyFont="1" applyFill="1" applyBorder="1" applyAlignment="1">
      <alignment horizontal="right" vertical="center"/>
    </xf>
    <xf numFmtId="0" fontId="11" fillId="0" borderId="3" xfId="30949" applyFont="1" applyFill="1" applyBorder="1" applyAlignment="1">
      <alignment horizontal="left" vertical="center"/>
    </xf>
    <xf numFmtId="172" fontId="11" fillId="0" borderId="3" xfId="9552" applyNumberFormat="1" applyFont="1" applyFill="1" applyBorder="1" applyAlignment="1">
      <alignment horizontal="right" vertical="center"/>
    </xf>
    <xf numFmtId="172" fontId="13" fillId="0" borderId="3" xfId="9554" applyNumberFormat="1" applyFont="1" applyFill="1" applyBorder="1" applyAlignment="1">
      <alignment horizontal="right" vertical="center"/>
    </xf>
    <xf numFmtId="0" fontId="10" fillId="0" borderId="0" xfId="30951" applyFill="1"/>
    <xf numFmtId="0" fontId="10" fillId="0" borderId="0" xfId="30948"/>
    <xf numFmtId="0" fontId="11" fillId="0" borderId="4" xfId="30952" applyFont="1" applyFill="1" applyBorder="1" applyAlignment="1">
      <alignment horizontal="left" vertical="top"/>
    </xf>
    <xf numFmtId="171" fontId="11" fillId="0" borderId="3" xfId="30951" applyNumberFormat="1" applyFont="1" applyFill="1" applyBorder="1" applyAlignment="1">
      <alignment horizontal="right" vertical="center"/>
    </xf>
    <xf numFmtId="172" fontId="13" fillId="0" borderId="3" xfId="30949" applyNumberFormat="1" applyFont="1" applyFill="1" applyBorder="1" applyAlignment="1">
      <alignment horizontal="right" vertical="center"/>
    </xf>
    <xf numFmtId="171" fontId="13" fillId="0" borderId="3" xfId="9550" applyNumberFormat="1" applyFont="1" applyFill="1" applyBorder="1" applyAlignment="1">
      <alignment horizontal="right" vertical="center"/>
    </xf>
    <xf numFmtId="171" fontId="11" fillId="0" borderId="3" xfId="30952" applyNumberFormat="1" applyFont="1" applyFill="1" applyBorder="1" applyAlignment="1">
      <alignment horizontal="right" vertical="center"/>
    </xf>
    <xf numFmtId="171" fontId="13" fillId="0" borderId="3" xfId="9552" applyNumberFormat="1" applyFont="1" applyFill="1" applyBorder="1" applyAlignment="1">
      <alignment horizontal="right" vertical="center"/>
    </xf>
    <xf numFmtId="171" fontId="11" fillId="0" borderId="3" xfId="9554" applyNumberFormat="1" applyFont="1" applyFill="1" applyBorder="1" applyAlignment="1">
      <alignment horizontal="right" vertical="center"/>
    </xf>
    <xf numFmtId="172" fontId="13" fillId="0" borderId="3" xfId="30951" applyNumberFormat="1" applyFont="1" applyFill="1" applyBorder="1" applyAlignment="1">
      <alignment horizontal="right" vertical="center"/>
    </xf>
    <xf numFmtId="172" fontId="13" fillId="0" borderId="3" xfId="9550" applyNumberFormat="1" applyFont="1" applyFill="1" applyBorder="1" applyAlignment="1">
      <alignment horizontal="right" vertical="center"/>
    </xf>
    <xf numFmtId="0" fontId="11" fillId="0" borderId="4" xfId="30951" applyFont="1" applyFill="1" applyBorder="1" applyAlignment="1">
      <alignment horizontal="left" vertical="top" wrapText="1"/>
    </xf>
    <xf numFmtId="173" fontId="13" fillId="0" borderId="3" xfId="30950" applyNumberFormat="1" applyFont="1" applyFill="1" applyBorder="1" applyAlignment="1">
      <alignment horizontal="right" vertical="center"/>
    </xf>
    <xf numFmtId="172" fontId="11" fillId="0" borderId="3" xfId="9550" applyNumberFormat="1" applyFont="1" applyFill="1" applyBorder="1" applyAlignment="1">
      <alignment horizontal="right" vertical="center"/>
    </xf>
    <xf numFmtId="165" fontId="124" fillId="2" borderId="0" xfId="4"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8" fontId="7" fillId="2" borderId="0" xfId="5"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7" fontId="5" fillId="2" borderId="0" xfId="3" applyNumberFormat="1" applyFont="1" applyFill="1" applyBorder="1"/>
    <xf numFmtId="0" fontId="3" fillId="2" borderId="0" xfId="0" applyFont="1" applyFill="1" applyAlignment="1"/>
    <xf numFmtId="10" fontId="7" fillId="2" borderId="0" xfId="2" applyNumberFormat="1" applyFont="1" applyFill="1"/>
    <xf numFmtId="167" fontId="8" fillId="2" borderId="2" xfId="5" applyNumberFormat="1" applyFont="1" applyFill="1" applyBorder="1"/>
    <xf numFmtId="166" fontId="7" fillId="2" borderId="0" xfId="3" applyNumberFormat="1" applyFont="1" applyFill="1" applyAlignment="1">
      <alignment vertical="center" wrapText="1"/>
    </xf>
    <xf numFmtId="166" fontId="5" fillId="2" borderId="0" xfId="1" applyNumberFormat="1" applyFont="1" applyFill="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0" fontId="3" fillId="2" borderId="0" xfId="3" applyFont="1" applyFill="1" applyAlignment="1">
      <alignment horizontal="center"/>
    </xf>
    <xf numFmtId="165" fontId="122" fillId="2" borderId="0" xfId="4" applyNumberFormat="1" applyFont="1" applyFill="1"/>
    <xf numFmtId="165" fontId="123" fillId="2" borderId="0" xfId="4" applyNumberFormat="1" applyFont="1" applyFill="1"/>
    <xf numFmtId="0" fontId="11" fillId="0" borderId="4" xfId="30951" applyFont="1" applyFill="1" applyBorder="1" applyAlignment="1">
      <alignment horizontal="left" vertical="top"/>
    </xf>
    <xf numFmtId="0" fontId="12" fillId="0" borderId="3" xfId="30952" applyFont="1" applyFill="1" applyBorder="1" applyAlignment="1">
      <alignment horizontal="left" vertical="top"/>
    </xf>
    <xf numFmtId="172" fontId="11" fillId="0" borderId="3" xfId="30949" applyNumberFormat="1" applyFont="1" applyFill="1" applyBorder="1" applyAlignment="1">
      <alignment horizontal="right" vertical="center"/>
    </xf>
    <xf numFmtId="0" fontId="11" fillId="0" borderId="6" xfId="30952" applyFont="1" applyFill="1" applyBorder="1" applyAlignment="1">
      <alignment horizontal="left" vertical="top"/>
    </xf>
    <xf numFmtId="0" fontId="11" fillId="0" borderId="3" xfId="30951" applyFont="1" applyFill="1" applyBorder="1" applyAlignment="1">
      <alignment horizontal="left" vertical="center"/>
    </xf>
    <xf numFmtId="0" fontId="30" fillId="0" borderId="0" xfId="0" applyFont="1" applyFill="1" applyAlignment="1">
      <alignment horizontal="center"/>
    </xf>
    <xf numFmtId="172" fontId="11" fillId="0" borderId="3" xfId="30952" applyNumberFormat="1" applyFont="1" applyFill="1" applyBorder="1" applyAlignment="1">
      <alignment horizontal="right" vertical="center"/>
    </xf>
    <xf numFmtId="0" fontId="12" fillId="0" borderId="3" xfId="30951" applyFont="1" applyFill="1" applyBorder="1" applyAlignment="1">
      <alignment horizontal="left" vertical="top"/>
    </xf>
    <xf numFmtId="172" fontId="13" fillId="0" borderId="3" xfId="9552" applyNumberFormat="1" applyFont="1" applyFill="1" applyBorder="1" applyAlignment="1">
      <alignment horizontal="right" vertical="center"/>
    </xf>
    <xf numFmtId="172" fontId="13" fillId="0" borderId="3" xfId="30950" applyNumberFormat="1" applyFont="1" applyFill="1" applyBorder="1" applyAlignment="1">
      <alignment horizontal="right" vertical="center"/>
    </xf>
    <xf numFmtId="173" fontId="13" fillId="0" borderId="3" xfId="9552" applyNumberFormat="1" applyFont="1" applyFill="1" applyBorder="1" applyAlignment="1">
      <alignment horizontal="right" vertical="center"/>
    </xf>
    <xf numFmtId="0" fontId="11" fillId="0" borderId="3" xfId="30951" applyFont="1" applyFill="1" applyBorder="1" applyAlignment="1">
      <alignment horizontal="center" vertical="center" wrapText="1"/>
    </xf>
    <xf numFmtId="0" fontId="11" fillId="0" borderId="5" xfId="30952" applyFont="1" applyFill="1" applyBorder="1" applyAlignment="1">
      <alignment horizontal="left" vertical="top"/>
    </xf>
    <xf numFmtId="172" fontId="11" fillId="0" borderId="3" xfId="9554" applyNumberFormat="1" applyFont="1" applyFill="1" applyBorder="1" applyAlignment="1">
      <alignment horizontal="right" vertical="center"/>
    </xf>
    <xf numFmtId="171" fontId="13" fillId="0" borderId="3" xfId="30949" applyNumberFormat="1" applyFont="1" applyFill="1" applyBorder="1" applyAlignment="1">
      <alignment horizontal="right" vertical="center"/>
    </xf>
    <xf numFmtId="0" fontId="11" fillId="0" borderId="5" xfId="30951" applyFont="1" applyFill="1" applyBorder="1" applyAlignment="1">
      <alignment horizontal="left" vertical="top" wrapText="1"/>
    </xf>
    <xf numFmtId="0" fontId="11" fillId="0" borderId="3" xfId="30951" applyFont="1" applyFill="1" applyBorder="1" applyAlignment="1">
      <alignment horizontal="left" vertical="center" wrapText="1"/>
    </xf>
    <xf numFmtId="0" fontId="11" fillId="0" borderId="3" xfId="30950" applyFont="1" applyFill="1" applyBorder="1" applyAlignment="1">
      <alignment horizontal="left" vertical="center"/>
    </xf>
    <xf numFmtId="0" fontId="11" fillId="0" borderId="3" xfId="30951" applyFont="1" applyFill="1" applyBorder="1" applyAlignment="1">
      <alignment horizontal="right" vertical="center" wrapText="1"/>
    </xf>
    <xf numFmtId="0" fontId="11" fillId="0" borderId="3" xfId="9550" applyFont="1" applyFill="1" applyBorder="1" applyAlignment="1">
      <alignment horizontal="left" vertical="center"/>
    </xf>
    <xf numFmtId="172" fontId="11" fillId="0" borderId="3" xfId="30950" applyNumberFormat="1" applyFont="1" applyFill="1" applyBorder="1" applyAlignment="1">
      <alignment horizontal="right" vertical="center"/>
    </xf>
    <xf numFmtId="0" fontId="10" fillId="0" borderId="0" xfId="30955"/>
    <xf numFmtId="171" fontId="11" fillId="0" borderId="3" xfId="9552" applyNumberFormat="1" applyFont="1" applyFill="1" applyBorder="1" applyAlignment="1">
      <alignment horizontal="right" vertical="center"/>
    </xf>
    <xf numFmtId="0" fontId="11" fillId="0" borderId="6" xfId="30951" applyFont="1" applyFill="1" applyBorder="1" applyAlignment="1">
      <alignment horizontal="left" vertical="top"/>
    </xf>
    <xf numFmtId="0" fontId="10" fillId="0" borderId="0" xfId="9553"/>
    <xf numFmtId="0" fontId="11" fillId="0" borderId="3" xfId="30952" applyFont="1" applyFill="1" applyBorder="1" applyAlignment="1">
      <alignment horizontal="left" vertical="center"/>
    </xf>
    <xf numFmtId="171" fontId="11" fillId="0" borderId="3" xfId="30950" applyNumberFormat="1" applyFont="1" applyFill="1" applyBorder="1" applyAlignment="1">
      <alignment horizontal="right" vertical="center"/>
    </xf>
    <xf numFmtId="171" fontId="13" fillId="0" borderId="3" xfId="9554" applyNumberFormat="1" applyFont="1" applyFill="1" applyBorder="1" applyAlignment="1">
      <alignment horizontal="right" vertical="center"/>
    </xf>
    <xf numFmtId="0" fontId="11" fillId="0" borderId="3" xfId="9554" applyFont="1" applyFill="1" applyBorder="1" applyAlignment="1">
      <alignment horizontal="left" vertical="center"/>
    </xf>
    <xf numFmtId="0" fontId="11" fillId="0" borderId="6" xfId="30951" applyFont="1" applyFill="1" applyBorder="1" applyAlignment="1">
      <alignment horizontal="left" vertical="top" wrapText="1"/>
    </xf>
    <xf numFmtId="173" fontId="13" fillId="0" borderId="3" xfId="30951" applyNumberFormat="1" applyFont="1" applyFill="1" applyBorder="1" applyAlignment="1">
      <alignment horizontal="right" vertical="center"/>
    </xf>
    <xf numFmtId="172" fontId="11" fillId="0" borderId="3" xfId="30951" applyNumberFormat="1" applyFont="1" applyFill="1" applyBorder="1" applyAlignment="1">
      <alignment horizontal="right" vertical="center"/>
    </xf>
    <xf numFmtId="171" fontId="13" fillId="0" borderId="3" xfId="30950" applyNumberFormat="1" applyFont="1" applyFill="1" applyBorder="1" applyAlignment="1">
      <alignment horizontal="right" vertical="center"/>
    </xf>
    <xf numFmtId="167" fontId="122" fillId="2" borderId="0" xfId="1" applyNumberFormat="1" applyFont="1" applyFill="1"/>
    <xf numFmtId="167" fontId="123" fillId="2" borderId="0" xfId="1" applyNumberFormat="1" applyFont="1" applyFill="1"/>
    <xf numFmtId="165" fontId="122" fillId="2" borderId="0" xfId="4" applyNumberFormat="1" applyFont="1" applyFill="1"/>
    <xf numFmtId="165" fontId="123"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1" applyNumberFormat="1" applyFont="1" applyFill="1"/>
    <xf numFmtId="0" fontId="0" fillId="0" borderId="0" xfId="0" applyFill="1"/>
    <xf numFmtId="10" fontId="7" fillId="2" borderId="0" xfId="2" applyNumberFormat="1" applyFont="1" applyFill="1"/>
    <xf numFmtId="166" fontId="5" fillId="2" borderId="0" xfId="3" applyNumberFormat="1" applyFont="1" applyFill="1"/>
    <xf numFmtId="167" fontId="8" fillId="2" borderId="2" xfId="5" applyNumberFormat="1" applyFont="1" applyFill="1" applyBorder="1"/>
    <xf numFmtId="167" fontId="122" fillId="2" borderId="0" xfId="1" applyNumberFormat="1" applyFont="1" applyFill="1"/>
    <xf numFmtId="167" fontId="123" fillId="2" borderId="0" xfId="1" applyNumberFormat="1" applyFont="1" applyFill="1"/>
    <xf numFmtId="0" fontId="11" fillId="0" borderId="3" xfId="0" applyFont="1" applyFill="1" applyBorder="1" applyAlignment="1">
      <alignment horizontal="left" vertical="top"/>
    </xf>
    <xf numFmtId="0" fontId="11" fillId="0" borderId="3" xfId="0" applyFont="1" applyFill="1" applyBorder="1" applyAlignment="1">
      <alignment horizontal="left" vertical="center" wrapText="1"/>
    </xf>
    <xf numFmtId="0" fontId="12" fillId="0" borderId="3" xfId="0" applyFont="1" applyFill="1" applyBorder="1" applyAlignment="1">
      <alignment horizontal="left" vertical="top"/>
    </xf>
    <xf numFmtId="0" fontId="11" fillId="0" borderId="3" xfId="0" applyFont="1" applyFill="1" applyBorder="1" applyAlignment="1">
      <alignment horizontal="center" vertical="center" wrapText="1"/>
    </xf>
    <xf numFmtId="0" fontId="11" fillId="0" borderId="3" xfId="0" applyFont="1" applyFill="1" applyBorder="1" applyAlignment="1">
      <alignment horizontal="right" vertical="center" wrapText="1"/>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1"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1"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5" fillId="2" borderId="0" xfId="3" applyFont="1" applyFill="1" applyAlignment="1">
      <alignment horizontal="center" vertical="center"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Fill="1" applyAlignment="1">
      <alignment horizontal="justify" vertical="top" wrapText="1"/>
    </xf>
    <xf numFmtId="0" fontId="0" fillId="0" borderId="0" xfId="0" applyAlignment="1">
      <alignment horizontal="center"/>
    </xf>
  </cellXfs>
  <cellStyles count="30956">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3" xfId="9069"/>
    <cellStyle name="Report Heading 3 2" xfId="9505"/>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tabSelected="1" topLeftCell="A20" zoomScaleNormal="100" workbookViewId="0">
      <selection activeCell="T49" sqref="T49"/>
    </sheetView>
  </sheetViews>
  <sheetFormatPr defaultRowHeight="15"/>
  <cols>
    <col min="1" max="1" width="7.42578125" customWidth="1"/>
    <col min="2" max="2" width="33.5703125" customWidth="1"/>
    <col min="3" max="3" width="14.7109375" customWidth="1"/>
    <col min="4" max="4" width="12.42578125" hidden="1" customWidth="1"/>
    <col min="5" max="5" width="12.5703125" hidden="1" customWidth="1"/>
    <col min="6" max="6" width="0.5703125" customWidth="1"/>
    <col min="7" max="9" width="12.28515625" customWidth="1"/>
    <col min="10" max="15" width="8.85546875" hidden="1" customWidth="1"/>
    <col min="16" max="16" width="12.5703125" style="103" customWidth="1"/>
    <col min="17" max="17" width="3.140625" hidden="1" customWidth="1"/>
  </cols>
  <sheetData>
    <row r="1" spans="1:17" ht="15.75">
      <c r="A1" s="204" t="s">
        <v>0</v>
      </c>
      <c r="B1" s="204"/>
      <c r="C1" s="204"/>
      <c r="D1" s="204"/>
      <c r="E1" s="204"/>
      <c r="F1" s="204"/>
      <c r="G1" s="204"/>
      <c r="H1" s="204"/>
      <c r="I1" s="204"/>
      <c r="J1" s="204"/>
      <c r="K1" s="204"/>
      <c r="L1" s="204"/>
      <c r="M1" s="204"/>
      <c r="N1" s="204"/>
      <c r="O1" s="204"/>
      <c r="P1" s="204"/>
      <c r="Q1" s="204"/>
    </row>
    <row r="2" spans="1:17" ht="18.75">
      <c r="A2" s="205" t="s">
        <v>44</v>
      </c>
      <c r="B2" s="205"/>
      <c r="C2" s="205"/>
      <c r="D2" s="205"/>
      <c r="E2" s="205"/>
      <c r="F2" s="205"/>
      <c r="G2" s="205"/>
      <c r="H2" s="205"/>
      <c r="I2" s="205"/>
      <c r="J2" s="205"/>
      <c r="K2" s="205"/>
      <c r="L2" s="205"/>
      <c r="M2" s="205"/>
      <c r="N2" s="205"/>
      <c r="O2" s="205"/>
      <c r="P2" s="205"/>
      <c r="Q2" s="205"/>
    </row>
    <row r="3" spans="1:17" ht="15.75">
      <c r="A3" s="206" t="s">
        <v>45</v>
      </c>
      <c r="B3" s="206"/>
      <c r="C3" s="206"/>
      <c r="D3" s="206"/>
      <c r="E3" s="206"/>
      <c r="F3" s="206"/>
      <c r="G3" s="206"/>
      <c r="H3" s="206"/>
      <c r="I3" s="206"/>
      <c r="J3" s="206"/>
      <c r="K3" s="206"/>
      <c r="L3" s="206"/>
      <c r="M3" s="206"/>
      <c r="N3" s="206"/>
      <c r="O3" s="206"/>
      <c r="P3" s="206"/>
      <c r="Q3" s="206"/>
    </row>
    <row r="4" spans="1:17" ht="15.75">
      <c r="A4" s="30"/>
      <c r="B4" s="31"/>
      <c r="C4" s="31"/>
      <c r="D4" s="32"/>
      <c r="E4" s="32"/>
      <c r="F4" s="31"/>
      <c r="G4" s="31"/>
      <c r="H4" s="31"/>
      <c r="I4" s="31"/>
      <c r="J4" s="31"/>
      <c r="K4" s="31"/>
      <c r="L4" s="31"/>
      <c r="M4" s="31"/>
      <c r="N4" s="31"/>
      <c r="O4" s="31"/>
      <c r="P4" s="115"/>
      <c r="Q4" s="2"/>
    </row>
    <row r="5" spans="1:17" ht="15.75">
      <c r="A5" s="2"/>
      <c r="B5" s="2"/>
      <c r="C5" s="2"/>
      <c r="D5" s="32" t="s">
        <v>3</v>
      </c>
      <c r="E5" s="32" t="s">
        <v>3</v>
      </c>
      <c r="F5" s="2"/>
      <c r="G5" s="2"/>
      <c r="H5" s="2"/>
      <c r="I5" s="2"/>
      <c r="J5" s="2"/>
      <c r="K5" s="2"/>
      <c r="L5" s="2"/>
      <c r="M5" s="2"/>
      <c r="N5" s="2"/>
      <c r="O5" s="2"/>
      <c r="P5" s="68" t="s">
        <v>99</v>
      </c>
      <c r="Q5" s="68" t="s">
        <v>98</v>
      </c>
    </row>
    <row r="6" spans="1:17" ht="25.5">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2" t="s">
        <v>6</v>
      </c>
      <c r="Q6" s="7" t="s">
        <v>6</v>
      </c>
    </row>
    <row r="7" spans="1:17">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05"/>
      <c r="Q7" s="8" t="s">
        <v>21</v>
      </c>
    </row>
    <row r="8" spans="1:17">
      <c r="A8" s="8"/>
      <c r="B8" s="3" t="s">
        <v>22</v>
      </c>
      <c r="C8" s="8"/>
      <c r="D8" s="8"/>
      <c r="E8" s="8"/>
      <c r="F8" s="8"/>
      <c r="G8" s="8"/>
      <c r="H8" s="8"/>
      <c r="I8" s="8"/>
      <c r="J8" s="8"/>
      <c r="K8" s="8"/>
      <c r="L8" s="8"/>
      <c r="M8" s="8"/>
      <c r="N8" s="8"/>
      <c r="O8" s="8"/>
      <c r="P8" s="105"/>
      <c r="Q8" s="2"/>
    </row>
    <row r="9" spans="1:17">
      <c r="A9" s="8">
        <v>1</v>
      </c>
      <c r="B9" s="2" t="s">
        <v>23</v>
      </c>
      <c r="C9" s="8" t="s">
        <v>24</v>
      </c>
      <c r="D9" s="9">
        <v>207224</v>
      </c>
      <c r="E9" s="9">
        <v>207250</v>
      </c>
      <c r="F9" s="9">
        <v>206422</v>
      </c>
      <c r="G9" s="99">
        <v>206679</v>
      </c>
      <c r="H9" s="99">
        <v>206185</v>
      </c>
      <c r="I9" s="99">
        <v>206224</v>
      </c>
      <c r="J9" s="9"/>
      <c r="K9" s="9"/>
      <c r="L9" s="9"/>
      <c r="M9" s="9"/>
      <c r="N9" s="9"/>
      <c r="O9" s="9"/>
      <c r="P9" s="108">
        <f>SUM(G9:I9)</f>
        <v>619088</v>
      </c>
      <c r="Q9" s="33">
        <f>SUM(D9:O9)</f>
        <v>1239984</v>
      </c>
    </row>
    <row r="10" spans="1:17" ht="25.5">
      <c r="A10" s="34">
        <f t="shared" ref="A10:A42" si="1">A9+1</f>
        <v>2</v>
      </c>
      <c r="B10" s="35" t="s">
        <v>25</v>
      </c>
      <c r="C10" s="10" t="s">
        <v>46</v>
      </c>
      <c r="D10" s="36">
        <v>78.809318650824423</v>
      </c>
      <c r="E10" s="36">
        <v>69.941481960984561</v>
      </c>
      <c r="F10" s="36">
        <v>64.345815043164464</v>
      </c>
      <c r="G10" s="36">
        <v>51.01990701924457</v>
      </c>
      <c r="H10" s="36">
        <v>47.063799760088948</v>
      </c>
      <c r="I10" s="36">
        <v>44.921736331003189</v>
      </c>
      <c r="J10" s="36">
        <v>51.178827370287053</v>
      </c>
      <c r="K10" s="36">
        <v>54.246921456412629</v>
      </c>
      <c r="L10" s="36">
        <v>45.858943541371545</v>
      </c>
      <c r="M10" s="36">
        <v>52.532862039130649</v>
      </c>
      <c r="N10" s="36">
        <v>65.528007877298535</v>
      </c>
      <c r="O10" s="36">
        <v>83.062378950189284</v>
      </c>
      <c r="P10" s="118">
        <f>P11/P9</f>
        <v>47.670982266639299</v>
      </c>
      <c r="Q10" s="36">
        <f>Q11/Q9</f>
        <v>59.372926817476497</v>
      </c>
    </row>
    <row r="11" spans="1:17">
      <c r="A11" s="8">
        <f t="shared" si="1"/>
        <v>3</v>
      </c>
      <c r="B11" s="2" t="s">
        <v>27</v>
      </c>
      <c r="C11" s="8" t="str">
        <f>"("&amp;A9&amp;") x ("&amp;A10&amp;")"</f>
        <v>(1) x (2)</v>
      </c>
      <c r="D11" s="13">
        <f t="shared" ref="D11:O11" si="2">D9*D10</f>
        <v>16331182.24809844</v>
      </c>
      <c r="E11" s="13">
        <f t="shared" si="2"/>
        <v>14495372.136414051</v>
      </c>
      <c r="F11" s="13">
        <f t="shared" si="2"/>
        <v>13282391.832840094</v>
      </c>
      <c r="G11" s="13">
        <f t="shared" si="2"/>
        <v>10544743.362830449</v>
      </c>
      <c r="H11" s="13">
        <f t="shared" si="2"/>
        <v>9703849.5535339396</v>
      </c>
      <c r="I11" s="13">
        <f t="shared" si="2"/>
        <v>9263940.1531248018</v>
      </c>
      <c r="J11" s="13">
        <f t="shared" si="2"/>
        <v>0</v>
      </c>
      <c r="K11" s="13">
        <f t="shared" si="2"/>
        <v>0</v>
      </c>
      <c r="L11" s="13">
        <f t="shared" si="2"/>
        <v>0</v>
      </c>
      <c r="M11" s="13">
        <f t="shared" si="2"/>
        <v>0</v>
      </c>
      <c r="N11" s="13">
        <f t="shared" si="2"/>
        <v>0</v>
      </c>
      <c r="O11" s="13">
        <f t="shared" si="2"/>
        <v>0</v>
      </c>
      <c r="P11" s="109">
        <f>SUM(G11:I11)</f>
        <v>29512533.069489188</v>
      </c>
      <c r="Q11" s="37">
        <f>SUM(D11:O11)</f>
        <v>73621479.28684178</v>
      </c>
    </row>
    <row r="12" spans="1:17">
      <c r="A12" s="8"/>
      <c r="B12" s="2"/>
      <c r="C12" s="8"/>
      <c r="D12" s="14"/>
      <c r="E12" s="14"/>
      <c r="F12" s="14"/>
      <c r="G12" s="14"/>
      <c r="H12" s="14"/>
      <c r="I12" s="14"/>
      <c r="J12" s="14"/>
      <c r="K12" s="14"/>
      <c r="L12" s="14"/>
      <c r="M12" s="14"/>
      <c r="N12" s="14"/>
      <c r="O12" s="14"/>
      <c r="P12" s="106"/>
      <c r="Q12" s="2"/>
    </row>
    <row r="13" spans="1:17" hidden="1">
      <c r="A13" s="8"/>
      <c r="B13" s="2"/>
      <c r="C13" s="8"/>
      <c r="D13" s="14"/>
      <c r="E13" s="14"/>
      <c r="F13" s="14"/>
      <c r="G13" s="14"/>
      <c r="H13" s="14"/>
      <c r="I13" s="14"/>
      <c r="J13" s="14"/>
      <c r="K13" s="14"/>
      <c r="L13" s="14"/>
      <c r="M13" s="14"/>
      <c r="N13" s="14"/>
      <c r="O13" s="14"/>
      <c r="P13" s="106"/>
      <c r="Q13" s="2"/>
    </row>
    <row r="14" spans="1:17">
      <c r="A14" s="8">
        <v>4</v>
      </c>
      <c r="B14" s="2" t="s">
        <v>47</v>
      </c>
      <c r="C14" s="8" t="s">
        <v>24</v>
      </c>
      <c r="D14" s="13">
        <v>25101844.505918302</v>
      </c>
      <c r="E14" s="13">
        <v>17879887.201779999</v>
      </c>
      <c r="F14" s="13">
        <v>17559759.671609998</v>
      </c>
      <c r="G14" s="101">
        <v>15694519.05022</v>
      </c>
      <c r="H14" s="101">
        <v>13097132.782890001</v>
      </c>
      <c r="I14" s="101">
        <v>14889106.69554</v>
      </c>
      <c r="J14" s="13"/>
      <c r="K14" s="13"/>
      <c r="L14" s="13"/>
      <c r="M14" s="13"/>
      <c r="N14" s="13"/>
      <c r="O14" s="13"/>
      <c r="P14" s="109"/>
      <c r="Q14" s="37"/>
    </row>
    <row r="15" spans="1:17">
      <c r="A15" s="8">
        <v>5</v>
      </c>
      <c r="B15" s="2" t="s">
        <v>48</v>
      </c>
      <c r="C15" s="8" t="s">
        <v>24</v>
      </c>
      <c r="D15" s="13">
        <v>1761404</v>
      </c>
      <c r="E15" s="13">
        <v>1761625</v>
      </c>
      <c r="F15" s="13">
        <v>1754587</v>
      </c>
      <c r="G15" s="101">
        <v>1756771.5</v>
      </c>
      <c r="H15" s="101">
        <v>1752572.5</v>
      </c>
      <c r="I15" s="101">
        <v>1752904</v>
      </c>
      <c r="J15" s="13"/>
      <c r="K15" s="13"/>
      <c r="L15" s="13"/>
      <c r="M15" s="13"/>
      <c r="N15" s="13"/>
      <c r="O15" s="13"/>
      <c r="P15" s="109"/>
      <c r="Q15" s="37"/>
    </row>
    <row r="16" spans="1:17">
      <c r="A16" s="8">
        <v>6</v>
      </c>
      <c r="B16" s="15" t="s">
        <v>49</v>
      </c>
      <c r="C16" s="8" t="s">
        <v>24</v>
      </c>
      <c r="D16" s="9">
        <v>273966953</v>
      </c>
      <c r="E16" s="9">
        <v>197618642</v>
      </c>
      <c r="F16" s="9">
        <v>196511929</v>
      </c>
      <c r="G16" s="100">
        <v>174058158</v>
      </c>
      <c r="H16" s="100">
        <v>144371121</v>
      </c>
      <c r="I16" s="100">
        <v>166807706</v>
      </c>
      <c r="J16" s="9"/>
      <c r="K16" s="9"/>
      <c r="L16" s="9"/>
      <c r="M16" s="9"/>
      <c r="N16" s="9"/>
      <c r="O16" s="9"/>
      <c r="P16" s="108"/>
      <c r="Q16" s="9"/>
    </row>
    <row r="17" spans="1:17">
      <c r="A17" s="8">
        <v>7</v>
      </c>
      <c r="B17" s="2" t="s">
        <v>50</v>
      </c>
      <c r="C17" s="8" t="s">
        <v>51</v>
      </c>
      <c r="D17" s="38">
        <v>2.1080000000000002E-2</v>
      </c>
      <c r="E17" s="38">
        <v>2.1080000000000002E-2</v>
      </c>
      <c r="F17" s="38">
        <v>2.1080000000000002E-2</v>
      </c>
      <c r="G17" s="38">
        <v>2.1080000000000002E-2</v>
      </c>
      <c r="H17" s="38">
        <v>2.1080000000000002E-2</v>
      </c>
      <c r="I17" s="38">
        <v>2.1080000000000002E-2</v>
      </c>
      <c r="J17" s="38">
        <v>2.1080000000000002E-2</v>
      </c>
      <c r="K17" s="38">
        <v>2.1080000000000002E-2</v>
      </c>
      <c r="L17" s="38">
        <v>2.1080000000000002E-2</v>
      </c>
      <c r="M17" s="38">
        <v>2.1080000000000002E-2</v>
      </c>
      <c r="N17" s="38">
        <v>2.1080000000000002E-2</v>
      </c>
      <c r="O17" s="38">
        <v>2.1080000000000002E-2</v>
      </c>
      <c r="P17" s="110"/>
      <c r="Q17" s="39"/>
    </row>
    <row r="18" spans="1:17">
      <c r="A18" s="8">
        <v>8</v>
      </c>
      <c r="B18" s="2" t="s">
        <v>52</v>
      </c>
      <c r="C18" s="8" t="str">
        <f>"("&amp;A16&amp;") x ("&amp;A17&amp;")"</f>
        <v>(6) x (7)</v>
      </c>
      <c r="D18" s="13">
        <f t="shared" ref="D18:O18" si="3">D16*D17</f>
        <v>5775223.3692400008</v>
      </c>
      <c r="E18" s="13">
        <f t="shared" si="3"/>
        <v>4165800.9733600002</v>
      </c>
      <c r="F18" s="13">
        <f t="shared" si="3"/>
        <v>4142471.4633200001</v>
      </c>
      <c r="G18" s="13">
        <f t="shared" si="3"/>
        <v>3669145.9706400004</v>
      </c>
      <c r="H18" s="13">
        <f t="shared" si="3"/>
        <v>3043343.23068</v>
      </c>
      <c r="I18" s="13">
        <f t="shared" si="3"/>
        <v>3516306.4424800002</v>
      </c>
      <c r="J18" s="13">
        <f t="shared" si="3"/>
        <v>0</v>
      </c>
      <c r="K18" s="13">
        <f t="shared" si="3"/>
        <v>0</v>
      </c>
      <c r="L18" s="13">
        <f t="shared" si="3"/>
        <v>0</v>
      </c>
      <c r="M18" s="13">
        <f t="shared" si="3"/>
        <v>0</v>
      </c>
      <c r="N18" s="13">
        <f t="shared" si="3"/>
        <v>0</v>
      </c>
      <c r="O18" s="13">
        <f t="shared" si="3"/>
        <v>0</v>
      </c>
      <c r="P18" s="109"/>
      <c r="Q18" s="37"/>
    </row>
    <row r="19" spans="1:17">
      <c r="A19" s="8">
        <v>9</v>
      </c>
      <c r="B19" s="2" t="s">
        <v>30</v>
      </c>
      <c r="C19" s="8" t="str">
        <f>"("&amp;A14&amp;") - ("&amp;A15&amp;") -("&amp;A18&amp;")"</f>
        <v>(4) - (5) -(8)</v>
      </c>
      <c r="D19" s="13">
        <f>D14-D15-D18</f>
        <v>17565217.136678301</v>
      </c>
      <c r="E19" s="13">
        <f t="shared" ref="E19:O19" si="4">E14-E15-E18</f>
        <v>11952461.228419999</v>
      </c>
      <c r="F19" s="13">
        <f t="shared" si="4"/>
        <v>11662701.208289998</v>
      </c>
      <c r="G19" s="13">
        <f t="shared" si="4"/>
        <v>10268601.57958</v>
      </c>
      <c r="H19" s="13">
        <f t="shared" si="4"/>
        <v>8301217.0522100013</v>
      </c>
      <c r="I19" s="13">
        <f t="shared" si="4"/>
        <v>9619896.25306</v>
      </c>
      <c r="J19" s="13">
        <f t="shared" si="4"/>
        <v>0</v>
      </c>
      <c r="K19" s="13">
        <f t="shared" si="4"/>
        <v>0</v>
      </c>
      <c r="L19" s="13">
        <f t="shared" si="4"/>
        <v>0</v>
      </c>
      <c r="M19" s="13">
        <f t="shared" si="4"/>
        <v>0</v>
      </c>
      <c r="N19" s="13">
        <f t="shared" si="4"/>
        <v>0</v>
      </c>
      <c r="O19" s="13">
        <f t="shared" si="4"/>
        <v>0</v>
      </c>
      <c r="P19" s="109">
        <f>SUM(G19:I19)</f>
        <v>28189714.884850003</v>
      </c>
      <c r="Q19" s="37">
        <f>SUM(D19:O19)</f>
        <v>69370094.458238304</v>
      </c>
    </row>
    <row r="20" spans="1:17">
      <c r="A20" s="8"/>
      <c r="B20" s="17" t="s">
        <v>31</v>
      </c>
      <c r="C20" s="8"/>
      <c r="D20" s="40">
        <f>D19/D9</f>
        <v>84.764395710334227</v>
      </c>
      <c r="E20" s="40">
        <f t="shared" ref="E20:Q20" si="5">E19/E9</f>
        <v>57.671706771628465</v>
      </c>
      <c r="F20" s="40">
        <f t="shared" si="5"/>
        <v>56.499313097877156</v>
      </c>
      <c r="G20" s="40">
        <f t="shared" si="5"/>
        <v>49.683816834705027</v>
      </c>
      <c r="H20" s="40">
        <f t="shared" si="5"/>
        <v>40.261013421005416</v>
      </c>
      <c r="I20" s="40">
        <f t="shared" si="5"/>
        <v>46.64780167710839</v>
      </c>
      <c r="J20" s="40" t="e">
        <f t="shared" si="5"/>
        <v>#DIV/0!</v>
      </c>
      <c r="K20" s="40" t="e">
        <f t="shared" si="5"/>
        <v>#DIV/0!</v>
      </c>
      <c r="L20" s="40" t="e">
        <f t="shared" si="5"/>
        <v>#DIV/0!</v>
      </c>
      <c r="M20" s="40" t="e">
        <f t="shared" si="5"/>
        <v>#DIV/0!</v>
      </c>
      <c r="N20" s="40" t="e">
        <f t="shared" si="5"/>
        <v>#DIV/0!</v>
      </c>
      <c r="O20" s="40" t="e">
        <f t="shared" si="5"/>
        <v>#DIV/0!</v>
      </c>
      <c r="P20" s="119">
        <f t="shared" si="5"/>
        <v>45.53426150216125</v>
      </c>
      <c r="Q20" s="40">
        <f t="shared" si="5"/>
        <v>55.944346425629931</v>
      </c>
    </row>
    <row r="21" spans="1:17">
      <c r="A21" s="8">
        <v>10</v>
      </c>
      <c r="B21" s="2" t="s">
        <v>32</v>
      </c>
      <c r="C21" s="8" t="str">
        <f>"("&amp;A$11&amp;") - ("&amp;A19&amp;")"</f>
        <v>(3) - (9)</v>
      </c>
      <c r="D21" s="13">
        <f>D11-D19</f>
        <v>-1234034.8885798603</v>
      </c>
      <c r="E21" s="13">
        <f t="shared" ref="E21:O21" si="6">E11-E19</f>
        <v>2542910.9079940524</v>
      </c>
      <c r="F21" s="13">
        <f t="shared" si="6"/>
        <v>1619690.6245500967</v>
      </c>
      <c r="G21" s="13">
        <f t="shared" si="6"/>
        <v>276141.78325044923</v>
      </c>
      <c r="H21" s="13">
        <f t="shared" si="6"/>
        <v>1402632.5013239384</v>
      </c>
      <c r="I21" s="13">
        <f t="shared" si="6"/>
        <v>-355956.0999351982</v>
      </c>
      <c r="J21" s="13">
        <f t="shared" si="6"/>
        <v>0</v>
      </c>
      <c r="K21" s="13">
        <f t="shared" si="6"/>
        <v>0</v>
      </c>
      <c r="L21" s="13">
        <f t="shared" si="6"/>
        <v>0</v>
      </c>
      <c r="M21" s="13">
        <f t="shared" si="6"/>
        <v>0</v>
      </c>
      <c r="N21" s="13">
        <f t="shared" si="6"/>
        <v>0</v>
      </c>
      <c r="O21" s="13">
        <f t="shared" si="6"/>
        <v>0</v>
      </c>
      <c r="P21" s="109">
        <f t="shared" ref="P21:P22" si="7">SUM(G21:I21)</f>
        <v>1322818.1846391894</v>
      </c>
      <c r="Q21" s="37">
        <f>SUM(D21:O21)</f>
        <v>4251384.8286034781</v>
      </c>
    </row>
    <row r="22" spans="1:17">
      <c r="A22" s="8">
        <v>11</v>
      </c>
      <c r="B22" s="2" t="s">
        <v>33</v>
      </c>
      <c r="C22" s="41" t="s">
        <v>34</v>
      </c>
      <c r="D22" s="13">
        <f>D21*-0.045395</f>
        <v>56019.013767082753</v>
      </c>
      <c r="E22" s="13">
        <f>E21*-0.045395</f>
        <v>-115435.44066839</v>
      </c>
      <c r="F22" s="13">
        <f t="shared" ref="F22:N22" si="8">F21*-0.045395</f>
        <v>-73525.855901451636</v>
      </c>
      <c r="G22" s="13">
        <f t="shared" si="8"/>
        <v>-12535.456250654142</v>
      </c>
      <c r="H22" s="13">
        <f t="shared" si="8"/>
        <v>-63672.502397600176</v>
      </c>
      <c r="I22" s="13">
        <f t="shared" si="8"/>
        <v>16158.627156558321</v>
      </c>
      <c r="J22" s="13">
        <f t="shared" si="8"/>
        <v>0</v>
      </c>
      <c r="K22" s="13">
        <f t="shared" si="8"/>
        <v>0</v>
      </c>
      <c r="L22" s="13">
        <f t="shared" si="8"/>
        <v>0</v>
      </c>
      <c r="M22" s="13">
        <f t="shared" si="8"/>
        <v>0</v>
      </c>
      <c r="N22" s="13">
        <f t="shared" si="8"/>
        <v>0</v>
      </c>
      <c r="O22" s="13">
        <f>O21*-0.045395</f>
        <v>0</v>
      </c>
      <c r="P22" s="109">
        <f t="shared" si="7"/>
        <v>-60049.331491696001</v>
      </c>
      <c r="Q22" s="37">
        <f>SUM(D22:O22)</f>
        <v>-192991.61429445489</v>
      </c>
    </row>
    <row r="23" spans="1:17">
      <c r="A23" s="8"/>
      <c r="B23" s="2"/>
      <c r="C23" s="8" t="s">
        <v>35</v>
      </c>
      <c r="D23" s="19">
        <v>3.2500000000000001E-2</v>
      </c>
      <c r="E23" s="19">
        <f>D23</f>
        <v>3.2500000000000001E-2</v>
      </c>
      <c r="F23" s="19">
        <f>E23</f>
        <v>3.2500000000000001E-2</v>
      </c>
      <c r="G23" s="19">
        <f>F23</f>
        <v>3.2500000000000001E-2</v>
      </c>
      <c r="H23" s="19">
        <f t="shared" ref="H23:O23" si="9">G23</f>
        <v>3.2500000000000001E-2</v>
      </c>
      <c r="I23" s="19">
        <f t="shared" si="9"/>
        <v>3.2500000000000001E-2</v>
      </c>
      <c r="J23" s="19">
        <v>0</v>
      </c>
      <c r="K23" s="19">
        <f t="shared" si="9"/>
        <v>0</v>
      </c>
      <c r="L23" s="19">
        <f t="shared" si="9"/>
        <v>0</v>
      </c>
      <c r="M23" s="19">
        <f t="shared" si="9"/>
        <v>0</v>
      </c>
      <c r="N23" s="19">
        <f t="shared" si="9"/>
        <v>0</v>
      </c>
      <c r="O23" s="19">
        <f t="shared" si="9"/>
        <v>0</v>
      </c>
      <c r="P23" s="116"/>
      <c r="Q23" s="37"/>
    </row>
    <row r="24" spans="1:17">
      <c r="A24" s="8">
        <v>12</v>
      </c>
      <c r="B24" s="2" t="s">
        <v>36</v>
      </c>
      <c r="C24" s="42" t="s">
        <v>41</v>
      </c>
      <c r="D24" s="20">
        <f>(D21+D22)/2*D23/12</f>
        <v>-1595.2298304756366</v>
      </c>
      <c r="E24" s="20">
        <f>(D27+(E21+E22)/2)*0.0325/12</f>
        <v>92.426286928023728</v>
      </c>
      <c r="F24" s="20">
        <f>(E27+(F21+F22)/2)*F23/12</f>
        <v>5473.6477610036627</v>
      </c>
      <c r="G24" s="20">
        <f t="shared" ref="G24:O24" si="10">(F27+(G21+G22)/2)*G23/12</f>
        <v>7939.2039157136423</v>
      </c>
      <c r="H24" s="20">
        <f t="shared" si="10"/>
        <v>10130.84782601034</v>
      </c>
      <c r="I24" s="20">
        <f t="shared" si="10"/>
        <v>11511.318126364125</v>
      </c>
      <c r="J24" s="20">
        <f t="shared" si="10"/>
        <v>0</v>
      </c>
      <c r="K24" s="20">
        <f t="shared" si="10"/>
        <v>0</v>
      </c>
      <c r="L24" s="20">
        <f t="shared" si="10"/>
        <v>0</v>
      </c>
      <c r="M24" s="20">
        <f t="shared" si="10"/>
        <v>0</v>
      </c>
      <c r="N24" s="20">
        <f t="shared" si="10"/>
        <v>0</v>
      </c>
      <c r="O24" s="20">
        <f t="shared" si="10"/>
        <v>0</v>
      </c>
      <c r="P24" s="109">
        <f>SUM(G24:I24)</f>
        <v>29581.369868088106</v>
      </c>
      <c r="Q24" s="37">
        <f>SUM(D24:O24)</f>
        <v>33552.214085544154</v>
      </c>
    </row>
    <row r="25" spans="1:17">
      <c r="A25" s="3"/>
      <c r="B25" s="21" t="s">
        <v>37</v>
      </c>
      <c r="C25" s="3"/>
      <c r="D25" s="22">
        <f>D21+D22+D24</f>
        <v>-1179611.1046432531</v>
      </c>
      <c r="E25" s="22">
        <f t="shared" ref="E25:Q25" si="11">E21+E22+E24</f>
        <v>2427567.8936125902</v>
      </c>
      <c r="F25" s="22">
        <f t="shared" si="11"/>
        <v>1551638.4164096487</v>
      </c>
      <c r="G25" s="22">
        <f t="shared" si="11"/>
        <v>271545.53091550875</v>
      </c>
      <c r="H25" s="22">
        <f t="shared" si="11"/>
        <v>1349090.8467523486</v>
      </c>
      <c r="I25" s="22">
        <f t="shared" si="11"/>
        <v>-328286.15465227573</v>
      </c>
      <c r="J25" s="22">
        <f t="shared" si="11"/>
        <v>0</v>
      </c>
      <c r="K25" s="22">
        <f t="shared" si="11"/>
        <v>0</v>
      </c>
      <c r="L25" s="22">
        <f t="shared" si="11"/>
        <v>0</v>
      </c>
      <c r="M25" s="22">
        <f t="shared" si="11"/>
        <v>0</v>
      </c>
      <c r="N25" s="22">
        <f t="shared" si="11"/>
        <v>0</v>
      </c>
      <c r="O25" s="22">
        <f t="shared" si="11"/>
        <v>0</v>
      </c>
      <c r="P25" s="117">
        <f t="shared" si="11"/>
        <v>1292350.2230155815</v>
      </c>
      <c r="Q25" s="22">
        <f t="shared" si="11"/>
        <v>4091945.4283945672</v>
      </c>
    </row>
    <row r="26" spans="1:17" ht="14.45" customHeight="1">
      <c r="A26" s="8"/>
      <c r="B26" s="203" t="s">
        <v>38</v>
      </c>
      <c r="C26" s="8"/>
      <c r="D26" s="14"/>
      <c r="E26" s="14"/>
      <c r="F26" s="14"/>
      <c r="G26" s="14"/>
      <c r="H26" s="14"/>
      <c r="I26" s="14"/>
      <c r="J26" s="14"/>
      <c r="K26" s="14"/>
      <c r="L26" s="14"/>
      <c r="M26" s="14"/>
      <c r="N26" s="14"/>
      <c r="O26" s="14"/>
      <c r="P26" s="106"/>
      <c r="Q26" s="37"/>
    </row>
    <row r="27" spans="1:17">
      <c r="A27" s="8">
        <v>13</v>
      </c>
      <c r="B27" s="203"/>
      <c r="C27" s="8" t="str">
        <f>"Σ(("&amp;A$21&amp;") ~ ("&amp;A24&amp;"))"</f>
        <v>Σ((10) ~ (12))</v>
      </c>
      <c r="D27" s="13">
        <f>D21+D22+D24</f>
        <v>-1179611.1046432531</v>
      </c>
      <c r="E27" s="13">
        <f>D27+E21+E22+E24</f>
        <v>1247956.7889693375</v>
      </c>
      <c r="F27" s="13">
        <f>E27+F21+F22+F24</f>
        <v>2799595.205378986</v>
      </c>
      <c r="G27" s="13">
        <f t="shared" ref="G27:O27" si="12">F27+G21+G22+G24</f>
        <v>3071140.7362944949</v>
      </c>
      <c r="H27" s="13">
        <f t="shared" si="12"/>
        <v>4420231.5830468433</v>
      </c>
      <c r="I27" s="13">
        <f t="shared" si="12"/>
        <v>4091945.4283945677</v>
      </c>
      <c r="J27" s="13">
        <f t="shared" si="12"/>
        <v>4091945.4283945677</v>
      </c>
      <c r="K27" s="13">
        <f t="shared" si="12"/>
        <v>4091945.4283945677</v>
      </c>
      <c r="L27" s="13">
        <f t="shared" si="12"/>
        <v>4091945.4283945677</v>
      </c>
      <c r="M27" s="13">
        <f t="shared" si="12"/>
        <v>4091945.4283945677</v>
      </c>
      <c r="N27" s="13">
        <f t="shared" si="12"/>
        <v>4091945.4283945677</v>
      </c>
      <c r="O27" s="23">
        <f t="shared" si="12"/>
        <v>4091945.4283945677</v>
      </c>
      <c r="P27" s="113"/>
      <c r="Q27" s="37"/>
    </row>
    <row r="28" spans="1:17">
      <c r="A28" s="8"/>
      <c r="B28" s="203"/>
      <c r="C28" s="8"/>
      <c r="D28" s="14"/>
      <c r="E28" s="14"/>
      <c r="F28" s="14"/>
      <c r="G28" s="14"/>
      <c r="H28" s="14"/>
      <c r="I28" s="14"/>
      <c r="J28" s="14"/>
      <c r="K28" s="14"/>
      <c r="L28" s="14"/>
      <c r="M28" s="14"/>
      <c r="N28" s="14"/>
      <c r="O28" s="14"/>
      <c r="P28" s="106"/>
      <c r="Q28" s="37"/>
    </row>
    <row r="29" spans="1:17" ht="1.1499999999999999" customHeight="1">
      <c r="A29" s="8"/>
      <c r="B29" s="2"/>
      <c r="C29" s="8"/>
      <c r="D29" s="13"/>
      <c r="E29" s="13"/>
      <c r="F29" s="13"/>
      <c r="G29" s="13"/>
      <c r="H29" s="27"/>
      <c r="I29" s="13"/>
      <c r="J29" s="13"/>
      <c r="K29" s="13"/>
      <c r="L29" s="13"/>
      <c r="M29" s="13"/>
      <c r="N29" s="13"/>
      <c r="O29" s="13"/>
      <c r="P29" s="109"/>
      <c r="Q29" s="37"/>
    </row>
    <row r="30" spans="1:17">
      <c r="A30" s="8"/>
      <c r="B30" s="2"/>
      <c r="C30" s="8"/>
      <c r="D30" s="13"/>
      <c r="E30" s="13"/>
      <c r="F30" s="13"/>
      <c r="G30" s="13"/>
      <c r="H30" s="13"/>
      <c r="I30" s="13"/>
      <c r="J30" s="13"/>
      <c r="K30" s="13"/>
      <c r="L30" s="13"/>
      <c r="M30" s="13"/>
      <c r="N30" s="13"/>
      <c r="O30" s="13"/>
      <c r="P30" s="109"/>
      <c r="Q30" s="37"/>
    </row>
    <row r="31" spans="1:17">
      <c r="A31" s="8"/>
      <c r="B31" s="3" t="s">
        <v>39</v>
      </c>
      <c r="C31" s="8"/>
      <c r="D31" s="13"/>
      <c r="E31" s="13"/>
      <c r="F31" s="13"/>
      <c r="G31" s="13"/>
      <c r="H31" s="13"/>
      <c r="I31" s="13"/>
      <c r="J31" s="13"/>
      <c r="K31" s="13"/>
      <c r="L31" s="13"/>
      <c r="M31" s="13"/>
      <c r="N31" s="13"/>
      <c r="O31" s="13"/>
      <c r="P31" s="109"/>
      <c r="Q31" s="37"/>
    </row>
    <row r="32" spans="1:17">
      <c r="A32" s="8">
        <v>14</v>
      </c>
      <c r="B32" s="2" t="s">
        <v>23</v>
      </c>
      <c r="C32" s="8" t="s">
        <v>24</v>
      </c>
      <c r="D32" s="9">
        <v>35059</v>
      </c>
      <c r="E32" s="9">
        <v>35579</v>
      </c>
      <c r="F32" s="9">
        <v>35140</v>
      </c>
      <c r="G32" s="102">
        <v>35293</v>
      </c>
      <c r="H32" s="102">
        <v>35221</v>
      </c>
      <c r="I32" s="102">
        <v>35212</v>
      </c>
      <c r="J32" s="9"/>
      <c r="K32" s="9"/>
      <c r="L32" s="9"/>
      <c r="M32" s="9"/>
      <c r="N32" s="9"/>
      <c r="O32" s="9"/>
      <c r="P32" s="108">
        <f>SUM(G32:I32)</f>
        <v>105726</v>
      </c>
      <c r="Q32" s="33">
        <f>SUM(D32:O32)</f>
        <v>211504</v>
      </c>
    </row>
    <row r="33" spans="1:17" ht="25.5">
      <c r="A33" s="34">
        <f t="shared" si="1"/>
        <v>15</v>
      </c>
      <c r="B33" s="35" t="s">
        <v>25</v>
      </c>
      <c r="C33" s="8" t="s">
        <v>53</v>
      </c>
      <c r="D33" s="36">
        <v>356.03329356425502</v>
      </c>
      <c r="E33" s="36">
        <v>334.3876932182697</v>
      </c>
      <c r="F33" s="36">
        <v>338.63118768530791</v>
      </c>
      <c r="G33" s="36">
        <v>307.26842558580978</v>
      </c>
      <c r="H33" s="36">
        <v>328.68375663236225</v>
      </c>
      <c r="I33" s="36">
        <v>343.68956027474104</v>
      </c>
      <c r="J33" s="36">
        <v>382.86485339177131</v>
      </c>
      <c r="K33" s="36">
        <v>405.75316740997278</v>
      </c>
      <c r="L33" s="36">
        <v>347.12546291923007</v>
      </c>
      <c r="M33" s="36">
        <v>347.28709927511954</v>
      </c>
      <c r="N33" s="36">
        <v>341.2180856492738</v>
      </c>
      <c r="O33" s="36">
        <v>376.397414393887</v>
      </c>
      <c r="P33" s="118">
        <f>P34/P32</f>
        <v>326.53265926018764</v>
      </c>
      <c r="Q33" s="36">
        <f>Q34/Q32</f>
        <v>334.75415521354847</v>
      </c>
    </row>
    <row r="34" spans="1:17">
      <c r="A34" s="8">
        <f t="shared" si="1"/>
        <v>16</v>
      </c>
      <c r="B34" s="2" t="s">
        <v>27</v>
      </c>
      <c r="C34" s="8" t="str">
        <f>"("&amp;A32&amp;") x ("&amp;A33&amp;")"</f>
        <v>(14) x (15)</v>
      </c>
      <c r="D34" s="13">
        <f t="shared" ref="D34:O34" si="13">D32*D33</f>
        <v>12482171.239069216</v>
      </c>
      <c r="E34" s="13">
        <f t="shared" si="13"/>
        <v>11897179.737012818</v>
      </c>
      <c r="F34" s="13">
        <f t="shared" si="13"/>
        <v>11899499.935261719</v>
      </c>
      <c r="G34" s="13">
        <f t="shared" si="13"/>
        <v>10844424.544199985</v>
      </c>
      <c r="H34" s="13">
        <f t="shared" si="13"/>
        <v>11576570.59234843</v>
      </c>
      <c r="I34" s="13">
        <f t="shared" si="13"/>
        <v>12101996.796394182</v>
      </c>
      <c r="J34" s="13">
        <f t="shared" si="13"/>
        <v>0</v>
      </c>
      <c r="K34" s="13">
        <f t="shared" si="13"/>
        <v>0</v>
      </c>
      <c r="L34" s="13">
        <f t="shared" si="13"/>
        <v>0</v>
      </c>
      <c r="M34" s="13">
        <f t="shared" si="13"/>
        <v>0</v>
      </c>
      <c r="N34" s="13">
        <f t="shared" si="13"/>
        <v>0</v>
      </c>
      <c r="O34" s="13">
        <f t="shared" si="13"/>
        <v>0</v>
      </c>
      <c r="P34" s="109">
        <f>SUM(G34:I34)</f>
        <v>34522991.932942599</v>
      </c>
      <c r="Q34" s="37">
        <f>SUM(D34:O34)</f>
        <v>70801842.844286352</v>
      </c>
    </row>
    <row r="35" spans="1:17">
      <c r="A35" s="8"/>
      <c r="B35" s="2"/>
      <c r="C35" s="8"/>
      <c r="D35" s="14"/>
      <c r="E35" s="14"/>
      <c r="F35" s="14"/>
      <c r="G35" s="14"/>
      <c r="H35" s="14"/>
      <c r="I35" s="13"/>
      <c r="J35" s="14"/>
      <c r="K35" s="14"/>
      <c r="L35" s="14"/>
      <c r="M35" s="14"/>
      <c r="N35" s="14"/>
      <c r="O35" s="14"/>
      <c r="P35" s="106"/>
      <c r="Q35" s="2"/>
    </row>
    <row r="36" spans="1:17" hidden="1">
      <c r="A36" s="8"/>
      <c r="B36" s="2"/>
      <c r="C36" s="8"/>
      <c r="D36" s="14"/>
      <c r="E36" s="14"/>
      <c r="F36" s="14"/>
      <c r="G36" s="14"/>
      <c r="H36" s="13"/>
      <c r="I36" s="14"/>
      <c r="J36" s="14"/>
      <c r="K36" s="14"/>
      <c r="L36" s="14"/>
      <c r="M36" s="14"/>
      <c r="N36" s="14"/>
      <c r="O36" s="14"/>
      <c r="P36" s="106"/>
      <c r="Q36" s="2"/>
    </row>
    <row r="37" spans="1:17">
      <c r="A37" s="8">
        <v>17</v>
      </c>
      <c r="B37" s="2" t="s">
        <v>47</v>
      </c>
      <c r="C37" s="8" t="s">
        <v>24</v>
      </c>
      <c r="D37" s="13">
        <v>16258940.32929723</v>
      </c>
      <c r="E37" s="13">
        <v>17169122.107000001</v>
      </c>
      <c r="F37" s="13">
        <v>17145796.684179999</v>
      </c>
      <c r="G37" s="122">
        <v>17146414.312720001</v>
      </c>
      <c r="H37" s="122">
        <v>17228784.428180002</v>
      </c>
      <c r="I37" s="122">
        <v>20052821.92825</v>
      </c>
      <c r="J37" s="13"/>
      <c r="K37" s="13"/>
      <c r="L37" s="13"/>
      <c r="M37" s="13"/>
      <c r="N37" s="13"/>
      <c r="O37" s="13"/>
      <c r="P37" s="109"/>
      <c r="Q37" s="2"/>
    </row>
    <row r="38" spans="1:17">
      <c r="A38" s="8">
        <f t="shared" si="1"/>
        <v>18</v>
      </c>
      <c r="B38" s="2" t="s">
        <v>48</v>
      </c>
      <c r="C38" s="8" t="s">
        <v>24</v>
      </c>
      <c r="D38" s="13">
        <v>1590724</v>
      </c>
      <c r="E38" s="13">
        <v>1612616</v>
      </c>
      <c r="F38" s="13">
        <v>1612908</v>
      </c>
      <c r="G38" s="122">
        <v>1601684</v>
      </c>
      <c r="H38" s="122">
        <v>1610510</v>
      </c>
      <c r="I38" s="122">
        <v>1601190</v>
      </c>
      <c r="J38" s="13"/>
      <c r="K38" s="13"/>
      <c r="L38" s="13"/>
      <c r="M38" s="13"/>
      <c r="N38" s="13"/>
      <c r="O38" s="13"/>
      <c r="P38" s="109"/>
      <c r="Q38" s="2"/>
    </row>
    <row r="39" spans="1:17">
      <c r="A39" s="8">
        <f t="shared" si="1"/>
        <v>19</v>
      </c>
      <c r="B39" s="15" t="s">
        <v>54</v>
      </c>
      <c r="C39" s="8" t="s">
        <v>24</v>
      </c>
      <c r="D39" s="9">
        <v>162655588</v>
      </c>
      <c r="E39" s="9">
        <v>168483376</v>
      </c>
      <c r="F39" s="9">
        <v>171828336</v>
      </c>
      <c r="G39" s="121">
        <v>170229514</v>
      </c>
      <c r="H39" s="121">
        <v>173532298</v>
      </c>
      <c r="I39" s="121">
        <v>208221126</v>
      </c>
      <c r="J39" s="9"/>
      <c r="K39" s="9"/>
      <c r="L39" s="9"/>
      <c r="M39" s="9"/>
      <c r="N39" s="9"/>
      <c r="O39" s="9"/>
      <c r="P39" s="108"/>
      <c r="Q39" s="2"/>
    </row>
    <row r="40" spans="1:17">
      <c r="A40" s="8">
        <f t="shared" si="1"/>
        <v>20</v>
      </c>
      <c r="B40" s="2" t="s">
        <v>50</v>
      </c>
      <c r="C40" s="8" t="s">
        <v>51</v>
      </c>
      <c r="D40" s="38">
        <v>2.1080000000000002E-2</v>
      </c>
      <c r="E40" s="38">
        <v>2.1080000000000002E-2</v>
      </c>
      <c r="F40" s="38">
        <v>2.1080000000000002E-2</v>
      </c>
      <c r="G40" s="38">
        <v>2.1080000000000002E-2</v>
      </c>
      <c r="H40" s="38">
        <v>2.1080000000000002E-2</v>
      </c>
      <c r="I40" s="38">
        <v>2.1080000000000002E-2</v>
      </c>
      <c r="J40" s="38">
        <v>2.1080000000000002E-2</v>
      </c>
      <c r="K40" s="38">
        <v>2.1080000000000002E-2</v>
      </c>
      <c r="L40" s="38">
        <v>2.1080000000000002E-2</v>
      </c>
      <c r="M40" s="38">
        <v>2.1080000000000002E-2</v>
      </c>
      <c r="N40" s="38">
        <v>2.1080000000000002E-2</v>
      </c>
      <c r="O40" s="38">
        <v>2.1080000000000002E-2</v>
      </c>
      <c r="P40" s="110"/>
      <c r="Q40" s="39"/>
    </row>
    <row r="41" spans="1:17">
      <c r="A41" s="8">
        <f t="shared" si="1"/>
        <v>21</v>
      </c>
      <c r="B41" s="2" t="s">
        <v>52</v>
      </c>
      <c r="C41" s="8" t="str">
        <f>"("&amp;A39&amp;") x ("&amp;A40&amp;")"</f>
        <v>(19) x (20)</v>
      </c>
      <c r="D41" s="13">
        <f t="shared" ref="D41:O41" si="14">D39*D40</f>
        <v>3428779.7950400002</v>
      </c>
      <c r="E41" s="13">
        <f t="shared" si="14"/>
        <v>3551629.5660800003</v>
      </c>
      <c r="F41" s="13">
        <f t="shared" si="14"/>
        <v>3622141.3228800003</v>
      </c>
      <c r="G41" s="13">
        <f t="shared" si="14"/>
        <v>3588438.1551200002</v>
      </c>
      <c r="H41" s="13">
        <f t="shared" si="14"/>
        <v>3658060.8418400004</v>
      </c>
      <c r="I41" s="13">
        <f t="shared" si="14"/>
        <v>4389301.3360800007</v>
      </c>
      <c r="J41" s="13">
        <f t="shared" si="14"/>
        <v>0</v>
      </c>
      <c r="K41" s="13">
        <f t="shared" si="14"/>
        <v>0</v>
      </c>
      <c r="L41" s="13">
        <f t="shared" si="14"/>
        <v>0</v>
      </c>
      <c r="M41" s="13">
        <f t="shared" si="14"/>
        <v>0</v>
      </c>
      <c r="N41" s="13">
        <f t="shared" si="14"/>
        <v>0</v>
      </c>
      <c r="O41" s="13">
        <f t="shared" si="14"/>
        <v>0</v>
      </c>
      <c r="P41" s="109"/>
      <c r="Q41" s="37"/>
    </row>
    <row r="42" spans="1:17">
      <c r="A42" s="8">
        <f t="shared" si="1"/>
        <v>22</v>
      </c>
      <c r="B42" s="2" t="s">
        <v>30</v>
      </c>
      <c r="C42" s="8" t="str">
        <f>"("&amp;A37&amp;") - ("&amp;A38&amp;") -("&amp;A41&amp;")"</f>
        <v>(17) - (18) -(21)</v>
      </c>
      <c r="D42" s="13">
        <f>D37-D38-D41</f>
        <v>11239436.534257229</v>
      </c>
      <c r="E42" s="13">
        <f t="shared" ref="E42:O42" si="15">E37-E38-E41</f>
        <v>12004876.540920001</v>
      </c>
      <c r="F42" s="13">
        <f t="shared" si="15"/>
        <v>11910747.361299999</v>
      </c>
      <c r="G42" s="13">
        <f t="shared" si="15"/>
        <v>11956292.157600001</v>
      </c>
      <c r="H42" s="13">
        <f t="shared" si="15"/>
        <v>11960213.586340001</v>
      </c>
      <c r="I42" s="13">
        <f t="shared" si="15"/>
        <v>14062330.59217</v>
      </c>
      <c r="J42" s="13">
        <f t="shared" si="15"/>
        <v>0</v>
      </c>
      <c r="K42" s="13">
        <f t="shared" si="15"/>
        <v>0</v>
      </c>
      <c r="L42" s="13">
        <f t="shared" si="15"/>
        <v>0</v>
      </c>
      <c r="M42" s="13">
        <f t="shared" si="15"/>
        <v>0</v>
      </c>
      <c r="N42" s="13">
        <f t="shared" si="15"/>
        <v>0</v>
      </c>
      <c r="O42" s="13">
        <f t="shared" si="15"/>
        <v>0</v>
      </c>
      <c r="P42" s="109">
        <f>SUM(G42:I42)</f>
        <v>37978836.336110003</v>
      </c>
      <c r="Q42" s="37">
        <f>SUM(D42:O42)</f>
        <v>73133896.77258724</v>
      </c>
    </row>
    <row r="43" spans="1:17">
      <c r="A43" s="8"/>
      <c r="B43" s="17" t="s">
        <v>40</v>
      </c>
      <c r="C43" s="8"/>
      <c r="D43" s="12">
        <f>D42/D32</f>
        <v>320.5863411465595</v>
      </c>
      <c r="E43" s="12">
        <f>E42/E32</f>
        <v>337.41466991539954</v>
      </c>
      <c r="F43" s="12">
        <f t="shared" ref="F43:Q43" si="16">F42/F32</f>
        <v>338.95126241605004</v>
      </c>
      <c r="G43" s="12">
        <f t="shared" si="16"/>
        <v>338.77233892273256</v>
      </c>
      <c r="H43" s="12">
        <f t="shared" si="16"/>
        <v>339.57620698844443</v>
      </c>
      <c r="I43" s="12">
        <f t="shared" si="16"/>
        <v>399.36188209048049</v>
      </c>
      <c r="J43" s="12" t="e">
        <f t="shared" si="16"/>
        <v>#DIV/0!</v>
      </c>
      <c r="K43" s="12" t="e">
        <f t="shared" si="16"/>
        <v>#DIV/0!</v>
      </c>
      <c r="L43" s="12" t="e">
        <f t="shared" si="16"/>
        <v>#DIV/0!</v>
      </c>
      <c r="M43" s="12" t="e">
        <f t="shared" si="16"/>
        <v>#DIV/0!</v>
      </c>
      <c r="N43" s="12" t="e">
        <f t="shared" si="16"/>
        <v>#DIV/0!</v>
      </c>
      <c r="O43" s="12" t="e">
        <f t="shared" si="16"/>
        <v>#DIV/0!</v>
      </c>
      <c r="P43" s="119">
        <f t="shared" si="16"/>
        <v>359.2194572395627</v>
      </c>
      <c r="Q43" s="12">
        <f t="shared" si="16"/>
        <v>345.78020639130813</v>
      </c>
    </row>
    <row r="44" spans="1:17">
      <c r="A44" s="8">
        <v>23</v>
      </c>
      <c r="B44" s="2" t="s">
        <v>32</v>
      </c>
      <c r="C44" s="8" t="str">
        <f>"("&amp;A$34&amp;") - ("&amp;A42&amp;")"</f>
        <v>(16) - (22)</v>
      </c>
      <c r="D44" s="13">
        <f>D34-D42</f>
        <v>1242734.7048119865</v>
      </c>
      <c r="E44" s="13">
        <f t="shared" ref="E44:O44" si="17">E34-E42</f>
        <v>-107696.80390718207</v>
      </c>
      <c r="F44" s="13">
        <f t="shared" si="17"/>
        <v>-11247.426038280129</v>
      </c>
      <c r="G44" s="13">
        <f t="shared" si="17"/>
        <v>-1111867.613400016</v>
      </c>
      <c r="H44" s="13">
        <f t="shared" si="17"/>
        <v>-383642.99399157055</v>
      </c>
      <c r="I44" s="13">
        <f t="shared" si="17"/>
        <v>-1960333.7957758177</v>
      </c>
      <c r="J44" s="13">
        <f t="shared" si="17"/>
        <v>0</v>
      </c>
      <c r="K44" s="13">
        <f t="shared" si="17"/>
        <v>0</v>
      </c>
      <c r="L44" s="13">
        <f t="shared" si="17"/>
        <v>0</v>
      </c>
      <c r="M44" s="13">
        <f t="shared" si="17"/>
        <v>0</v>
      </c>
      <c r="N44" s="13">
        <f t="shared" si="17"/>
        <v>0</v>
      </c>
      <c r="O44" s="13">
        <f t="shared" si="17"/>
        <v>0</v>
      </c>
      <c r="P44" s="109">
        <f t="shared" ref="P44:P45" si="18">SUM(G44:I44)</f>
        <v>-3455844.4031674042</v>
      </c>
      <c r="Q44" s="37">
        <f>SUM(D44:O44)</f>
        <v>-2332053.9283008799</v>
      </c>
    </row>
    <row r="45" spans="1:17">
      <c r="A45" s="8">
        <v>24</v>
      </c>
      <c r="B45" s="2" t="s">
        <v>33</v>
      </c>
      <c r="C45" s="41" t="s">
        <v>34</v>
      </c>
      <c r="D45" s="13">
        <f>D44*-0.045395</f>
        <v>-56413.941924940125</v>
      </c>
      <c r="E45" s="13">
        <f>E44*-0.045395</f>
        <v>4888.8964133665295</v>
      </c>
      <c r="F45" s="13">
        <f t="shared" ref="F45:N45" si="19">F44*-0.045395</f>
        <v>510.57690500772645</v>
      </c>
      <c r="G45" s="13">
        <f t="shared" si="19"/>
        <v>50473.230310293722</v>
      </c>
      <c r="H45" s="13">
        <f t="shared" si="19"/>
        <v>17415.473712247345</v>
      </c>
      <c r="I45" s="13">
        <f t="shared" si="19"/>
        <v>88989.352659243246</v>
      </c>
      <c r="J45" s="13">
        <f t="shared" si="19"/>
        <v>0</v>
      </c>
      <c r="K45" s="13">
        <f t="shared" si="19"/>
        <v>0</v>
      </c>
      <c r="L45" s="13">
        <f t="shared" si="19"/>
        <v>0</v>
      </c>
      <c r="M45" s="13">
        <f t="shared" si="19"/>
        <v>0</v>
      </c>
      <c r="N45" s="13">
        <f t="shared" si="19"/>
        <v>0</v>
      </c>
      <c r="O45" s="13">
        <f>O44*-0.045395</f>
        <v>0</v>
      </c>
      <c r="P45" s="109">
        <f t="shared" si="18"/>
        <v>156878.05668178431</v>
      </c>
      <c r="Q45" s="37">
        <f>SUM(D45:O45)</f>
        <v>105863.58807521845</v>
      </c>
    </row>
    <row r="46" spans="1:17">
      <c r="A46" s="8"/>
      <c r="B46" s="2"/>
      <c r="C46" s="8" t="s">
        <v>35</v>
      </c>
      <c r="D46" s="19">
        <f>D23</f>
        <v>3.2500000000000001E-2</v>
      </c>
      <c r="E46" s="19">
        <f>D46</f>
        <v>3.2500000000000001E-2</v>
      </c>
      <c r="F46" s="19">
        <f>E46</f>
        <v>3.2500000000000001E-2</v>
      </c>
      <c r="G46" s="19">
        <f>F46</f>
        <v>3.2500000000000001E-2</v>
      </c>
      <c r="H46" s="19">
        <f t="shared" ref="H46:O46" si="20">G46</f>
        <v>3.2500000000000001E-2</v>
      </c>
      <c r="I46" s="19">
        <f t="shared" si="20"/>
        <v>3.2500000000000001E-2</v>
      </c>
      <c r="J46" s="19">
        <v>0</v>
      </c>
      <c r="K46" s="19">
        <f t="shared" si="20"/>
        <v>0</v>
      </c>
      <c r="L46" s="19">
        <f t="shared" si="20"/>
        <v>0</v>
      </c>
      <c r="M46" s="19">
        <f t="shared" si="20"/>
        <v>0</v>
      </c>
      <c r="N46" s="19">
        <f t="shared" si="20"/>
        <v>0</v>
      </c>
      <c r="O46" s="19">
        <f t="shared" si="20"/>
        <v>0</v>
      </c>
      <c r="P46" s="116"/>
      <c r="Q46" s="37"/>
    </row>
    <row r="47" spans="1:17">
      <c r="A47" s="8">
        <v>25</v>
      </c>
      <c r="B47" s="2" t="s">
        <v>36</v>
      </c>
      <c r="C47" s="8" t="s">
        <v>41</v>
      </c>
      <c r="D47" s="20">
        <f>(D44+D45)/2*D46/12</f>
        <v>1606.476033076209</v>
      </c>
      <c r="E47" s="20">
        <f>(D50+(E44+E45)/2)*E46/12</f>
        <v>3078.0838973441237</v>
      </c>
      <c r="F47" s="20">
        <f t="shared" ref="F47:O47" si="21">(E50+(F44+F45)/2)*F46/12</f>
        <v>2932.6618499669162</v>
      </c>
      <c r="G47" s="20">
        <f t="shared" si="21"/>
        <v>1488.7600988419372</v>
      </c>
      <c r="H47" s="20">
        <f t="shared" si="21"/>
        <v>-440.44583670261483</v>
      </c>
      <c r="I47" s="20">
        <f t="shared" si="21"/>
        <v>-3471.6840779422964</v>
      </c>
      <c r="J47" s="20">
        <f t="shared" si="21"/>
        <v>0</v>
      </c>
      <c r="K47" s="20">
        <f t="shared" si="21"/>
        <v>0</v>
      </c>
      <c r="L47" s="20">
        <f t="shared" si="21"/>
        <v>0</v>
      </c>
      <c r="M47" s="20">
        <f t="shared" si="21"/>
        <v>0</v>
      </c>
      <c r="N47" s="20">
        <f t="shared" si="21"/>
        <v>0</v>
      </c>
      <c r="O47" s="20">
        <f t="shared" si="21"/>
        <v>0</v>
      </c>
      <c r="P47" s="109">
        <f>SUM(G47:I47)</f>
        <v>-2423.3698158029738</v>
      </c>
      <c r="Q47" s="37">
        <f>SUM(D47:O47)</f>
        <v>5193.8519645842734</v>
      </c>
    </row>
    <row r="48" spans="1:17">
      <c r="A48" s="8"/>
      <c r="B48" s="21" t="s">
        <v>42</v>
      </c>
      <c r="C48" s="8"/>
      <c r="D48" s="22">
        <f>D44+D45+D47</f>
        <v>1187927.2389201226</v>
      </c>
      <c r="E48" s="22">
        <f t="shared" ref="E48:Q48" si="22">E44+E45+E47</f>
        <v>-99729.823596471411</v>
      </c>
      <c r="F48" s="22">
        <f t="shared" si="22"/>
        <v>-7804.1872833054858</v>
      </c>
      <c r="G48" s="22">
        <f t="shared" si="22"/>
        <v>-1059905.6229908804</v>
      </c>
      <c r="H48" s="22">
        <f t="shared" si="22"/>
        <v>-366667.96611602581</v>
      </c>
      <c r="I48" s="22">
        <f t="shared" si="22"/>
        <v>-1874816.1271945168</v>
      </c>
      <c r="J48" s="22">
        <f t="shared" si="22"/>
        <v>0</v>
      </c>
      <c r="K48" s="22">
        <f t="shared" si="22"/>
        <v>0</v>
      </c>
      <c r="L48" s="22">
        <f t="shared" si="22"/>
        <v>0</v>
      </c>
      <c r="M48" s="22">
        <f t="shared" si="22"/>
        <v>0</v>
      </c>
      <c r="N48" s="22">
        <f t="shared" si="22"/>
        <v>0</v>
      </c>
      <c r="O48" s="22">
        <f t="shared" si="22"/>
        <v>0</v>
      </c>
      <c r="P48" s="117">
        <f t="shared" si="22"/>
        <v>-3301389.716301423</v>
      </c>
      <c r="Q48" s="22">
        <f t="shared" si="22"/>
        <v>-2220996.4882610776</v>
      </c>
    </row>
    <row r="49" spans="1:17">
      <c r="A49" s="8"/>
      <c r="B49" s="203" t="s">
        <v>43</v>
      </c>
      <c r="C49" s="8"/>
      <c r="D49" s="14"/>
      <c r="E49" s="14"/>
      <c r="F49" s="14"/>
      <c r="G49" s="14"/>
      <c r="H49" s="14"/>
      <c r="I49" s="14"/>
      <c r="J49" s="14"/>
      <c r="K49" s="14"/>
      <c r="L49" s="14"/>
      <c r="M49" s="14"/>
      <c r="N49" s="14"/>
      <c r="O49" s="14"/>
      <c r="P49" s="106"/>
      <c r="Q49" s="37"/>
    </row>
    <row r="50" spans="1:17">
      <c r="A50" s="8">
        <v>26</v>
      </c>
      <c r="B50" s="203"/>
      <c r="C50" s="8" t="str">
        <f>"Σ(("&amp;A$44&amp;") ~ ("&amp;A47&amp;"))"</f>
        <v>Σ((23) ~ (25))</v>
      </c>
      <c r="D50" s="13">
        <f>D44+D45+D47</f>
        <v>1187927.2389201226</v>
      </c>
      <c r="E50" s="13">
        <f>D50+E44+E45+E47</f>
        <v>1088197.4153236512</v>
      </c>
      <c r="F50" s="13">
        <f t="shared" ref="F50:N50" si="23">E50+F44+F45+F47</f>
        <v>1080393.2280403457</v>
      </c>
      <c r="G50" s="13">
        <f t="shared" si="23"/>
        <v>20487.60504946539</v>
      </c>
      <c r="H50" s="13">
        <f t="shared" si="23"/>
        <v>-346180.36106656044</v>
      </c>
      <c r="I50" s="13">
        <f t="shared" si="23"/>
        <v>-2220996.4882610771</v>
      </c>
      <c r="J50" s="13">
        <f t="shared" si="23"/>
        <v>-2220996.4882610771</v>
      </c>
      <c r="K50" s="13">
        <f t="shared" si="23"/>
        <v>-2220996.4882610771</v>
      </c>
      <c r="L50" s="13">
        <f t="shared" si="23"/>
        <v>-2220996.4882610771</v>
      </c>
      <c r="M50" s="13">
        <f t="shared" si="23"/>
        <v>-2220996.4882610771</v>
      </c>
      <c r="N50" s="13">
        <f t="shared" si="23"/>
        <v>-2220996.4882610771</v>
      </c>
      <c r="O50" s="23">
        <f>N50+O44+O45+O47</f>
        <v>-2220996.4882610771</v>
      </c>
      <c r="P50" s="113"/>
      <c r="Q50" s="37"/>
    </row>
    <row r="51" spans="1:17">
      <c r="A51" s="8"/>
      <c r="B51" s="203"/>
      <c r="C51" s="8"/>
      <c r="D51" s="13"/>
      <c r="E51" s="13"/>
      <c r="F51" s="13"/>
      <c r="G51" s="13"/>
      <c r="H51" s="13"/>
      <c r="I51" s="13"/>
      <c r="J51" s="13"/>
      <c r="K51" s="13"/>
      <c r="L51" s="13"/>
      <c r="M51" s="13"/>
      <c r="N51" s="13"/>
      <c r="O51" s="43"/>
      <c r="P51" s="111"/>
      <c r="Q51" s="37"/>
    </row>
    <row r="52" spans="1:17" hidden="1">
      <c r="A52" s="8"/>
      <c r="B52" s="2"/>
      <c r="C52" s="2"/>
      <c r="D52" s="2"/>
      <c r="E52" s="2"/>
      <c r="F52" s="2"/>
      <c r="G52" s="2"/>
      <c r="H52" s="2"/>
      <c r="I52" s="2"/>
      <c r="J52" s="2"/>
      <c r="K52" s="2"/>
      <c r="L52" s="2"/>
      <c r="M52" s="2"/>
      <c r="N52" s="2"/>
      <c r="O52" s="2"/>
      <c r="P52" s="104"/>
      <c r="Q52" s="2"/>
    </row>
    <row r="53" spans="1:17">
      <c r="A53" s="8">
        <v>25</v>
      </c>
      <c r="B53" s="104" t="s">
        <v>100</v>
      </c>
      <c r="C53" s="8" t="str">
        <f>"("&amp;A$27&amp;") + ("&amp;A50&amp;")"</f>
        <v>(13) + (26)</v>
      </c>
      <c r="D53" s="37">
        <f>D27+D50</f>
        <v>8316.134276869474</v>
      </c>
      <c r="E53" s="37">
        <f t="shared" ref="E53:O53" si="24">E27+E50</f>
        <v>2336154.2042929884</v>
      </c>
      <c r="F53" s="37">
        <f t="shared" si="24"/>
        <v>3879988.4334193319</v>
      </c>
      <c r="G53" s="37">
        <f t="shared" si="24"/>
        <v>3091628.3413439603</v>
      </c>
      <c r="H53" s="37">
        <f t="shared" si="24"/>
        <v>4074051.221980283</v>
      </c>
      <c r="I53" s="37">
        <f t="shared" si="24"/>
        <v>1870948.9401334906</v>
      </c>
      <c r="J53" s="37">
        <f t="shared" si="24"/>
        <v>1870948.9401334906</v>
      </c>
      <c r="K53" s="37">
        <f t="shared" si="24"/>
        <v>1870948.9401334906</v>
      </c>
      <c r="L53" s="37">
        <f t="shared" si="24"/>
        <v>1870948.9401334906</v>
      </c>
      <c r="M53" s="37">
        <f t="shared" si="24"/>
        <v>1870948.9401334906</v>
      </c>
      <c r="N53" s="37">
        <f t="shared" si="24"/>
        <v>1870948.9401334906</v>
      </c>
      <c r="O53" s="44">
        <f t="shared" si="24"/>
        <v>1870948.9401334906</v>
      </c>
      <c r="P53" s="114"/>
      <c r="Q53" s="2"/>
    </row>
  </sheetData>
  <mergeCells count="5">
    <mergeCell ref="B49:B51"/>
    <mergeCell ref="A1:Q1"/>
    <mergeCell ref="A2:Q2"/>
    <mergeCell ref="A3:Q3"/>
    <mergeCell ref="B26:B28"/>
  </mergeCells>
  <printOptions horizontalCentered="1"/>
  <pageMargins left="0.7" right="0.71" top="1.08" bottom="0.75" header="0.5" footer="0.5"/>
  <pageSetup scale="85" orientation="portrait" r:id="rId1"/>
  <headerFooter>
    <oddHeader>&amp;CAvista Corporation Decoupling Mechanism
Washington Jurisdiction
Quarterly Report for 2nd Quarter 2015</oddHeader>
    <oddFooter>&amp;Cfile: &amp;F /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abSelected="1" zoomScaleNormal="100" workbookViewId="0">
      <selection activeCell="T49" sqref="T49"/>
    </sheetView>
  </sheetViews>
  <sheetFormatPr defaultRowHeight="15"/>
  <cols>
    <col min="1" max="1" width="7.28515625" customWidth="1"/>
    <col min="2" max="2" width="37.85546875" customWidth="1"/>
    <col min="3" max="3" width="15" customWidth="1"/>
    <col min="4" max="4" width="11.5703125" hidden="1" customWidth="1"/>
    <col min="5" max="5" width="11.28515625" hidden="1" customWidth="1"/>
    <col min="6" max="6" width="11.7109375" hidden="1" customWidth="1"/>
    <col min="7" max="9" width="11.28515625" customWidth="1"/>
    <col min="10" max="15" width="8.85546875" hidden="1" customWidth="1"/>
    <col min="16" max="16" width="14.28515625" style="103" customWidth="1"/>
    <col min="17" max="17" width="13.28515625" hidden="1" customWidth="1"/>
  </cols>
  <sheetData>
    <row r="1" spans="1:17" ht="15.75">
      <c r="A1" s="204" t="s">
        <v>0</v>
      </c>
      <c r="B1" s="204"/>
      <c r="C1" s="204"/>
      <c r="D1" s="204"/>
      <c r="E1" s="204"/>
      <c r="F1" s="204"/>
      <c r="G1" s="204"/>
      <c r="H1" s="204"/>
      <c r="I1" s="204"/>
      <c r="J1" s="204"/>
      <c r="K1" s="204"/>
      <c r="L1" s="204"/>
      <c r="M1" s="204"/>
      <c r="N1" s="204"/>
      <c r="O1" s="204"/>
      <c r="P1" s="204"/>
      <c r="Q1" s="204"/>
    </row>
    <row r="2" spans="1:17" ht="18.75">
      <c r="A2" s="205" t="s">
        <v>1</v>
      </c>
      <c r="B2" s="205"/>
      <c r="C2" s="205"/>
      <c r="D2" s="205"/>
      <c r="E2" s="205"/>
      <c r="F2" s="205"/>
      <c r="G2" s="205"/>
      <c r="H2" s="205"/>
      <c r="I2" s="205"/>
      <c r="J2" s="205"/>
      <c r="K2" s="205"/>
      <c r="L2" s="205"/>
      <c r="M2" s="205"/>
      <c r="N2" s="205"/>
      <c r="O2" s="205"/>
      <c r="P2" s="205"/>
      <c r="Q2" s="205"/>
    </row>
    <row r="3" spans="1:17" ht="15.75">
      <c r="A3" s="206" t="s">
        <v>2</v>
      </c>
      <c r="B3" s="206"/>
      <c r="C3" s="206"/>
      <c r="D3" s="206"/>
      <c r="E3" s="206"/>
      <c r="F3" s="206"/>
      <c r="G3" s="206"/>
      <c r="H3" s="206"/>
      <c r="I3" s="206"/>
      <c r="J3" s="206"/>
      <c r="K3" s="206"/>
      <c r="L3" s="206"/>
      <c r="M3" s="206"/>
      <c r="N3" s="206"/>
      <c r="O3" s="206"/>
      <c r="P3" s="206"/>
      <c r="Q3" s="206"/>
    </row>
    <row r="4" spans="1:17" ht="15.75">
      <c r="A4" s="29"/>
      <c r="B4" s="28"/>
      <c r="C4" s="28"/>
      <c r="D4" s="28"/>
      <c r="E4" s="28"/>
      <c r="F4" s="28"/>
      <c r="G4" s="28"/>
      <c r="H4" s="28"/>
      <c r="I4" s="28"/>
      <c r="J4" s="28"/>
      <c r="K4" s="28"/>
      <c r="L4" s="28"/>
      <c r="M4" s="28"/>
      <c r="N4" s="28"/>
      <c r="O4" s="28"/>
      <c r="P4" s="123"/>
      <c r="Q4" s="1"/>
    </row>
    <row r="5" spans="1:17">
      <c r="A5" s="2"/>
      <c r="B5" s="2"/>
      <c r="C5" s="2"/>
      <c r="D5" s="3" t="s">
        <v>3</v>
      </c>
      <c r="E5" s="3" t="s">
        <v>3</v>
      </c>
      <c r="F5" s="2"/>
      <c r="G5" s="2"/>
      <c r="H5" s="2"/>
      <c r="I5" s="2"/>
      <c r="J5" s="2"/>
      <c r="K5" s="2"/>
      <c r="L5" s="2"/>
      <c r="M5" s="2"/>
      <c r="N5" s="2"/>
      <c r="O5" s="2"/>
      <c r="P5" s="69" t="s">
        <v>99</v>
      </c>
      <c r="Q5" s="69" t="s">
        <v>98</v>
      </c>
    </row>
    <row r="6" spans="1:17" ht="25.5">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72" t="s">
        <v>6</v>
      </c>
      <c r="Q6" s="7" t="s">
        <v>6</v>
      </c>
    </row>
    <row r="7" spans="1:17">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05"/>
      <c r="Q7" s="8" t="s">
        <v>21</v>
      </c>
    </row>
    <row r="8" spans="1:17">
      <c r="A8" s="8"/>
      <c r="B8" s="3" t="s">
        <v>22</v>
      </c>
      <c r="C8" s="8"/>
      <c r="D8" s="8"/>
      <c r="E8" s="8"/>
      <c r="F8" s="8"/>
      <c r="G8" s="8"/>
      <c r="H8" s="8"/>
      <c r="I8" s="8"/>
      <c r="J8" s="8"/>
      <c r="K8" s="8"/>
      <c r="L8" s="8"/>
      <c r="M8" s="8"/>
      <c r="N8" s="8"/>
      <c r="O8" s="8"/>
      <c r="P8" s="105"/>
      <c r="Q8" s="1"/>
    </row>
    <row r="9" spans="1:17">
      <c r="A9" s="8">
        <v>1</v>
      </c>
      <c r="B9" s="2" t="s">
        <v>23</v>
      </c>
      <c r="C9" s="8" t="s">
        <v>24</v>
      </c>
      <c r="D9" s="9">
        <v>150806</v>
      </c>
      <c r="E9" s="9">
        <v>150842</v>
      </c>
      <c r="F9" s="9">
        <v>150516</v>
      </c>
      <c r="G9" s="124">
        <v>150480</v>
      </c>
      <c r="H9" s="125">
        <v>150641</v>
      </c>
      <c r="I9" s="125">
        <v>150509</v>
      </c>
      <c r="J9" s="9"/>
      <c r="K9" s="9"/>
      <c r="L9" s="9"/>
      <c r="M9" s="9"/>
      <c r="N9" s="9"/>
      <c r="O9" s="9"/>
      <c r="P9" s="108">
        <f>SUM(G9:I9)</f>
        <v>451630</v>
      </c>
      <c r="Q9" s="9">
        <f>SUM(D9:O9)</f>
        <v>903794</v>
      </c>
    </row>
    <row r="10" spans="1:17">
      <c r="A10" s="10">
        <f t="shared" ref="A10:A11" si="1">A9+1</f>
        <v>2</v>
      </c>
      <c r="B10" s="11" t="s">
        <v>25</v>
      </c>
      <c r="C10" s="8" t="s">
        <v>26</v>
      </c>
      <c r="D10" s="12">
        <v>48.137706084246098</v>
      </c>
      <c r="E10" s="12">
        <v>40.073388678350121</v>
      </c>
      <c r="F10" s="120">
        <v>34.218369443102773</v>
      </c>
      <c r="G10" s="120">
        <v>22.042735795876393</v>
      </c>
      <c r="H10" s="120">
        <v>12.281032305897392</v>
      </c>
      <c r="I10" s="120">
        <v>8.0888741834433677</v>
      </c>
      <c r="J10" s="120">
        <v>5.8833305156034115</v>
      </c>
      <c r="K10" s="120">
        <v>5.3354769369810153</v>
      </c>
      <c r="L10" s="120">
        <v>6.9655167030544396</v>
      </c>
      <c r="M10" s="120">
        <v>16.602087047119149</v>
      </c>
      <c r="N10" s="120">
        <v>33.14327239241473</v>
      </c>
      <c r="O10" s="120">
        <v>47.508209913911003</v>
      </c>
      <c r="P10" s="172">
        <f>P11/P9</f>
        <v>14.136497209290894</v>
      </c>
      <c r="Q10" s="12">
        <f>Q11/Q9</f>
        <v>27.48312483651209</v>
      </c>
    </row>
    <row r="11" spans="1:17">
      <c r="A11" s="8">
        <f t="shared" si="1"/>
        <v>3</v>
      </c>
      <c r="B11" s="2" t="s">
        <v>27</v>
      </c>
      <c r="C11" s="8" t="str">
        <f>"("&amp;A9&amp;") x ("&amp;A10&amp;")"</f>
        <v>(1) x (2)</v>
      </c>
      <c r="D11" s="13">
        <f t="shared" ref="D11:O11" si="2">D9*D10</f>
        <v>7259454.9037408167</v>
      </c>
      <c r="E11" s="13">
        <f t="shared" si="2"/>
        <v>6044750.0950196888</v>
      </c>
      <c r="F11" s="13">
        <f t="shared" si="2"/>
        <v>5150412.0950980568</v>
      </c>
      <c r="G11" s="13">
        <f t="shared" si="2"/>
        <v>3316990.8825634797</v>
      </c>
      <c r="H11" s="13">
        <f t="shared" si="2"/>
        <v>1850026.987592689</v>
      </c>
      <c r="I11" s="13">
        <f t="shared" si="2"/>
        <v>1217448.3644758777</v>
      </c>
      <c r="J11" s="13">
        <f t="shared" si="2"/>
        <v>0</v>
      </c>
      <c r="K11" s="13">
        <f t="shared" si="2"/>
        <v>0</v>
      </c>
      <c r="L11" s="13">
        <f t="shared" si="2"/>
        <v>0</v>
      </c>
      <c r="M11" s="13">
        <f t="shared" si="2"/>
        <v>0</v>
      </c>
      <c r="N11" s="13">
        <f t="shared" si="2"/>
        <v>0</v>
      </c>
      <c r="O11" s="13">
        <f t="shared" si="2"/>
        <v>0</v>
      </c>
      <c r="P11" s="109">
        <f>SUM(G11:I11)</f>
        <v>6384466.2346320469</v>
      </c>
      <c r="Q11" s="13">
        <f>SUM(D11:O11)</f>
        <v>24839083.328490607</v>
      </c>
    </row>
    <row r="12" spans="1:17">
      <c r="A12" s="8"/>
      <c r="B12" s="2"/>
      <c r="C12" s="8"/>
      <c r="D12" s="14"/>
      <c r="E12" s="14"/>
      <c r="F12" s="14"/>
      <c r="G12" s="14"/>
      <c r="H12" s="14"/>
      <c r="I12" s="14"/>
      <c r="J12" s="14"/>
      <c r="K12" s="14"/>
      <c r="L12" s="14"/>
      <c r="M12" s="14"/>
      <c r="N12" s="14"/>
      <c r="O12" s="14"/>
      <c r="P12" s="106"/>
      <c r="Q12" s="14"/>
    </row>
    <row r="13" spans="1:17">
      <c r="A13" s="8">
        <v>4</v>
      </c>
      <c r="B13" s="15" t="s">
        <v>28</v>
      </c>
      <c r="C13" s="8" t="s">
        <v>24</v>
      </c>
      <c r="D13" s="16">
        <v>9163508.7650715783</v>
      </c>
      <c r="E13" s="16">
        <v>5564097.0273399986</v>
      </c>
      <c r="F13" s="16">
        <v>5529315.9960999992</v>
      </c>
      <c r="G13" s="159">
        <v>3919938.9588519176</v>
      </c>
      <c r="H13" s="160">
        <v>2352552.9991999995</v>
      </c>
      <c r="I13" s="160">
        <v>2000136.6165800001</v>
      </c>
      <c r="J13" s="16"/>
      <c r="K13" s="16"/>
      <c r="L13" s="16"/>
      <c r="M13" s="16"/>
      <c r="N13" s="16"/>
      <c r="O13" s="16"/>
      <c r="P13" s="16"/>
      <c r="Q13" s="16"/>
    </row>
    <row r="14" spans="1:17">
      <c r="A14" s="8">
        <v>5</v>
      </c>
      <c r="B14" s="2" t="s">
        <v>29</v>
      </c>
      <c r="C14" s="8" t="s">
        <v>24</v>
      </c>
      <c r="D14" s="16">
        <v>1357254</v>
      </c>
      <c r="E14" s="16">
        <v>1357578</v>
      </c>
      <c r="F14" s="16">
        <v>1354644</v>
      </c>
      <c r="G14" s="159">
        <v>1354320</v>
      </c>
      <c r="H14" s="160">
        <v>1355769</v>
      </c>
      <c r="I14" s="160">
        <v>1354581</v>
      </c>
      <c r="J14" s="16"/>
      <c r="K14" s="16"/>
      <c r="L14" s="16"/>
      <c r="M14" s="16"/>
      <c r="N14" s="16"/>
      <c r="O14" s="16"/>
      <c r="P14" s="16"/>
      <c r="Q14" s="16"/>
    </row>
    <row r="15" spans="1:17">
      <c r="A15" s="8">
        <v>6</v>
      </c>
      <c r="B15" s="2" t="s">
        <v>30</v>
      </c>
      <c r="C15" s="8" t="str">
        <f>"("&amp;A13&amp;") - ("&amp;A14&amp;")"</f>
        <v>(4) - (5)</v>
      </c>
      <c r="D15" s="13">
        <f>D13-D14</f>
        <v>7806254.7650715783</v>
      </c>
      <c r="E15" s="13">
        <f t="shared" ref="E15:O15" si="3">E13-E14</f>
        <v>4206519.0273399986</v>
      </c>
      <c r="F15" s="13">
        <f t="shared" si="3"/>
        <v>4174671.9960999992</v>
      </c>
      <c r="G15" s="13">
        <f t="shared" si="3"/>
        <v>2565618.9588519176</v>
      </c>
      <c r="H15" s="13">
        <f t="shared" si="3"/>
        <v>996783.9991999995</v>
      </c>
      <c r="I15" s="13">
        <f t="shared" si="3"/>
        <v>645555.61658000015</v>
      </c>
      <c r="J15" s="13">
        <f t="shared" si="3"/>
        <v>0</v>
      </c>
      <c r="K15" s="13">
        <f t="shared" si="3"/>
        <v>0</v>
      </c>
      <c r="L15" s="13">
        <f t="shared" si="3"/>
        <v>0</v>
      </c>
      <c r="M15" s="13">
        <f t="shared" si="3"/>
        <v>0</v>
      </c>
      <c r="N15" s="13">
        <f t="shared" si="3"/>
        <v>0</v>
      </c>
      <c r="O15" s="13">
        <f t="shared" si="3"/>
        <v>0</v>
      </c>
      <c r="P15" s="168">
        <f>SUM(G15:I15)</f>
        <v>4207958.5746319173</v>
      </c>
      <c r="Q15" s="13">
        <f>SUM(D15:O15)</f>
        <v>20395404.363143496</v>
      </c>
    </row>
    <row r="16" spans="1:17">
      <c r="A16" s="8"/>
      <c r="B16" s="17" t="s">
        <v>31</v>
      </c>
      <c r="C16" s="8"/>
      <c r="D16" s="12">
        <f>D15/D9</f>
        <v>51.76355559507963</v>
      </c>
      <c r="E16" s="12">
        <f>E15/E9</f>
        <v>27.88692159570941</v>
      </c>
      <c r="F16" s="12">
        <f>F15/F9</f>
        <v>27.735735709824862</v>
      </c>
      <c r="G16" s="120">
        <f t="shared" ref="G16:O16" si="4">G15/G9</f>
        <v>17.049567775464631</v>
      </c>
      <c r="H16" s="120">
        <f t="shared" si="4"/>
        <v>6.6169502273617375</v>
      </c>
      <c r="I16" s="120">
        <f t="shared" si="4"/>
        <v>4.2891495962367712</v>
      </c>
      <c r="J16" s="120" t="e">
        <f t="shared" si="4"/>
        <v>#DIV/0!</v>
      </c>
      <c r="K16" s="120" t="e">
        <f t="shared" si="4"/>
        <v>#DIV/0!</v>
      </c>
      <c r="L16" s="120" t="e">
        <f t="shared" si="4"/>
        <v>#DIV/0!</v>
      </c>
      <c r="M16" s="120" t="e">
        <f t="shared" si="4"/>
        <v>#DIV/0!</v>
      </c>
      <c r="N16" s="120" t="e">
        <f t="shared" si="4"/>
        <v>#DIV/0!</v>
      </c>
      <c r="O16" s="120" t="e">
        <f t="shared" si="4"/>
        <v>#DIV/0!</v>
      </c>
      <c r="P16" s="172">
        <f>P15/P9</f>
        <v>9.3172698328984289</v>
      </c>
      <c r="Q16" s="12">
        <f>Q15/Q9</f>
        <v>22.566430362608621</v>
      </c>
    </row>
    <row r="17" spans="1:17">
      <c r="A17" s="8">
        <v>7</v>
      </c>
      <c r="B17" s="2" t="s">
        <v>32</v>
      </c>
      <c r="C17" s="8" t="str">
        <f>"("&amp;A$11&amp;") - ("&amp;A15&amp;")"</f>
        <v>(3) - (6)</v>
      </c>
      <c r="D17" s="13">
        <f t="shared" ref="D17:O17" si="5">D11-D15</f>
        <v>-546799.86133076157</v>
      </c>
      <c r="E17" s="13">
        <f t="shared" si="5"/>
        <v>1838231.0676796902</v>
      </c>
      <c r="F17" s="13">
        <f t="shared" si="5"/>
        <v>975740.09899805766</v>
      </c>
      <c r="G17" s="13">
        <f t="shared" si="5"/>
        <v>751371.92371156206</v>
      </c>
      <c r="H17" s="13">
        <f t="shared" si="5"/>
        <v>853242.9883926895</v>
      </c>
      <c r="I17" s="13">
        <f t="shared" si="5"/>
        <v>571892.74789587758</v>
      </c>
      <c r="J17" s="13">
        <f t="shared" si="5"/>
        <v>0</v>
      </c>
      <c r="K17" s="13">
        <f t="shared" si="5"/>
        <v>0</v>
      </c>
      <c r="L17" s="13">
        <f t="shared" si="5"/>
        <v>0</v>
      </c>
      <c r="M17" s="13">
        <f t="shared" si="5"/>
        <v>0</v>
      </c>
      <c r="N17" s="13">
        <f t="shared" si="5"/>
        <v>0</v>
      </c>
      <c r="O17" s="13">
        <f t="shared" si="5"/>
        <v>0</v>
      </c>
      <c r="P17" s="168">
        <f>SUM(G17:I17)</f>
        <v>2176507.6600001291</v>
      </c>
      <c r="Q17" s="13">
        <f t="shared" ref="Q17:Q20" si="6">SUM(D17:O17)</f>
        <v>4443678.9653471159</v>
      </c>
    </row>
    <row r="18" spans="1:17">
      <c r="A18" s="8">
        <v>8</v>
      </c>
      <c r="B18" s="2" t="s">
        <v>33</v>
      </c>
      <c r="C18" s="8" t="s">
        <v>34</v>
      </c>
      <c r="D18" s="13">
        <f>D17*-0.044797</f>
        <v>24494.993388034123</v>
      </c>
      <c r="E18" s="13">
        <f t="shared" ref="E18:O18" si="7">E17*-0.044797</f>
        <v>-82347.237138847078</v>
      </c>
      <c r="F18" s="13">
        <f t="shared" si="7"/>
        <v>-43710.229214815983</v>
      </c>
      <c r="G18" s="13">
        <f t="shared" si="7"/>
        <v>-33659.208066506842</v>
      </c>
      <c r="H18" s="13">
        <f t="shared" si="7"/>
        <v>-38222.726151027309</v>
      </c>
      <c r="I18" s="13">
        <f t="shared" si="7"/>
        <v>-25619.079427491626</v>
      </c>
      <c r="J18" s="13">
        <f t="shared" si="7"/>
        <v>0</v>
      </c>
      <c r="K18" s="13">
        <f t="shared" si="7"/>
        <v>0</v>
      </c>
      <c r="L18" s="13">
        <f t="shared" si="7"/>
        <v>0</v>
      </c>
      <c r="M18" s="13">
        <f t="shared" si="7"/>
        <v>0</v>
      </c>
      <c r="N18" s="13">
        <f t="shared" si="7"/>
        <v>0</v>
      </c>
      <c r="O18" s="13">
        <f t="shared" si="7"/>
        <v>0</v>
      </c>
      <c r="P18" s="168">
        <f>SUM(G18:I18)</f>
        <v>-97501.013645025771</v>
      </c>
      <c r="Q18" s="13">
        <f t="shared" si="6"/>
        <v>-199063.48661065468</v>
      </c>
    </row>
    <row r="19" spans="1:17">
      <c r="A19" s="8"/>
      <c r="B19" s="2"/>
      <c r="C19" s="18" t="s">
        <v>35</v>
      </c>
      <c r="D19" s="19">
        <v>3.2500000000000001E-2</v>
      </c>
      <c r="E19" s="19">
        <f>D19</f>
        <v>3.2500000000000001E-2</v>
      </c>
      <c r="F19" s="19">
        <f>E19</f>
        <v>3.2500000000000001E-2</v>
      </c>
      <c r="G19" s="116">
        <f>F19</f>
        <v>3.2500000000000001E-2</v>
      </c>
      <c r="H19" s="19">
        <f>G19</f>
        <v>3.2500000000000001E-2</v>
      </c>
      <c r="I19" s="19">
        <f t="shared" ref="I19:O19" si="8">H19</f>
        <v>3.2500000000000001E-2</v>
      </c>
      <c r="J19" s="19">
        <v>0</v>
      </c>
      <c r="K19" s="19">
        <f t="shared" si="8"/>
        <v>0</v>
      </c>
      <c r="L19" s="19">
        <f t="shared" si="8"/>
        <v>0</v>
      </c>
      <c r="M19" s="19">
        <f t="shared" si="8"/>
        <v>0</v>
      </c>
      <c r="N19" s="19">
        <f t="shared" si="8"/>
        <v>0</v>
      </c>
      <c r="O19" s="19">
        <f t="shared" si="8"/>
        <v>0</v>
      </c>
      <c r="P19" s="116"/>
      <c r="Q19" s="19"/>
    </row>
    <row r="20" spans="1:17">
      <c r="A20" s="8">
        <v>9</v>
      </c>
      <c r="B20" s="2" t="s">
        <v>36</v>
      </c>
      <c r="C20" s="165" t="s">
        <v>41</v>
      </c>
      <c r="D20" s="20">
        <f>(D17+D18)/2*D19/12</f>
        <v>-707.28784200577684</v>
      </c>
      <c r="E20" s="20">
        <f>(D23+(E17+E18)/2)*E19/12</f>
        <v>961.2680986070726</v>
      </c>
      <c r="F20" s="20">
        <f>(E23+(F17+F18)/2)*F19/12</f>
        <v>4603.7546688963312</v>
      </c>
      <c r="G20" s="20">
        <f t="shared" ref="G20:O20" si="9">(F23+(G17+G18)/2)*G19/12</f>
        <v>6850.2495888920785</v>
      </c>
      <c r="H20" s="20">
        <f t="shared" si="9"/>
        <v>8944.3782557502582</v>
      </c>
      <c r="I20" s="20">
        <f t="shared" si="9"/>
        <v>10812.021478029439</v>
      </c>
      <c r="J20" s="20">
        <f t="shared" si="9"/>
        <v>0</v>
      </c>
      <c r="K20" s="20">
        <f t="shared" si="9"/>
        <v>0</v>
      </c>
      <c r="L20" s="20">
        <f t="shared" si="9"/>
        <v>0</v>
      </c>
      <c r="M20" s="20">
        <f t="shared" si="9"/>
        <v>0</v>
      </c>
      <c r="N20" s="20">
        <f t="shared" si="9"/>
        <v>0</v>
      </c>
      <c r="O20" s="20">
        <f t="shared" si="9"/>
        <v>0</v>
      </c>
      <c r="P20" s="168">
        <f>SUM(G20:I20)</f>
        <v>26606.649322671776</v>
      </c>
      <c r="Q20" s="20">
        <f t="shared" si="6"/>
        <v>31464.384248169401</v>
      </c>
    </row>
    <row r="21" spans="1:17">
      <c r="A21" s="8"/>
      <c r="B21" s="21" t="s">
        <v>37</v>
      </c>
      <c r="C21" s="18"/>
      <c r="D21" s="22">
        <f>D17+D18+D20</f>
        <v>-523012.15578473324</v>
      </c>
      <c r="E21" s="22">
        <f t="shared" ref="E21:Q21" si="10">E17+E18+E20</f>
        <v>1756845.09863945</v>
      </c>
      <c r="F21" s="22">
        <f t="shared" si="10"/>
        <v>936633.62445213797</v>
      </c>
      <c r="G21" s="22">
        <f t="shared" si="10"/>
        <v>724562.96523394727</v>
      </c>
      <c r="H21" s="22">
        <f t="shared" si="10"/>
        <v>823964.64049741253</v>
      </c>
      <c r="I21" s="22">
        <f t="shared" si="10"/>
        <v>557085.68994641537</v>
      </c>
      <c r="J21" s="22">
        <f t="shared" si="10"/>
        <v>0</v>
      </c>
      <c r="K21" s="22">
        <f t="shared" si="10"/>
        <v>0</v>
      </c>
      <c r="L21" s="22">
        <f t="shared" si="10"/>
        <v>0</v>
      </c>
      <c r="M21" s="22">
        <f t="shared" si="10"/>
        <v>0</v>
      </c>
      <c r="N21" s="22">
        <f t="shared" si="10"/>
        <v>0</v>
      </c>
      <c r="O21" s="22">
        <f t="shared" si="10"/>
        <v>0</v>
      </c>
      <c r="P21" s="173">
        <f>P17+P18+P20</f>
        <v>2105613.2956777751</v>
      </c>
      <c r="Q21" s="22">
        <f t="shared" si="10"/>
        <v>4276079.8629846303</v>
      </c>
    </row>
    <row r="22" spans="1:17">
      <c r="A22" s="8"/>
      <c r="B22" s="203" t="s">
        <v>38</v>
      </c>
      <c r="C22" s="8"/>
      <c r="D22" s="14"/>
      <c r="E22" s="14"/>
      <c r="F22" s="14"/>
      <c r="G22" s="14"/>
      <c r="H22" s="14"/>
      <c r="I22" s="14"/>
      <c r="J22" s="14"/>
      <c r="K22" s="14"/>
      <c r="L22" s="14"/>
      <c r="M22" s="14"/>
      <c r="N22" s="14"/>
      <c r="O22" s="14"/>
      <c r="P22" s="106"/>
      <c r="Q22" s="1"/>
    </row>
    <row r="23" spans="1:17">
      <c r="A23" s="8">
        <v>10</v>
      </c>
      <c r="B23" s="203"/>
      <c r="C23" s="8" t="str">
        <f>"Σ(("&amp;A$17&amp;") + ("&amp;A20&amp;"))"</f>
        <v>Σ((7) + (9))</v>
      </c>
      <c r="D23" s="13">
        <f>D17+D18+D20</f>
        <v>-523012.15578473324</v>
      </c>
      <c r="E23" s="13">
        <f>D23+E17+E18+E20</f>
        <v>1233832.9428547169</v>
      </c>
      <c r="F23" s="13">
        <f t="shared" ref="F23:N23" si="11">E23+F17+F18+F20</f>
        <v>2170466.5673068552</v>
      </c>
      <c r="G23" s="13">
        <f t="shared" si="11"/>
        <v>2895029.5325408024</v>
      </c>
      <c r="H23" s="13">
        <f t="shared" si="11"/>
        <v>3718994.1730382149</v>
      </c>
      <c r="I23" s="13">
        <f t="shared" si="11"/>
        <v>4276079.8629846303</v>
      </c>
      <c r="J23" s="13">
        <f t="shared" si="11"/>
        <v>4276079.8629846303</v>
      </c>
      <c r="K23" s="13">
        <f t="shared" si="11"/>
        <v>4276079.8629846303</v>
      </c>
      <c r="L23" s="13">
        <f t="shared" si="11"/>
        <v>4276079.8629846303</v>
      </c>
      <c r="M23" s="13">
        <f t="shared" si="11"/>
        <v>4276079.8629846303</v>
      </c>
      <c r="N23" s="13">
        <f t="shared" si="11"/>
        <v>4276079.8629846303</v>
      </c>
      <c r="O23" s="23">
        <f>N23+O17+O18+O20</f>
        <v>4276079.8629846303</v>
      </c>
      <c r="P23" s="113"/>
      <c r="Q23" s="1"/>
    </row>
    <row r="24" spans="1:17">
      <c r="A24" s="8"/>
      <c r="B24" s="203"/>
      <c r="C24" s="8"/>
      <c r="D24" s="14"/>
      <c r="E24" s="14"/>
      <c r="F24" s="14"/>
      <c r="G24" s="14"/>
      <c r="H24" s="14"/>
      <c r="I24" s="14"/>
      <c r="J24" s="14"/>
      <c r="K24" s="14"/>
      <c r="L24" s="14"/>
      <c r="M24" s="14"/>
      <c r="N24" s="14"/>
      <c r="O24" s="14"/>
      <c r="P24" s="106"/>
      <c r="Q24" s="1"/>
    </row>
    <row r="25" spans="1:17">
      <c r="A25" s="8"/>
      <c r="B25" s="2"/>
      <c r="C25" s="8"/>
      <c r="D25" s="13"/>
      <c r="E25" s="13"/>
      <c r="F25" s="13"/>
      <c r="G25" s="13"/>
      <c r="H25" s="13"/>
      <c r="I25" s="13"/>
      <c r="J25" s="13"/>
      <c r="K25" s="13"/>
      <c r="L25" s="13"/>
      <c r="M25" s="13"/>
      <c r="N25" s="13"/>
      <c r="O25" s="13"/>
      <c r="P25" s="109"/>
      <c r="Q25" s="1"/>
    </row>
    <row r="26" spans="1:17">
      <c r="A26" s="8"/>
      <c r="B26" s="2"/>
      <c r="C26" s="8"/>
      <c r="D26" s="13"/>
      <c r="E26" s="13"/>
      <c r="F26" s="13"/>
      <c r="G26" s="13"/>
      <c r="H26" s="13"/>
      <c r="I26" s="13"/>
      <c r="J26" s="13"/>
      <c r="K26" s="13"/>
      <c r="L26" s="13"/>
      <c r="M26" s="13"/>
      <c r="N26" s="13"/>
      <c r="O26" s="13"/>
      <c r="P26" s="109"/>
      <c r="Q26" s="1"/>
    </row>
    <row r="27" spans="1:17">
      <c r="A27" s="8"/>
      <c r="B27" s="3" t="s">
        <v>39</v>
      </c>
      <c r="C27" s="8"/>
      <c r="D27" s="8"/>
      <c r="E27" s="8"/>
      <c r="F27" s="8"/>
      <c r="G27" s="8"/>
      <c r="H27" s="8"/>
      <c r="I27" s="8"/>
      <c r="J27" s="8"/>
      <c r="K27" s="8"/>
      <c r="L27" s="8"/>
      <c r="M27" s="8"/>
      <c r="N27" s="8"/>
      <c r="O27" s="8"/>
      <c r="P27" s="105"/>
      <c r="Q27" s="1"/>
    </row>
    <row r="28" spans="1:17">
      <c r="A28" s="8">
        <v>11</v>
      </c>
      <c r="B28" s="2" t="s">
        <v>23</v>
      </c>
      <c r="C28" s="8" t="s">
        <v>24</v>
      </c>
      <c r="D28" s="9">
        <v>2622</v>
      </c>
      <c r="E28" s="9">
        <v>2634</v>
      </c>
      <c r="F28" s="9">
        <v>2688</v>
      </c>
      <c r="G28" s="161">
        <v>2640</v>
      </c>
      <c r="H28" s="162">
        <v>2654</v>
      </c>
      <c r="I28" s="162">
        <v>2647</v>
      </c>
      <c r="J28" s="9"/>
      <c r="K28" s="9"/>
      <c r="L28" s="9"/>
      <c r="M28" s="9"/>
      <c r="N28" s="9"/>
      <c r="O28" s="9"/>
      <c r="P28" s="167">
        <f>SUM(G28:I28)</f>
        <v>7941</v>
      </c>
      <c r="Q28" s="167">
        <f>SUM(D28:O28)</f>
        <v>15885</v>
      </c>
    </row>
    <row r="29" spans="1:17">
      <c r="A29" s="10">
        <v>12</v>
      </c>
      <c r="B29" s="11" t="s">
        <v>25</v>
      </c>
      <c r="C29" s="8" t="s">
        <v>26</v>
      </c>
      <c r="D29" s="24">
        <v>642.23525919067015</v>
      </c>
      <c r="E29" s="24">
        <v>547.49948301856114</v>
      </c>
      <c r="F29" s="24">
        <v>491.15466582936881</v>
      </c>
      <c r="G29" s="24">
        <v>334.58697461438828</v>
      </c>
      <c r="H29" s="24">
        <v>208.08129936813936</v>
      </c>
      <c r="I29" s="24">
        <v>166.52662349562945</v>
      </c>
      <c r="J29" s="24">
        <v>142.14700255957811</v>
      </c>
      <c r="K29" s="24">
        <v>156.16362568722522</v>
      </c>
      <c r="L29" s="24">
        <v>211.98631991522504</v>
      </c>
      <c r="M29" s="24">
        <v>390.54187068635031</v>
      </c>
      <c r="N29" s="24">
        <v>557.50859652134125</v>
      </c>
      <c r="O29" s="24">
        <v>660.89827911352268</v>
      </c>
      <c r="P29" s="172">
        <f>P30/P28</f>
        <v>236.28678427124518</v>
      </c>
      <c r="Q29" s="172">
        <f>Q30/Q28</f>
        <v>398.0252806746069</v>
      </c>
    </row>
    <row r="30" spans="1:17">
      <c r="A30" s="8">
        <v>13</v>
      </c>
      <c r="B30" s="2" t="s">
        <v>27</v>
      </c>
      <c r="C30" s="8" t="str">
        <f>"("&amp;A28&amp;") x ("&amp;A29&amp;")"</f>
        <v>(11) x (12)</v>
      </c>
      <c r="D30" s="13">
        <f t="shared" ref="D30:O30" si="12">D28*D29</f>
        <v>1683940.8495979372</v>
      </c>
      <c r="E30" s="13">
        <f t="shared" si="12"/>
        <v>1442113.6382708901</v>
      </c>
      <c r="F30" s="13">
        <f t="shared" si="12"/>
        <v>1320223.7417493435</v>
      </c>
      <c r="G30" s="13">
        <f t="shared" si="12"/>
        <v>883309.61298198509</v>
      </c>
      <c r="H30" s="13">
        <f t="shared" si="12"/>
        <v>552247.76852304186</v>
      </c>
      <c r="I30" s="13">
        <f t="shared" si="12"/>
        <v>440795.97239293117</v>
      </c>
      <c r="J30" s="13">
        <f t="shared" si="12"/>
        <v>0</v>
      </c>
      <c r="K30" s="13">
        <f t="shared" si="12"/>
        <v>0</v>
      </c>
      <c r="L30" s="13">
        <f t="shared" si="12"/>
        <v>0</v>
      </c>
      <c r="M30" s="13">
        <f t="shared" si="12"/>
        <v>0</v>
      </c>
      <c r="N30" s="13">
        <f t="shared" si="12"/>
        <v>0</v>
      </c>
      <c r="O30" s="13">
        <f t="shared" si="12"/>
        <v>0</v>
      </c>
      <c r="P30" s="168">
        <f>SUM(G30:I30)</f>
        <v>1876353.3538979581</v>
      </c>
      <c r="Q30" s="13">
        <f>SUM(D30:O30)</f>
        <v>6322631.5835161302</v>
      </c>
    </row>
    <row r="31" spans="1:17">
      <c r="A31" s="8"/>
      <c r="B31" s="2"/>
      <c r="C31" s="8"/>
      <c r="D31" s="14"/>
      <c r="E31" s="14"/>
      <c r="F31" s="14"/>
      <c r="G31" s="14"/>
      <c r="H31" s="14"/>
      <c r="I31" s="14"/>
      <c r="J31" s="14"/>
      <c r="K31" s="14"/>
      <c r="L31" s="14"/>
      <c r="M31" s="14"/>
      <c r="N31" s="14"/>
      <c r="O31" s="14"/>
      <c r="P31" s="166"/>
      <c r="Q31" s="14"/>
    </row>
    <row r="32" spans="1:17">
      <c r="A32" s="8">
        <v>14</v>
      </c>
      <c r="B32" s="15" t="s">
        <v>28</v>
      </c>
      <c r="C32" s="8" t="s">
        <v>24</v>
      </c>
      <c r="D32" s="16">
        <v>1739453.4398748712</v>
      </c>
      <c r="E32" s="16">
        <v>1533381.22603</v>
      </c>
      <c r="F32" s="16">
        <v>1343015.4651600004</v>
      </c>
      <c r="G32" s="174">
        <v>1101125.7798617501</v>
      </c>
      <c r="H32" s="175">
        <v>700532.59237999981</v>
      </c>
      <c r="I32" s="175">
        <v>616648.19738000014</v>
      </c>
      <c r="J32" s="16"/>
      <c r="K32" s="16"/>
      <c r="L32" s="16"/>
      <c r="M32" s="16"/>
      <c r="N32" s="16"/>
      <c r="O32" s="16"/>
      <c r="P32" s="169"/>
      <c r="Q32" s="167"/>
    </row>
    <row r="33" spans="1:17">
      <c r="A33" s="8">
        <v>15</v>
      </c>
      <c r="B33" s="2" t="s">
        <v>29</v>
      </c>
      <c r="C33" s="8" t="s">
        <v>24</v>
      </c>
      <c r="D33" s="16">
        <v>231552.08000000002</v>
      </c>
      <c r="E33" s="16">
        <v>232468.36000000002</v>
      </c>
      <c r="F33" s="16">
        <v>237296.72</v>
      </c>
      <c r="G33" s="174">
        <v>233118.80000000002</v>
      </c>
      <c r="H33" s="175">
        <v>234209.16</v>
      </c>
      <c r="I33" s="175">
        <v>233599.88</v>
      </c>
      <c r="J33" s="16"/>
      <c r="K33" s="16"/>
      <c r="L33" s="16"/>
      <c r="M33" s="16"/>
      <c r="N33" s="16"/>
      <c r="O33" s="16"/>
      <c r="P33" s="169"/>
      <c r="Q33" s="172"/>
    </row>
    <row r="34" spans="1:17">
      <c r="A34" s="8">
        <v>16</v>
      </c>
      <c r="B34" s="2" t="s">
        <v>30</v>
      </c>
      <c r="C34" s="8" t="str">
        <f>"("&amp;A32&amp;") - ("&amp;A33&amp;")"</f>
        <v>(14) - (15)</v>
      </c>
      <c r="D34" s="13">
        <f t="shared" ref="D34:O34" si="13">D32-D33</f>
        <v>1507901.3598748711</v>
      </c>
      <c r="E34" s="13">
        <f t="shared" si="13"/>
        <v>1300912.8660299999</v>
      </c>
      <c r="F34" s="13">
        <f t="shared" si="13"/>
        <v>1105718.7451600004</v>
      </c>
      <c r="G34" s="13">
        <f t="shared" si="13"/>
        <v>868006.97986175003</v>
      </c>
      <c r="H34" s="13">
        <f t="shared" si="13"/>
        <v>466323.43237999978</v>
      </c>
      <c r="I34" s="13">
        <f t="shared" si="13"/>
        <v>383048.31738000014</v>
      </c>
      <c r="J34" s="13">
        <f t="shared" si="13"/>
        <v>0</v>
      </c>
      <c r="K34" s="13">
        <f t="shared" si="13"/>
        <v>0</v>
      </c>
      <c r="L34" s="13">
        <f t="shared" si="13"/>
        <v>0</v>
      </c>
      <c r="M34" s="13">
        <f t="shared" si="13"/>
        <v>0</v>
      </c>
      <c r="N34" s="13">
        <f t="shared" si="13"/>
        <v>0</v>
      </c>
      <c r="O34" s="13">
        <f t="shared" si="13"/>
        <v>0</v>
      </c>
      <c r="P34" s="168">
        <f>SUM(G34:I34)</f>
        <v>1717378.7296217501</v>
      </c>
      <c r="Q34" s="13">
        <f>SUM(D34:O34)</f>
        <v>5631911.7006866215</v>
      </c>
    </row>
    <row r="35" spans="1:17">
      <c r="A35" s="8"/>
      <c r="B35" s="17" t="s">
        <v>40</v>
      </c>
      <c r="C35" s="8"/>
      <c r="D35" s="24">
        <f>D34/D28</f>
        <v>575.09586570361216</v>
      </c>
      <c r="E35" s="24">
        <f>E34/E28</f>
        <v>493.89250798405465</v>
      </c>
      <c r="F35" s="24">
        <f>F34/F28</f>
        <v>411.35369983630966</v>
      </c>
      <c r="G35" s="24">
        <f t="shared" ref="G35:O35" si="14">G34/G28</f>
        <v>328.79052267490533</v>
      </c>
      <c r="H35" s="24">
        <f t="shared" si="14"/>
        <v>175.70589012057263</v>
      </c>
      <c r="I35" s="24">
        <f t="shared" si="14"/>
        <v>144.71035790706466</v>
      </c>
      <c r="J35" s="24" t="e">
        <f t="shared" si="14"/>
        <v>#DIV/0!</v>
      </c>
      <c r="K35" s="24" t="e">
        <f t="shared" si="14"/>
        <v>#DIV/0!</v>
      </c>
      <c r="L35" s="24" t="e">
        <f t="shared" si="14"/>
        <v>#DIV/0!</v>
      </c>
      <c r="M35" s="24" t="e">
        <f t="shared" si="14"/>
        <v>#DIV/0!</v>
      </c>
      <c r="N35" s="24" t="e">
        <f t="shared" si="14"/>
        <v>#DIV/0!</v>
      </c>
      <c r="O35" s="24" t="e">
        <f t="shared" si="14"/>
        <v>#DIV/0!</v>
      </c>
      <c r="P35" s="172">
        <f>P34/P28</f>
        <v>216.26731263339002</v>
      </c>
      <c r="Q35" s="24">
        <f>Q34/Q28</f>
        <v>354.54275736144928</v>
      </c>
    </row>
    <row r="36" spans="1:17">
      <c r="A36" s="8">
        <v>17</v>
      </c>
      <c r="B36" s="2" t="s">
        <v>32</v>
      </c>
      <c r="C36" s="8" t="str">
        <f>"("&amp;A30&amp;") - ("&amp;A34&amp;")"</f>
        <v>(13) - (16)</v>
      </c>
      <c r="D36" s="13">
        <f t="shared" ref="D36:O36" si="15">D30-D34</f>
        <v>176039.4897230661</v>
      </c>
      <c r="E36" s="13">
        <f t="shared" si="15"/>
        <v>141200.77224089019</v>
      </c>
      <c r="F36" s="13">
        <f t="shared" si="15"/>
        <v>214504.99658934306</v>
      </c>
      <c r="G36" s="13">
        <f t="shared" si="15"/>
        <v>15302.633120235056</v>
      </c>
      <c r="H36" s="13">
        <f t="shared" si="15"/>
        <v>85924.336143042077</v>
      </c>
      <c r="I36" s="13">
        <f t="shared" si="15"/>
        <v>57747.655012931034</v>
      </c>
      <c r="J36" s="13">
        <f t="shared" si="15"/>
        <v>0</v>
      </c>
      <c r="K36" s="13">
        <f t="shared" si="15"/>
        <v>0</v>
      </c>
      <c r="L36" s="13">
        <f t="shared" si="15"/>
        <v>0</v>
      </c>
      <c r="M36" s="13">
        <f t="shared" si="15"/>
        <v>0</v>
      </c>
      <c r="N36" s="13">
        <f t="shared" si="15"/>
        <v>0</v>
      </c>
      <c r="O36" s="13">
        <f t="shared" si="15"/>
        <v>0</v>
      </c>
      <c r="P36" s="168">
        <f>SUM(G36:I36)</f>
        <v>158974.62427620817</v>
      </c>
      <c r="Q36" s="13">
        <f t="shared" ref="Q36:Q39" si="16">SUM(D36:O36)</f>
        <v>690719.88282950758</v>
      </c>
    </row>
    <row r="37" spans="1:17">
      <c r="A37" s="8">
        <v>18</v>
      </c>
      <c r="B37" s="2" t="s">
        <v>33</v>
      </c>
      <c r="C37" s="8" t="s">
        <v>34</v>
      </c>
      <c r="D37" s="13">
        <f>D36*-0.044797</f>
        <v>-7886.0410211241915</v>
      </c>
      <c r="E37" s="13">
        <f t="shared" ref="E37:O37" si="17">E36*-0.044797</f>
        <v>-6325.3709940751578</v>
      </c>
      <c r="F37" s="13">
        <f t="shared" si="17"/>
        <v>-9609.1803322127998</v>
      </c>
      <c r="G37" s="13">
        <f t="shared" si="17"/>
        <v>-685.51205588716971</v>
      </c>
      <c r="H37" s="13">
        <f t="shared" si="17"/>
        <v>-3849.1524861998555</v>
      </c>
      <c r="I37" s="13">
        <f t="shared" si="17"/>
        <v>-2586.9217016142716</v>
      </c>
      <c r="J37" s="13">
        <f t="shared" si="17"/>
        <v>0</v>
      </c>
      <c r="K37" s="13">
        <f t="shared" si="17"/>
        <v>0</v>
      </c>
      <c r="L37" s="13">
        <f t="shared" si="17"/>
        <v>0</v>
      </c>
      <c r="M37" s="13">
        <f t="shared" si="17"/>
        <v>0</v>
      </c>
      <c r="N37" s="13">
        <f t="shared" si="17"/>
        <v>0</v>
      </c>
      <c r="O37" s="13">
        <f t="shared" si="17"/>
        <v>0</v>
      </c>
      <c r="P37" s="168">
        <f>SUM(G37:I37)</f>
        <v>-7121.5862437012966</v>
      </c>
      <c r="Q37" s="13">
        <f t="shared" si="16"/>
        <v>-30942.178591113447</v>
      </c>
    </row>
    <row r="38" spans="1:17">
      <c r="A38" s="8"/>
      <c r="B38" s="2"/>
      <c r="C38" s="8" t="s">
        <v>35</v>
      </c>
      <c r="D38" s="19">
        <v>3.2500000000000001E-2</v>
      </c>
      <c r="E38" s="19">
        <f>D38</f>
        <v>3.2500000000000001E-2</v>
      </c>
      <c r="F38" s="19">
        <f>E38</f>
        <v>3.2500000000000001E-2</v>
      </c>
      <c r="G38" s="116">
        <f>F38</f>
        <v>3.2500000000000001E-2</v>
      </c>
      <c r="H38" s="19">
        <f>G38</f>
        <v>3.2500000000000001E-2</v>
      </c>
      <c r="I38" s="19">
        <f t="shared" ref="I38:O38" si="18">H38</f>
        <v>3.2500000000000001E-2</v>
      </c>
      <c r="J38" s="19">
        <v>0</v>
      </c>
      <c r="K38" s="19">
        <f t="shared" si="18"/>
        <v>0</v>
      </c>
      <c r="L38" s="19">
        <f t="shared" si="18"/>
        <v>0</v>
      </c>
      <c r="M38" s="19">
        <f t="shared" si="18"/>
        <v>0</v>
      </c>
      <c r="N38" s="19">
        <f t="shared" si="18"/>
        <v>0</v>
      </c>
      <c r="O38" s="19">
        <f t="shared" si="18"/>
        <v>0</v>
      </c>
      <c r="P38" s="171"/>
      <c r="Q38" s="19"/>
    </row>
    <row r="39" spans="1:17">
      <c r="A39" s="8">
        <v>19</v>
      </c>
      <c r="B39" s="2" t="s">
        <v>36</v>
      </c>
      <c r="C39" s="8" t="s">
        <v>41</v>
      </c>
      <c r="D39" s="20">
        <f>(D36+D37)/2*D38/12</f>
        <v>227.70779511721301</v>
      </c>
      <c r="E39" s="20">
        <f>(D42+(E36+E37)/2)*E38/12</f>
        <v>638.6760713679306</v>
      </c>
      <c r="F39" s="20">
        <f>(E42+(F36+F37)/2)*F38/12</f>
        <v>1100.5126760978112</v>
      </c>
      <c r="G39" s="20">
        <f t="shared" ref="G39:O39" si="19">(F42+(G36+G37)/2)*G38/12</f>
        <v>1400.7503338850777</v>
      </c>
      <c r="H39" s="20">
        <f t="shared" si="19"/>
        <v>1535.4815286826281</v>
      </c>
      <c r="I39" s="20">
        <f t="shared" si="19"/>
        <v>1725.4804287171921</v>
      </c>
      <c r="J39" s="20">
        <f t="shared" si="19"/>
        <v>0</v>
      </c>
      <c r="K39" s="20">
        <f t="shared" si="19"/>
        <v>0</v>
      </c>
      <c r="L39" s="20">
        <f t="shared" si="19"/>
        <v>0</v>
      </c>
      <c r="M39" s="20">
        <f t="shared" si="19"/>
        <v>0</v>
      </c>
      <c r="N39" s="20">
        <f t="shared" si="19"/>
        <v>0</v>
      </c>
      <c r="O39" s="20">
        <f t="shared" si="19"/>
        <v>0</v>
      </c>
      <c r="P39" s="168">
        <f>SUM(G39:I39)</f>
        <v>4661.7122912848981</v>
      </c>
      <c r="Q39" s="20">
        <f t="shared" si="16"/>
        <v>6628.6088338678519</v>
      </c>
    </row>
    <row r="40" spans="1:17">
      <c r="A40" s="8"/>
      <c r="B40" s="21" t="s">
        <v>42</v>
      </c>
      <c r="C40" s="8"/>
      <c r="D40" s="25">
        <f>D36+D37+D39</f>
        <v>168381.15649705913</v>
      </c>
      <c r="E40" s="25">
        <f t="shared" ref="E40:Q40" si="20">E36+E37+E39</f>
        <v>135514.07731818297</v>
      </c>
      <c r="F40" s="25">
        <f t="shared" si="20"/>
        <v>205996.32893322807</v>
      </c>
      <c r="G40" s="25">
        <f t="shared" si="20"/>
        <v>16017.871398232965</v>
      </c>
      <c r="H40" s="25">
        <f t="shared" si="20"/>
        <v>83610.665185524849</v>
      </c>
      <c r="I40" s="25">
        <f t="shared" si="20"/>
        <v>56886.213740033956</v>
      </c>
      <c r="J40" s="25">
        <f t="shared" si="20"/>
        <v>0</v>
      </c>
      <c r="K40" s="25">
        <f t="shared" si="20"/>
        <v>0</v>
      </c>
      <c r="L40" s="25">
        <f t="shared" si="20"/>
        <v>0</v>
      </c>
      <c r="M40" s="25">
        <f t="shared" si="20"/>
        <v>0</v>
      </c>
      <c r="N40" s="25">
        <f t="shared" si="20"/>
        <v>0</v>
      </c>
      <c r="O40" s="25">
        <f t="shared" si="20"/>
        <v>0</v>
      </c>
      <c r="P40" s="173">
        <f>P36+P37+P39</f>
        <v>156514.75032379178</v>
      </c>
      <c r="Q40" s="25">
        <f t="shared" si="20"/>
        <v>666406.31307226198</v>
      </c>
    </row>
    <row r="41" spans="1:17">
      <c r="A41" s="8"/>
      <c r="B41" s="203" t="s">
        <v>43</v>
      </c>
      <c r="C41" s="8"/>
      <c r="D41" s="14"/>
      <c r="E41" s="14"/>
      <c r="F41" s="14"/>
      <c r="G41" s="14"/>
      <c r="H41" s="14"/>
      <c r="I41" s="14"/>
      <c r="J41" s="14"/>
      <c r="K41" s="14"/>
      <c r="L41" s="14"/>
      <c r="M41" s="14"/>
      <c r="N41" s="14"/>
      <c r="O41" s="14"/>
      <c r="P41" s="106"/>
      <c r="Q41" s="1"/>
    </row>
    <row r="42" spans="1:17">
      <c r="A42" s="8">
        <v>20</v>
      </c>
      <c r="B42" s="203"/>
      <c r="C42" s="8" t="str">
        <f>"Σ(("&amp;A36&amp;") + ("&amp;A39&amp;"))"</f>
        <v>Σ((17) + (19))</v>
      </c>
      <c r="D42" s="13">
        <f>D36+D37+D39</f>
        <v>168381.15649705913</v>
      </c>
      <c r="E42" s="13">
        <f>D42+E36+E37+E39</f>
        <v>303895.23381524213</v>
      </c>
      <c r="F42" s="13">
        <f t="shared" ref="F42:O42" si="21">E42+F36+F37+F39</f>
        <v>509891.56274847017</v>
      </c>
      <c r="G42" s="13">
        <f t="shared" si="21"/>
        <v>525909.4341467031</v>
      </c>
      <c r="H42" s="13">
        <f t="shared" si="21"/>
        <v>609520.09933222795</v>
      </c>
      <c r="I42" s="13">
        <f t="shared" si="21"/>
        <v>666406.31307226198</v>
      </c>
      <c r="J42" s="13">
        <f t="shared" si="21"/>
        <v>666406.31307226198</v>
      </c>
      <c r="K42" s="13">
        <f t="shared" si="21"/>
        <v>666406.31307226198</v>
      </c>
      <c r="L42" s="13">
        <f t="shared" si="21"/>
        <v>666406.31307226198</v>
      </c>
      <c r="M42" s="13">
        <f t="shared" si="21"/>
        <v>666406.31307226198</v>
      </c>
      <c r="N42" s="13">
        <f t="shared" si="21"/>
        <v>666406.31307226198</v>
      </c>
      <c r="O42" s="23">
        <f t="shared" si="21"/>
        <v>666406.31307226198</v>
      </c>
      <c r="P42" s="113"/>
      <c r="Q42" s="1"/>
    </row>
    <row r="43" spans="1:17">
      <c r="A43" s="8"/>
      <c r="B43" s="203"/>
      <c r="C43" s="2"/>
      <c r="D43" s="2"/>
      <c r="E43" s="2"/>
      <c r="F43" s="2"/>
      <c r="G43" s="2"/>
      <c r="H43" s="2"/>
      <c r="I43" s="2"/>
      <c r="J43" s="2"/>
      <c r="K43" s="2"/>
      <c r="L43" s="2"/>
      <c r="M43" s="2"/>
      <c r="N43" s="2"/>
      <c r="O43" s="26"/>
      <c r="P43" s="26"/>
    </row>
    <row r="44" spans="1:17">
      <c r="A44" s="8">
        <v>21</v>
      </c>
      <c r="B44" s="164" t="s">
        <v>101</v>
      </c>
      <c r="C44" s="8" t="str">
        <f>"("&amp;A23&amp;") + ("&amp;A42&amp;")"</f>
        <v>(10) + (20)</v>
      </c>
      <c r="D44" s="13">
        <f>D23+D42</f>
        <v>-354630.99928767409</v>
      </c>
      <c r="E44" s="13">
        <f t="shared" ref="E44:O44" si="22">E23+E42</f>
        <v>1537728.176669959</v>
      </c>
      <c r="F44" s="13">
        <f t="shared" si="22"/>
        <v>2680358.1300553256</v>
      </c>
      <c r="G44" s="13">
        <f t="shared" si="22"/>
        <v>3420938.9666875056</v>
      </c>
      <c r="H44" s="13">
        <f t="shared" si="22"/>
        <v>4328514.2723704427</v>
      </c>
      <c r="I44" s="13">
        <f t="shared" si="22"/>
        <v>4942486.1760568926</v>
      </c>
      <c r="J44" s="13">
        <f t="shared" si="22"/>
        <v>4942486.1760568926</v>
      </c>
      <c r="K44" s="13">
        <f t="shared" si="22"/>
        <v>4942486.1760568926</v>
      </c>
      <c r="L44" s="13">
        <f t="shared" si="22"/>
        <v>4942486.1760568926</v>
      </c>
      <c r="M44" s="13">
        <f t="shared" si="22"/>
        <v>4942486.1760568926</v>
      </c>
      <c r="N44" s="13">
        <f t="shared" si="22"/>
        <v>4942486.1760568926</v>
      </c>
      <c r="O44" s="23">
        <f t="shared" si="22"/>
        <v>4942486.1760568926</v>
      </c>
      <c r="P44" s="113"/>
    </row>
    <row r="45" spans="1:17">
      <c r="A45" s="27"/>
      <c r="B45" s="27"/>
      <c r="C45" s="27"/>
      <c r="D45" s="27"/>
      <c r="E45" s="27"/>
      <c r="F45" s="27"/>
      <c r="G45" s="27"/>
      <c r="H45" s="27"/>
      <c r="I45" s="27"/>
      <c r="J45" s="27"/>
      <c r="K45" s="27"/>
      <c r="L45" s="27"/>
      <c r="M45" s="27"/>
      <c r="N45" s="27"/>
      <c r="O45" s="27"/>
      <c r="P45" s="107"/>
      <c r="Q45" s="1"/>
    </row>
  </sheetData>
  <mergeCells count="5">
    <mergeCell ref="A1:Q1"/>
    <mergeCell ref="A2:Q2"/>
    <mergeCell ref="A3:Q3"/>
    <mergeCell ref="B41:B43"/>
    <mergeCell ref="B22:B24"/>
  </mergeCells>
  <pageMargins left="0.7" right="0.57999999999999996" top="1.08" bottom="0.75" header="0.5" footer="0.5"/>
  <pageSetup scale="85" orientation="portrait" r:id="rId1"/>
  <headerFooter>
    <oddHeader>&amp;CAvista Corporation Decoupling Mechanism
Washington Jurisdiction
Quarterly Report for 2nd Quarter 2015</oddHeader>
    <oddFooter>&amp;Cfile: &amp;F / &amp;A&amp;RPage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topLeftCell="A115" zoomScaleNormal="100" workbookViewId="0">
      <selection activeCell="T49" sqref="T49"/>
    </sheetView>
  </sheetViews>
  <sheetFormatPr defaultRowHeight="15"/>
  <cols>
    <col min="1" max="1" width="7.28515625" customWidth="1"/>
    <col min="2" max="2" width="34.85546875" customWidth="1"/>
    <col min="3" max="3" width="6.28515625" customWidth="1"/>
    <col min="4" max="4" width="9.42578125" customWidth="1"/>
    <col min="5" max="5" width="12.28515625" customWidth="1"/>
    <col min="6" max="6" width="13.5703125" customWidth="1"/>
    <col min="7" max="7" width="13.42578125" customWidth="1"/>
    <col min="10" max="10" width="13.28515625" bestFit="1" customWidth="1"/>
    <col min="11" max="11" width="12.28515625" customWidth="1"/>
    <col min="12" max="12" width="11.140625" bestFit="1" customWidth="1"/>
    <col min="13" max="14" width="11.42578125" customWidth="1"/>
  </cols>
  <sheetData>
    <row r="1" spans="1:8" ht="15.75">
      <c r="A1" s="207" t="s">
        <v>55</v>
      </c>
      <c r="B1" s="207"/>
      <c r="C1" s="207"/>
      <c r="D1" s="207"/>
      <c r="E1" s="207"/>
      <c r="F1" s="207"/>
      <c r="G1" s="207"/>
      <c r="H1" s="207"/>
    </row>
    <row r="3" spans="1:8">
      <c r="A3" s="86" t="s">
        <v>102</v>
      </c>
      <c r="B3" s="45"/>
      <c r="C3" s="45"/>
      <c r="D3" s="45"/>
      <c r="E3" s="45"/>
      <c r="F3" s="45"/>
      <c r="G3" s="45"/>
    </row>
    <row r="5" spans="1:8">
      <c r="A5" s="46" t="s">
        <v>56</v>
      </c>
      <c r="B5" s="47"/>
      <c r="C5" s="58" t="s">
        <v>74</v>
      </c>
      <c r="D5" s="47"/>
      <c r="E5" s="47"/>
      <c r="F5" s="47"/>
      <c r="G5" s="47"/>
    </row>
    <row r="6" spans="1:8">
      <c r="A6" s="48"/>
      <c r="B6" s="48"/>
      <c r="C6" s="48"/>
      <c r="D6" s="48"/>
      <c r="E6" s="48"/>
      <c r="F6" s="48"/>
      <c r="G6" s="48"/>
    </row>
    <row r="7" spans="1:8" ht="26.25">
      <c r="A7" s="56" t="s">
        <v>57</v>
      </c>
      <c r="B7" s="57" t="s">
        <v>58</v>
      </c>
      <c r="C7" s="64" t="s">
        <v>59</v>
      </c>
      <c r="D7" s="56" t="s">
        <v>60</v>
      </c>
      <c r="E7" s="56" t="s">
        <v>61</v>
      </c>
      <c r="F7" s="56" t="s">
        <v>62</v>
      </c>
      <c r="G7" s="56" t="s">
        <v>63</v>
      </c>
    </row>
    <row r="8" spans="1:8" ht="14.45" customHeight="1">
      <c r="A8" s="50" t="s">
        <v>64</v>
      </c>
      <c r="B8" s="49" t="s">
        <v>65</v>
      </c>
      <c r="C8" s="51" t="s">
        <v>66</v>
      </c>
      <c r="D8" s="82" t="s">
        <v>103</v>
      </c>
      <c r="E8" s="128">
        <v>2799595.2199999997</v>
      </c>
      <c r="F8" s="77">
        <v>271545.53000000003</v>
      </c>
      <c r="G8" s="128">
        <v>3071140.75</v>
      </c>
    </row>
    <row r="9" spans="1:8">
      <c r="A9" s="52"/>
      <c r="B9" s="49" t="s">
        <v>65</v>
      </c>
      <c r="C9" s="53"/>
      <c r="D9" s="82" t="s">
        <v>104</v>
      </c>
      <c r="E9" s="128">
        <v>3071140.75</v>
      </c>
      <c r="F9" s="77">
        <v>1349090.85</v>
      </c>
      <c r="G9" s="128">
        <v>4420231.5999999996</v>
      </c>
    </row>
    <row r="10" spans="1:8">
      <c r="A10" s="52"/>
      <c r="B10" s="49" t="s">
        <v>65</v>
      </c>
      <c r="C10" s="54"/>
      <c r="D10" s="82" t="s">
        <v>105</v>
      </c>
      <c r="E10" s="128">
        <v>4420231.5999999996</v>
      </c>
      <c r="F10" s="77">
        <v>-328286.15000000002</v>
      </c>
      <c r="G10" s="128">
        <v>4091945.45</v>
      </c>
    </row>
    <row r="11" spans="1:8">
      <c r="A11" s="52"/>
      <c r="B11" s="59"/>
      <c r="C11" s="59" t="s">
        <v>87</v>
      </c>
      <c r="D11" s="74"/>
      <c r="E11" s="89"/>
      <c r="F11" s="140" t="s">
        <v>106</v>
      </c>
      <c r="G11" s="89"/>
    </row>
    <row r="12" spans="1:8">
      <c r="A12" s="52"/>
      <c r="B12" s="49" t="s">
        <v>65</v>
      </c>
      <c r="C12" s="51" t="s">
        <v>67</v>
      </c>
      <c r="D12" s="82" t="s">
        <v>103</v>
      </c>
      <c r="E12" s="128">
        <v>2170466.56</v>
      </c>
      <c r="F12" s="77">
        <v>724562.97</v>
      </c>
      <c r="G12" s="128">
        <v>2895029.5300000003</v>
      </c>
    </row>
    <row r="13" spans="1:8">
      <c r="A13" s="52"/>
      <c r="B13" s="49" t="s">
        <v>65</v>
      </c>
      <c r="C13" s="53"/>
      <c r="D13" s="82" t="s">
        <v>104</v>
      </c>
      <c r="E13" s="128">
        <v>2895029.5300000003</v>
      </c>
      <c r="F13" s="77">
        <v>823964.64</v>
      </c>
      <c r="G13" s="128">
        <v>3718994.17</v>
      </c>
    </row>
    <row r="14" spans="1:8">
      <c r="A14" s="52"/>
      <c r="B14" s="49" t="s">
        <v>65</v>
      </c>
      <c r="C14" s="54"/>
      <c r="D14" s="82" t="s">
        <v>105</v>
      </c>
      <c r="E14" s="128">
        <v>3718994.17</v>
      </c>
      <c r="F14" s="77">
        <v>557085.69000000006</v>
      </c>
      <c r="G14" s="128">
        <v>4276079.8600000003</v>
      </c>
    </row>
    <row r="15" spans="1:8">
      <c r="A15" s="55"/>
      <c r="B15" s="59"/>
      <c r="C15" s="59" t="s">
        <v>88</v>
      </c>
      <c r="D15" s="74"/>
      <c r="E15" s="89"/>
      <c r="F15" s="140" t="s">
        <v>107</v>
      </c>
      <c r="G15" s="89"/>
    </row>
    <row r="16" spans="1:8" ht="14.45" customHeight="1">
      <c r="A16" s="59"/>
      <c r="B16" s="60" t="s">
        <v>77</v>
      </c>
      <c r="C16" s="59"/>
      <c r="D16" s="74"/>
      <c r="E16" s="89"/>
      <c r="F16" s="140" t="s">
        <v>108</v>
      </c>
      <c r="G16" s="89"/>
    </row>
    <row r="17" spans="1:7" ht="14.45" customHeight="1">
      <c r="A17" s="50" t="s">
        <v>68</v>
      </c>
      <c r="B17" s="49" t="s">
        <v>69</v>
      </c>
      <c r="C17" s="51" t="s">
        <v>66</v>
      </c>
      <c r="D17" s="82" t="s">
        <v>103</v>
      </c>
      <c r="E17" s="128">
        <v>1080393.22</v>
      </c>
      <c r="F17" s="77">
        <v>-1059905.6200000001</v>
      </c>
      <c r="G17" s="128">
        <v>20487.600000000002</v>
      </c>
    </row>
    <row r="18" spans="1:7">
      <c r="A18" s="52"/>
      <c r="B18" s="49" t="s">
        <v>69</v>
      </c>
      <c r="C18" s="53"/>
      <c r="D18" s="82" t="s">
        <v>104</v>
      </c>
      <c r="E18" s="128">
        <v>20487.600000000002</v>
      </c>
      <c r="F18" s="77">
        <v>-366667.97000000003</v>
      </c>
      <c r="G18" s="128">
        <v>-346180.37</v>
      </c>
    </row>
    <row r="19" spans="1:7">
      <c r="A19" s="52"/>
      <c r="B19" s="49" t="s">
        <v>69</v>
      </c>
      <c r="C19" s="54"/>
      <c r="D19" s="82" t="s">
        <v>105</v>
      </c>
      <c r="E19" s="128">
        <v>-346180.37</v>
      </c>
      <c r="F19" s="77">
        <v>-1874816.12</v>
      </c>
      <c r="G19" s="128">
        <v>-2220996.4900000002</v>
      </c>
    </row>
    <row r="20" spans="1:7">
      <c r="A20" s="52"/>
      <c r="B20" s="59"/>
      <c r="C20" s="59" t="s">
        <v>87</v>
      </c>
      <c r="D20" s="74"/>
      <c r="E20" s="89"/>
      <c r="F20" s="140" t="s">
        <v>109</v>
      </c>
      <c r="G20" s="89"/>
    </row>
    <row r="21" spans="1:7">
      <c r="A21" s="52"/>
      <c r="B21" s="49" t="s">
        <v>69</v>
      </c>
      <c r="C21" s="51" t="s">
        <v>67</v>
      </c>
      <c r="D21" s="82" t="s">
        <v>103</v>
      </c>
      <c r="E21" s="128">
        <v>509891.57</v>
      </c>
      <c r="F21" s="77">
        <v>16017.87</v>
      </c>
      <c r="G21" s="128">
        <v>525909.44000000006</v>
      </c>
    </row>
    <row r="22" spans="1:7">
      <c r="A22" s="52"/>
      <c r="B22" s="49" t="s">
        <v>69</v>
      </c>
      <c r="C22" s="53"/>
      <c r="D22" s="82" t="s">
        <v>104</v>
      </c>
      <c r="E22" s="128">
        <v>525909.44000000006</v>
      </c>
      <c r="F22" s="77">
        <v>83610.66</v>
      </c>
      <c r="G22" s="128">
        <v>609520.1</v>
      </c>
    </row>
    <row r="23" spans="1:7">
      <c r="A23" s="52"/>
      <c r="B23" s="49" t="s">
        <v>69</v>
      </c>
      <c r="C23" s="54"/>
      <c r="D23" s="82" t="s">
        <v>105</v>
      </c>
      <c r="E23" s="128">
        <v>609520.1</v>
      </c>
      <c r="F23" s="77">
        <v>56886.21</v>
      </c>
      <c r="G23" s="128">
        <v>666406.31000000006</v>
      </c>
    </row>
    <row r="24" spans="1:7">
      <c r="A24" s="55"/>
      <c r="B24" s="59"/>
      <c r="C24" s="59" t="s">
        <v>88</v>
      </c>
      <c r="D24" s="74"/>
      <c r="E24" s="89"/>
      <c r="F24" s="140" t="s">
        <v>110</v>
      </c>
      <c r="G24" s="89"/>
    </row>
    <row r="25" spans="1:7">
      <c r="A25" s="59"/>
      <c r="B25" s="60" t="s">
        <v>86</v>
      </c>
      <c r="C25" s="59"/>
      <c r="D25" s="74"/>
      <c r="E25" s="89"/>
      <c r="F25" s="140" t="s">
        <v>111</v>
      </c>
      <c r="G25" s="89"/>
    </row>
    <row r="26" spans="1:7">
      <c r="A26" s="61"/>
      <c r="B26" s="61"/>
      <c r="C26" s="61"/>
      <c r="D26" s="61"/>
      <c r="E26" s="62"/>
      <c r="F26" s="63"/>
      <c r="G26" s="62"/>
    </row>
    <row r="27" spans="1:7">
      <c r="A27" s="78" t="s">
        <v>102</v>
      </c>
      <c r="B27" s="47"/>
      <c r="C27" s="47"/>
      <c r="D27" s="47"/>
      <c r="E27" s="47"/>
      <c r="F27" s="47"/>
      <c r="G27" s="47"/>
    </row>
    <row r="28" spans="1:7">
      <c r="A28" s="48"/>
      <c r="B28" s="48"/>
      <c r="C28" s="48"/>
      <c r="D28" s="48"/>
      <c r="E28" s="48"/>
      <c r="F28" s="48"/>
      <c r="G28" s="48"/>
    </row>
    <row r="29" spans="1:7">
      <c r="A29" s="46" t="s">
        <v>56</v>
      </c>
      <c r="B29" s="47"/>
      <c r="C29" s="58" t="s">
        <v>75</v>
      </c>
      <c r="D29" s="47"/>
      <c r="E29" s="47"/>
      <c r="F29" s="47"/>
      <c r="G29" s="47"/>
    </row>
    <row r="30" spans="1:7">
      <c r="A30" s="48"/>
      <c r="B30" s="48"/>
      <c r="C30" s="48"/>
      <c r="D30" s="48"/>
      <c r="E30" s="48"/>
      <c r="F30" s="48"/>
      <c r="G30" s="48"/>
    </row>
    <row r="31" spans="1:7" ht="26.25">
      <c r="A31" s="56" t="s">
        <v>57</v>
      </c>
      <c r="B31" s="57" t="s">
        <v>58</v>
      </c>
      <c r="C31" s="64" t="s">
        <v>59</v>
      </c>
      <c r="D31" s="56" t="s">
        <v>60</v>
      </c>
      <c r="E31" s="56" t="s">
        <v>61</v>
      </c>
      <c r="F31" s="56" t="s">
        <v>62</v>
      </c>
      <c r="G31" s="56" t="s">
        <v>63</v>
      </c>
    </row>
    <row r="32" spans="1:7" ht="14.45" customHeight="1">
      <c r="A32" s="50" t="s">
        <v>70</v>
      </c>
      <c r="B32" s="49" t="s">
        <v>71</v>
      </c>
      <c r="C32" s="51" t="s">
        <v>67</v>
      </c>
      <c r="D32" s="145" t="s">
        <v>103</v>
      </c>
      <c r="E32" s="98">
        <v>5504.37</v>
      </c>
      <c r="F32" s="76">
        <v>14.91</v>
      </c>
      <c r="G32" s="98">
        <v>5519.28</v>
      </c>
    </row>
    <row r="33" spans="1:13">
      <c r="A33" s="52"/>
      <c r="B33" s="49" t="s">
        <v>71</v>
      </c>
      <c r="C33" s="53"/>
      <c r="D33" s="145" t="s">
        <v>104</v>
      </c>
      <c r="E33" s="98">
        <v>5519.28</v>
      </c>
      <c r="F33" s="76">
        <v>14.950000000000001</v>
      </c>
      <c r="G33" s="98">
        <v>5534.2300000000005</v>
      </c>
    </row>
    <row r="34" spans="1:13">
      <c r="A34" s="52"/>
      <c r="B34" s="49" t="s">
        <v>71</v>
      </c>
      <c r="C34" s="54"/>
      <c r="D34" s="145" t="s">
        <v>105</v>
      </c>
      <c r="E34" s="98">
        <v>5534.2300000000005</v>
      </c>
      <c r="F34" s="76">
        <v>14.99</v>
      </c>
      <c r="G34" s="98">
        <v>5549.22</v>
      </c>
    </row>
    <row r="35" spans="1:13">
      <c r="A35" s="55"/>
      <c r="B35" s="59"/>
      <c r="C35" s="59" t="s">
        <v>88</v>
      </c>
      <c r="D35" s="75"/>
      <c r="E35" s="95"/>
      <c r="F35" s="90" t="s">
        <v>112</v>
      </c>
      <c r="G35" s="95"/>
    </row>
    <row r="37" spans="1:13">
      <c r="A37" s="150" t="s">
        <v>102</v>
      </c>
      <c r="B37" s="47"/>
      <c r="C37" s="47"/>
      <c r="D37" s="47"/>
      <c r="E37" s="47"/>
      <c r="F37" s="47"/>
      <c r="G37" s="47"/>
    </row>
    <row r="38" spans="1:13">
      <c r="A38" s="48"/>
      <c r="B38" s="48"/>
      <c r="C38" s="48"/>
      <c r="D38" s="48"/>
      <c r="E38" s="48"/>
      <c r="F38" s="48"/>
      <c r="G38" s="48"/>
    </row>
    <row r="39" spans="1:13">
      <c r="A39" s="46" t="s">
        <v>56</v>
      </c>
      <c r="B39" s="47"/>
      <c r="C39" s="58" t="s">
        <v>76</v>
      </c>
      <c r="D39" s="47"/>
      <c r="E39" s="47"/>
      <c r="F39" s="47"/>
      <c r="G39" s="47"/>
    </row>
    <row r="40" spans="1:13">
      <c r="A40" s="48"/>
      <c r="B40" s="48"/>
      <c r="C40" s="48"/>
      <c r="D40" s="48"/>
      <c r="E40" s="48"/>
      <c r="F40" s="48"/>
      <c r="G40" s="48"/>
    </row>
    <row r="41" spans="1:13" ht="26.25">
      <c r="A41" s="56" t="s">
        <v>57</v>
      </c>
      <c r="B41" s="57" t="s">
        <v>58</v>
      </c>
      <c r="C41" s="64" t="s">
        <v>59</v>
      </c>
      <c r="D41" s="56" t="s">
        <v>60</v>
      </c>
      <c r="E41" s="56" t="s">
        <v>61</v>
      </c>
      <c r="F41" s="56" t="s">
        <v>62</v>
      </c>
      <c r="G41" s="56" t="s">
        <v>63</v>
      </c>
      <c r="J41" s="66" t="s">
        <v>96</v>
      </c>
    </row>
    <row r="42" spans="1:13">
      <c r="A42" s="50" t="s">
        <v>72</v>
      </c>
      <c r="B42" s="127" t="s">
        <v>73</v>
      </c>
      <c r="C42" s="87" t="s">
        <v>66</v>
      </c>
      <c r="D42" s="151" t="s">
        <v>103</v>
      </c>
      <c r="E42" s="132">
        <v>-1357995.95</v>
      </c>
      <c r="F42" s="91">
        <v>275926.03999999998</v>
      </c>
      <c r="G42" s="132">
        <v>-1082069.9099999999</v>
      </c>
      <c r="J42" s="65">
        <f>(G8+G17)*-0.35</f>
        <v>-1082069.9224999999</v>
      </c>
      <c r="K42" s="67">
        <f>G42-J42</f>
        <v>1.2499999953433871E-2</v>
      </c>
    </row>
    <row r="43" spans="1:13" s="163" customFormat="1">
      <c r="A43" s="52"/>
      <c r="B43" s="127" t="s">
        <v>73</v>
      </c>
      <c r="C43" s="138"/>
      <c r="D43" s="151" t="s">
        <v>104</v>
      </c>
      <c r="E43" s="132">
        <v>-1082069.9099999999</v>
      </c>
      <c r="F43" s="91">
        <v>-343848.01</v>
      </c>
      <c r="G43" s="132">
        <v>-1425917.92</v>
      </c>
      <c r="J43" s="112">
        <f t="shared" ref="J43:J44" si="0">(G9+G18)*-0.35</f>
        <v>-1425917.9304999998</v>
      </c>
      <c r="K43" s="67">
        <f t="shared" ref="K43:K44" si="1">G43-J43</f>
        <v>1.0499999858438969E-2</v>
      </c>
    </row>
    <row r="44" spans="1:13" s="163" customFormat="1">
      <c r="A44" s="52"/>
      <c r="B44" s="127" t="s">
        <v>73</v>
      </c>
      <c r="C44" s="129"/>
      <c r="D44" s="151" t="s">
        <v>105</v>
      </c>
      <c r="E44" s="132">
        <v>-1425917.92</v>
      </c>
      <c r="F44" s="91">
        <v>771085.79</v>
      </c>
      <c r="G44" s="132">
        <v>-654832.13</v>
      </c>
      <c r="J44" s="112">
        <f t="shared" si="0"/>
        <v>-654832.13599999994</v>
      </c>
      <c r="K44" s="67">
        <f t="shared" si="1"/>
        <v>5.9999999357387424E-3</v>
      </c>
    </row>
    <row r="45" spans="1:13">
      <c r="A45" s="52"/>
      <c r="B45" s="59"/>
      <c r="C45" s="59" t="s">
        <v>87</v>
      </c>
      <c r="D45" s="136"/>
      <c r="E45" s="134"/>
      <c r="F45" s="92" t="s">
        <v>113</v>
      </c>
      <c r="G45" s="134"/>
    </row>
    <row r="46" spans="1:13">
      <c r="A46" s="52"/>
      <c r="B46" s="49" t="s">
        <v>73</v>
      </c>
      <c r="C46" s="51" t="s">
        <v>67</v>
      </c>
      <c r="D46" s="79" t="s">
        <v>103</v>
      </c>
      <c r="E46" s="83">
        <v>-716569.06</v>
      </c>
      <c r="F46" s="148">
        <v>-482691.33</v>
      </c>
      <c r="G46" s="83">
        <v>-1199260.3900000001</v>
      </c>
      <c r="J46" s="65">
        <f>(G12+G21+G32)*-0.35</f>
        <v>-1199260.3875</v>
      </c>
      <c r="K46" s="67">
        <f>G46-J46</f>
        <v>-2.5000001769512892E-3</v>
      </c>
      <c r="L46" s="67"/>
      <c r="M46" s="67"/>
    </row>
    <row r="47" spans="1:13">
      <c r="A47" s="52"/>
      <c r="B47" s="49" t="s">
        <v>73</v>
      </c>
      <c r="C47" s="53"/>
      <c r="D47" s="79" t="s">
        <v>104</v>
      </c>
      <c r="E47" s="83">
        <v>-1199260.3900000001</v>
      </c>
      <c r="F47" s="148">
        <v>-317656.59000000003</v>
      </c>
      <c r="G47" s="83">
        <v>-1516916.98</v>
      </c>
      <c r="J47" s="65">
        <f t="shared" ref="J47:J48" si="2">(G13+G22+G33)*-0.35</f>
        <v>-1516916.9749999999</v>
      </c>
      <c r="K47" s="67">
        <f t="shared" ref="K47:K48" si="3">G47-J47</f>
        <v>-5.0000001210719347E-3</v>
      </c>
      <c r="L47" s="67"/>
      <c r="M47" s="67"/>
    </row>
    <row r="48" spans="1:13">
      <c r="A48" s="52"/>
      <c r="B48" s="49" t="s">
        <v>73</v>
      </c>
      <c r="C48" s="54"/>
      <c r="D48" s="79" t="s">
        <v>105</v>
      </c>
      <c r="E48" s="83">
        <v>-1516916.98</v>
      </c>
      <c r="F48" s="148">
        <v>-214895.41</v>
      </c>
      <c r="G48" s="83">
        <v>-1731812.3900000001</v>
      </c>
      <c r="J48" s="65">
        <f t="shared" si="2"/>
        <v>-1731812.3864999998</v>
      </c>
      <c r="K48" s="67">
        <f t="shared" si="3"/>
        <v>-3.5000003408640623E-3</v>
      </c>
      <c r="L48" s="67"/>
      <c r="M48" s="67"/>
    </row>
    <row r="49" spans="1:8">
      <c r="A49" s="55"/>
      <c r="B49" s="59"/>
      <c r="C49" s="59" t="s">
        <v>88</v>
      </c>
      <c r="D49" s="136"/>
      <c r="E49" s="134"/>
      <c r="F49" s="92" t="s">
        <v>114</v>
      </c>
      <c r="G49" s="134"/>
    </row>
    <row r="50" spans="1:8">
      <c r="A50" s="59"/>
      <c r="B50" s="59" t="s">
        <v>78</v>
      </c>
      <c r="C50" s="59"/>
      <c r="D50" s="136"/>
      <c r="E50" s="134"/>
      <c r="F50" s="92" t="s">
        <v>115</v>
      </c>
      <c r="G50" s="134"/>
    </row>
    <row r="51" spans="1:8" ht="15.75">
      <c r="A51" s="207" t="s">
        <v>79</v>
      </c>
      <c r="B51" s="207"/>
      <c r="C51" s="207"/>
      <c r="D51" s="207"/>
      <c r="E51" s="207"/>
      <c r="F51" s="207"/>
      <c r="G51" s="207"/>
      <c r="H51" s="207"/>
    </row>
    <row r="53" spans="1:8">
      <c r="A53" s="147" t="s">
        <v>102</v>
      </c>
      <c r="B53" s="47"/>
      <c r="C53" s="47"/>
      <c r="D53" s="47"/>
      <c r="E53" s="47"/>
      <c r="F53" s="47"/>
      <c r="G53" s="47"/>
    </row>
    <row r="54" spans="1:8">
      <c r="A54" s="48"/>
      <c r="B54" s="48"/>
      <c r="C54" s="48"/>
      <c r="D54" s="48"/>
      <c r="E54" s="48"/>
      <c r="F54" s="48"/>
      <c r="G54" s="48"/>
    </row>
    <row r="55" spans="1:8">
      <c r="A55" s="46" t="s">
        <v>56</v>
      </c>
      <c r="B55" s="47"/>
      <c r="C55" s="58" t="s">
        <v>89</v>
      </c>
      <c r="D55" s="47"/>
      <c r="E55" s="47"/>
      <c r="F55" s="47"/>
      <c r="G55" s="47"/>
    </row>
    <row r="56" spans="1:8">
      <c r="A56" s="48"/>
      <c r="B56" s="48"/>
      <c r="C56" s="48"/>
      <c r="D56" s="131" t="s">
        <v>122</v>
      </c>
      <c r="E56" s="48"/>
      <c r="F56" s="48"/>
      <c r="G56" s="48"/>
    </row>
    <row r="57" spans="1:8" ht="26.25">
      <c r="A57" s="56" t="s">
        <v>57</v>
      </c>
      <c r="B57" s="57" t="s">
        <v>58</v>
      </c>
      <c r="C57" s="64" t="s">
        <v>59</v>
      </c>
      <c r="D57" s="56" t="s">
        <v>60</v>
      </c>
      <c r="E57" s="56" t="s">
        <v>61</v>
      </c>
      <c r="F57" s="56" t="s">
        <v>62</v>
      </c>
      <c r="G57" s="56" t="s">
        <v>63</v>
      </c>
    </row>
    <row r="58" spans="1:8">
      <c r="A58" s="50" t="s">
        <v>80</v>
      </c>
      <c r="B58" s="49" t="s">
        <v>81</v>
      </c>
      <c r="C58" s="51" t="s">
        <v>66</v>
      </c>
      <c r="D58" s="143" t="s">
        <v>103</v>
      </c>
      <c r="E58" s="146">
        <v>-3973640.24</v>
      </c>
      <c r="F58" s="152">
        <v>-263606.33</v>
      </c>
      <c r="G58" s="146">
        <v>-4237246.57</v>
      </c>
    </row>
    <row r="59" spans="1:8">
      <c r="A59" s="52"/>
      <c r="B59" s="49" t="s">
        <v>81</v>
      </c>
      <c r="C59" s="53"/>
      <c r="D59" s="143" t="s">
        <v>104</v>
      </c>
      <c r="E59" s="146">
        <v>-4237246.57</v>
      </c>
      <c r="F59" s="152">
        <v>4237246.57</v>
      </c>
      <c r="G59" s="146">
        <v>0</v>
      </c>
    </row>
    <row r="60" spans="1:8">
      <c r="A60" s="52"/>
      <c r="B60" s="49" t="s">
        <v>81</v>
      </c>
      <c r="C60" s="54"/>
      <c r="D60" s="143" t="s">
        <v>105</v>
      </c>
      <c r="E60" s="146">
        <v>0</v>
      </c>
      <c r="F60" s="152">
        <v>0</v>
      </c>
      <c r="G60" s="146">
        <v>0</v>
      </c>
    </row>
    <row r="61" spans="1:8">
      <c r="A61" s="52"/>
      <c r="B61" s="59"/>
      <c r="C61" s="59" t="s">
        <v>87</v>
      </c>
      <c r="D61" s="97"/>
      <c r="E61" s="135"/>
      <c r="F61" s="158" t="s">
        <v>116</v>
      </c>
      <c r="G61" s="135"/>
    </row>
    <row r="62" spans="1:8">
      <c r="A62" s="52"/>
      <c r="B62" s="49" t="s">
        <v>81</v>
      </c>
      <c r="C62" s="51" t="s">
        <v>67</v>
      </c>
      <c r="D62" s="143" t="s">
        <v>103</v>
      </c>
      <c r="E62" s="146">
        <v>-2687913.7</v>
      </c>
      <c r="F62" s="152">
        <v>-717712.72</v>
      </c>
      <c r="G62" s="146">
        <v>-3405626.42</v>
      </c>
    </row>
    <row r="63" spans="1:8">
      <c r="A63" s="52"/>
      <c r="B63" s="49" t="s">
        <v>81</v>
      </c>
      <c r="C63" s="53"/>
      <c r="D63" s="143" t="s">
        <v>104</v>
      </c>
      <c r="E63" s="146">
        <v>-3405626.42</v>
      </c>
      <c r="F63" s="152">
        <v>3405626.42</v>
      </c>
      <c r="G63" s="146">
        <v>0</v>
      </c>
    </row>
    <row r="64" spans="1:8">
      <c r="A64" s="52"/>
      <c r="B64" s="49" t="s">
        <v>81</v>
      </c>
      <c r="C64" s="54"/>
      <c r="D64" s="143" t="s">
        <v>105</v>
      </c>
      <c r="E64" s="146">
        <v>0</v>
      </c>
      <c r="F64" s="152">
        <v>0</v>
      </c>
      <c r="G64" s="146">
        <v>0</v>
      </c>
    </row>
    <row r="65" spans="1:7">
      <c r="A65" s="55"/>
      <c r="B65" s="59"/>
      <c r="C65" s="59" t="s">
        <v>88</v>
      </c>
      <c r="D65" s="97"/>
      <c r="E65" s="135"/>
      <c r="F65" s="158" t="s">
        <v>117</v>
      </c>
      <c r="G65" s="135"/>
    </row>
    <row r="66" spans="1:7">
      <c r="A66" s="59"/>
      <c r="B66" s="59" t="s">
        <v>84</v>
      </c>
      <c r="C66" s="59"/>
      <c r="D66" s="97"/>
      <c r="E66" s="135"/>
      <c r="F66" s="158" t="s">
        <v>118</v>
      </c>
      <c r="G66" s="135"/>
    </row>
    <row r="67" spans="1:7">
      <c r="A67" s="50" t="s">
        <v>82</v>
      </c>
      <c r="B67" s="49" t="s">
        <v>83</v>
      </c>
      <c r="C67" s="51" t="s">
        <v>66</v>
      </c>
      <c r="D67" s="143" t="s">
        <v>103</v>
      </c>
      <c r="E67" s="146">
        <v>-1186320.76</v>
      </c>
      <c r="F67" s="152">
        <v>0</v>
      </c>
      <c r="G67" s="146">
        <v>-1186320.76</v>
      </c>
    </row>
    <row r="68" spans="1:7">
      <c r="A68" s="52"/>
      <c r="B68" s="49" t="s">
        <v>83</v>
      </c>
      <c r="C68" s="53"/>
      <c r="D68" s="143" t="s">
        <v>104</v>
      </c>
      <c r="E68" s="146">
        <v>-1186320.76</v>
      </c>
      <c r="F68" s="152">
        <v>1186320.76</v>
      </c>
      <c r="G68" s="146">
        <v>0</v>
      </c>
    </row>
    <row r="69" spans="1:7">
      <c r="A69" s="52"/>
      <c r="B69" s="49" t="s">
        <v>83</v>
      </c>
      <c r="C69" s="54"/>
      <c r="D69" s="143" t="s">
        <v>105</v>
      </c>
      <c r="E69" s="146">
        <v>0</v>
      </c>
      <c r="F69" s="152">
        <v>0</v>
      </c>
      <c r="G69" s="146">
        <v>0</v>
      </c>
    </row>
    <row r="70" spans="1:7">
      <c r="A70" s="52"/>
      <c r="B70" s="59"/>
      <c r="C70" s="59" t="s">
        <v>87</v>
      </c>
      <c r="D70" s="97"/>
      <c r="E70" s="135"/>
      <c r="F70" s="158" t="s">
        <v>119</v>
      </c>
      <c r="G70" s="135"/>
    </row>
    <row r="71" spans="1:7">
      <c r="A71" s="52"/>
      <c r="B71" s="49" t="s">
        <v>83</v>
      </c>
      <c r="C71" s="51" t="s">
        <v>67</v>
      </c>
      <c r="D71" s="143" t="s">
        <v>103</v>
      </c>
      <c r="E71" s="146">
        <v>-507924.67</v>
      </c>
      <c r="F71" s="152">
        <v>-14617.12</v>
      </c>
      <c r="G71" s="146">
        <v>-522541.79000000004</v>
      </c>
    </row>
    <row r="72" spans="1:7">
      <c r="A72" s="52"/>
      <c r="B72" s="49" t="s">
        <v>83</v>
      </c>
      <c r="C72" s="53"/>
      <c r="D72" s="143" t="s">
        <v>104</v>
      </c>
      <c r="E72" s="146">
        <v>-522541.79000000004</v>
      </c>
      <c r="F72" s="152">
        <v>522541.79000000004</v>
      </c>
      <c r="G72" s="146">
        <v>0</v>
      </c>
    </row>
    <row r="73" spans="1:7">
      <c r="A73" s="52"/>
      <c r="B73" s="49" t="s">
        <v>83</v>
      </c>
      <c r="C73" s="54"/>
      <c r="D73" s="143" t="s">
        <v>105</v>
      </c>
      <c r="E73" s="146">
        <v>0</v>
      </c>
      <c r="F73" s="152">
        <v>0</v>
      </c>
      <c r="G73" s="146">
        <v>0</v>
      </c>
    </row>
    <row r="74" spans="1:7">
      <c r="A74" s="55"/>
      <c r="B74" s="59"/>
      <c r="C74" s="59" t="s">
        <v>88</v>
      </c>
      <c r="D74" s="97"/>
      <c r="E74" s="135"/>
      <c r="F74" s="158" t="s">
        <v>120</v>
      </c>
      <c r="G74" s="135"/>
    </row>
    <row r="75" spans="1:7">
      <c r="A75" s="59"/>
      <c r="B75" s="59" t="s">
        <v>85</v>
      </c>
      <c r="C75" s="59"/>
      <c r="D75" s="97"/>
      <c r="E75" s="135"/>
      <c r="F75" s="158" t="s">
        <v>121</v>
      </c>
      <c r="G75" s="135"/>
    </row>
    <row r="77" spans="1:7">
      <c r="A77" s="147" t="s">
        <v>102</v>
      </c>
      <c r="B77" s="47"/>
      <c r="C77" s="47"/>
      <c r="D77" s="47"/>
      <c r="E77" s="47"/>
      <c r="F77" s="47"/>
      <c r="G77" s="47"/>
    </row>
    <row r="78" spans="1:7">
      <c r="A78" s="48"/>
      <c r="B78" s="48"/>
      <c r="C78" s="48"/>
      <c r="D78" s="48"/>
      <c r="E78" s="48"/>
      <c r="F78" s="48"/>
      <c r="G78" s="48"/>
    </row>
    <row r="79" spans="1:7">
      <c r="A79" s="46" t="s">
        <v>56</v>
      </c>
      <c r="B79" s="47"/>
      <c r="C79" s="58" t="s">
        <v>95</v>
      </c>
      <c r="D79" s="47"/>
      <c r="E79" s="47"/>
      <c r="F79" s="47"/>
      <c r="G79" s="47"/>
    </row>
    <row r="80" spans="1:7">
      <c r="A80" s="48"/>
      <c r="B80" s="48"/>
      <c r="C80" s="48"/>
      <c r="D80" s="131" t="s">
        <v>122</v>
      </c>
      <c r="E80" s="48"/>
      <c r="F80" s="48"/>
      <c r="G80" s="48"/>
    </row>
    <row r="81" spans="1:7" ht="26.25">
      <c r="A81" s="56" t="s">
        <v>57</v>
      </c>
      <c r="B81" s="57" t="s">
        <v>58</v>
      </c>
      <c r="C81" s="64" t="s">
        <v>59</v>
      </c>
      <c r="D81" s="56" t="s">
        <v>60</v>
      </c>
      <c r="E81" s="56" t="s">
        <v>61</v>
      </c>
      <c r="F81" s="56" t="s">
        <v>62</v>
      </c>
      <c r="G81" s="56" t="s">
        <v>63</v>
      </c>
    </row>
    <row r="82" spans="1:7">
      <c r="A82" s="50" t="s">
        <v>90</v>
      </c>
      <c r="B82" s="49" t="s">
        <v>91</v>
      </c>
      <c r="C82" s="51" t="s">
        <v>66</v>
      </c>
      <c r="D82" s="154" t="s">
        <v>103</v>
      </c>
      <c r="E82" s="139">
        <v>1178015.8700000001</v>
      </c>
      <c r="F82" s="93">
        <v>0</v>
      </c>
      <c r="G82" s="139">
        <v>1178015.8700000001</v>
      </c>
    </row>
    <row r="83" spans="1:7">
      <c r="A83" s="52"/>
      <c r="B83" s="49" t="s">
        <v>91</v>
      </c>
      <c r="C83" s="53"/>
      <c r="D83" s="154" t="s">
        <v>104</v>
      </c>
      <c r="E83" s="139">
        <v>1178015.8700000001</v>
      </c>
      <c r="F83" s="93">
        <v>-1178015.8700000001</v>
      </c>
      <c r="G83" s="139">
        <v>0</v>
      </c>
    </row>
    <row r="84" spans="1:7">
      <c r="A84" s="52"/>
      <c r="B84" s="49" t="s">
        <v>91</v>
      </c>
      <c r="C84" s="54"/>
      <c r="D84" s="154" t="s">
        <v>105</v>
      </c>
      <c r="E84" s="139">
        <v>0</v>
      </c>
      <c r="F84" s="93">
        <v>0</v>
      </c>
      <c r="G84" s="139">
        <v>0</v>
      </c>
    </row>
    <row r="85" spans="1:7">
      <c r="A85" s="52"/>
      <c r="B85" s="59"/>
      <c r="C85" s="59" t="s">
        <v>87</v>
      </c>
      <c r="D85" s="80"/>
      <c r="E85" s="84"/>
      <c r="F85" s="153" t="s">
        <v>123</v>
      </c>
      <c r="G85" s="84"/>
    </row>
    <row r="86" spans="1:7">
      <c r="A86" s="52"/>
      <c r="B86" s="49" t="s">
        <v>91</v>
      </c>
      <c r="C86" s="51" t="s">
        <v>67</v>
      </c>
      <c r="D86" s="154" t="s">
        <v>103</v>
      </c>
      <c r="E86" s="139">
        <v>522304.87</v>
      </c>
      <c r="F86" s="93">
        <v>0</v>
      </c>
      <c r="G86" s="139">
        <v>522304.87</v>
      </c>
    </row>
    <row r="87" spans="1:7">
      <c r="A87" s="52"/>
      <c r="B87" s="49" t="s">
        <v>91</v>
      </c>
      <c r="C87" s="53"/>
      <c r="D87" s="154" t="s">
        <v>104</v>
      </c>
      <c r="E87" s="139">
        <v>522304.87</v>
      </c>
      <c r="F87" s="93">
        <v>-522304.87</v>
      </c>
      <c r="G87" s="139">
        <v>0</v>
      </c>
    </row>
    <row r="88" spans="1:7">
      <c r="A88" s="52"/>
      <c r="B88" s="49" t="s">
        <v>91</v>
      </c>
      <c r="C88" s="54"/>
      <c r="D88" s="154" t="s">
        <v>105</v>
      </c>
      <c r="E88" s="139">
        <v>0</v>
      </c>
      <c r="F88" s="93">
        <v>0</v>
      </c>
      <c r="G88" s="139">
        <v>0</v>
      </c>
    </row>
    <row r="89" spans="1:7">
      <c r="A89" s="55"/>
      <c r="B89" s="59"/>
      <c r="C89" s="59" t="s">
        <v>88</v>
      </c>
      <c r="D89" s="80"/>
      <c r="E89" s="84"/>
      <c r="F89" s="153" t="s">
        <v>124</v>
      </c>
      <c r="G89" s="84"/>
    </row>
    <row r="90" spans="1:7">
      <c r="A90" s="59"/>
      <c r="B90" s="59" t="s">
        <v>137</v>
      </c>
      <c r="C90" s="59"/>
      <c r="D90" s="80"/>
      <c r="E90" s="84"/>
      <c r="F90" s="153" t="s">
        <v>125</v>
      </c>
      <c r="G90" s="84"/>
    </row>
    <row r="91" spans="1:7">
      <c r="A91" s="50" t="s">
        <v>92</v>
      </c>
      <c r="B91" s="49" t="s">
        <v>93</v>
      </c>
      <c r="C91" s="51" t="s">
        <v>66</v>
      </c>
      <c r="D91" s="154" t="s">
        <v>103</v>
      </c>
      <c r="E91" s="139">
        <v>113544.76000000001</v>
      </c>
      <c r="F91" s="93">
        <v>1061394.3799999999</v>
      </c>
      <c r="G91" s="139">
        <v>1174939.1400000001</v>
      </c>
    </row>
    <row r="92" spans="1:7">
      <c r="A92" s="52"/>
      <c r="B92" s="49" t="s">
        <v>93</v>
      </c>
      <c r="C92" s="53"/>
      <c r="D92" s="154" t="s">
        <v>104</v>
      </c>
      <c r="E92" s="139">
        <v>1174939.1400000001</v>
      </c>
      <c r="F92" s="93">
        <v>-1174939.1400000001</v>
      </c>
      <c r="G92" s="139">
        <v>0</v>
      </c>
    </row>
    <row r="93" spans="1:7">
      <c r="A93" s="52"/>
      <c r="B93" s="49" t="s">
        <v>93</v>
      </c>
      <c r="C93" s="54"/>
      <c r="D93" s="154" t="s">
        <v>105</v>
      </c>
      <c r="E93" s="139">
        <v>0</v>
      </c>
      <c r="F93" s="93">
        <v>0</v>
      </c>
      <c r="G93" s="139">
        <v>0</v>
      </c>
    </row>
    <row r="94" spans="1:7">
      <c r="A94" s="52"/>
      <c r="B94" s="59"/>
      <c r="C94" s="59" t="s">
        <v>87</v>
      </c>
      <c r="D94" s="80"/>
      <c r="E94" s="84"/>
      <c r="F94" s="153" t="s">
        <v>126</v>
      </c>
      <c r="G94" s="84"/>
    </row>
    <row r="95" spans="1:7">
      <c r="A95" s="52"/>
      <c r="B95" s="49" t="s">
        <v>93</v>
      </c>
      <c r="C95" s="51" t="s">
        <v>67</v>
      </c>
      <c r="D95" s="154" t="s">
        <v>103</v>
      </c>
      <c r="E95" s="139">
        <v>0</v>
      </c>
      <c r="F95" s="93">
        <v>0</v>
      </c>
      <c r="G95" s="139">
        <v>0</v>
      </c>
    </row>
    <row r="96" spans="1:7">
      <c r="A96" s="52"/>
      <c r="B96" s="49" t="s">
        <v>93</v>
      </c>
      <c r="C96" s="53"/>
      <c r="D96" s="154" t="s">
        <v>104</v>
      </c>
      <c r="E96" s="139">
        <v>0</v>
      </c>
      <c r="F96" s="93">
        <v>0</v>
      </c>
      <c r="G96" s="139">
        <v>0</v>
      </c>
    </row>
    <row r="97" spans="1:8">
      <c r="A97" s="52"/>
      <c r="B97" s="49" t="s">
        <v>93</v>
      </c>
      <c r="C97" s="54"/>
      <c r="D97" s="154" t="s">
        <v>105</v>
      </c>
      <c r="E97" s="139">
        <v>0</v>
      </c>
      <c r="F97" s="93">
        <v>0</v>
      </c>
      <c r="G97" s="139">
        <v>0</v>
      </c>
    </row>
    <row r="98" spans="1:8">
      <c r="A98" s="55"/>
      <c r="B98" s="59"/>
      <c r="C98" s="59" t="s">
        <v>88</v>
      </c>
      <c r="D98" s="80"/>
      <c r="E98" s="84"/>
      <c r="F98" s="153" t="s">
        <v>94</v>
      </c>
      <c r="G98" s="84"/>
    </row>
    <row r="99" spans="1:8">
      <c r="A99" s="59"/>
      <c r="B99" s="59" t="s">
        <v>138</v>
      </c>
      <c r="C99" s="59"/>
      <c r="D99" s="80"/>
      <c r="E99" s="84"/>
      <c r="F99" s="153" t="s">
        <v>126</v>
      </c>
      <c r="G99" s="84"/>
    </row>
    <row r="101" spans="1:8" s="163" customFormat="1" ht="15.75">
      <c r="A101" s="207" t="s">
        <v>154</v>
      </c>
      <c r="B101" s="207"/>
      <c r="C101" s="207"/>
      <c r="D101" s="207"/>
      <c r="E101" s="207"/>
      <c r="F101" s="207"/>
      <c r="G101" s="207"/>
      <c r="H101" s="207"/>
    </row>
    <row r="102" spans="1:8" s="163" customFormat="1" ht="15.75">
      <c r="A102" s="71"/>
      <c r="B102" s="71"/>
      <c r="C102" s="71"/>
      <c r="D102" s="71"/>
      <c r="E102" s="71"/>
      <c r="F102" s="71"/>
      <c r="G102" s="71"/>
      <c r="H102" s="71"/>
    </row>
    <row r="103" spans="1:8">
      <c r="A103" s="85" t="s">
        <v>102</v>
      </c>
      <c r="B103" s="85"/>
      <c r="C103" s="85"/>
      <c r="D103" s="85"/>
      <c r="E103" s="85"/>
      <c r="F103" s="85"/>
      <c r="G103" s="85"/>
    </row>
    <row r="104" spans="1:8">
      <c r="A104" s="170"/>
      <c r="B104" s="170"/>
      <c r="C104" s="170"/>
      <c r="D104" s="170"/>
      <c r="E104" s="170"/>
      <c r="F104" s="170"/>
      <c r="G104" s="170"/>
    </row>
    <row r="105" spans="1:8">
      <c r="A105" s="73" t="s">
        <v>56</v>
      </c>
      <c r="B105" s="85"/>
      <c r="C105" s="58" t="s">
        <v>74</v>
      </c>
      <c r="D105" s="85"/>
      <c r="E105" s="85"/>
      <c r="F105" s="85"/>
      <c r="G105" s="85"/>
    </row>
    <row r="106" spans="1:8">
      <c r="A106" s="170"/>
      <c r="B106" s="170"/>
      <c r="C106" s="170"/>
      <c r="D106" s="131" t="s">
        <v>143</v>
      </c>
      <c r="E106" s="170"/>
      <c r="F106" s="170"/>
      <c r="G106" s="170"/>
    </row>
    <row r="107" spans="1:8" ht="25.5">
      <c r="A107" s="142" t="s">
        <v>57</v>
      </c>
      <c r="B107" s="133" t="s">
        <v>58</v>
      </c>
      <c r="C107" s="73" t="s">
        <v>59</v>
      </c>
      <c r="D107" s="137" t="s">
        <v>60</v>
      </c>
      <c r="E107" s="144" t="s">
        <v>61</v>
      </c>
      <c r="F107" s="137" t="s">
        <v>62</v>
      </c>
      <c r="G107" s="137" t="s">
        <v>63</v>
      </c>
    </row>
    <row r="108" spans="1:8">
      <c r="A108" s="96" t="s">
        <v>127</v>
      </c>
      <c r="B108" s="133" t="s">
        <v>128</v>
      </c>
      <c r="C108" s="126" t="s">
        <v>66</v>
      </c>
      <c r="D108" s="130" t="s">
        <v>104</v>
      </c>
      <c r="E108" s="157">
        <v>0</v>
      </c>
      <c r="F108" s="88">
        <v>-4398190.7</v>
      </c>
      <c r="G108" s="157">
        <v>-4398190.7</v>
      </c>
    </row>
    <row r="109" spans="1:8">
      <c r="A109" s="141"/>
      <c r="B109" s="133" t="s">
        <v>128</v>
      </c>
      <c r="C109" s="149"/>
      <c r="D109" s="130" t="s">
        <v>105</v>
      </c>
      <c r="E109" s="157">
        <v>-4398190.7</v>
      </c>
      <c r="F109" s="88">
        <v>339797.47000000003</v>
      </c>
      <c r="G109" s="157">
        <v>-4058393.23</v>
      </c>
    </row>
    <row r="110" spans="1:8">
      <c r="A110" s="155"/>
      <c r="B110" s="59" t="s">
        <v>139</v>
      </c>
      <c r="C110" s="156"/>
      <c r="D110" s="156"/>
      <c r="E110" s="94"/>
      <c r="F110" s="81" t="s">
        <v>129</v>
      </c>
      <c r="G110" s="94"/>
    </row>
    <row r="111" spans="1:8">
      <c r="A111" s="96" t="s">
        <v>130</v>
      </c>
      <c r="B111" s="133" t="s">
        <v>131</v>
      </c>
      <c r="C111" s="126" t="s">
        <v>66</v>
      </c>
      <c r="D111" s="130" t="s">
        <v>104</v>
      </c>
      <c r="E111" s="157">
        <v>0</v>
      </c>
      <c r="F111" s="88">
        <v>354845.9</v>
      </c>
      <c r="G111" s="157">
        <v>354845.9</v>
      </c>
    </row>
    <row r="112" spans="1:8">
      <c r="A112" s="141"/>
      <c r="B112" s="133" t="s">
        <v>131</v>
      </c>
      <c r="C112" s="149"/>
      <c r="D112" s="130" t="s">
        <v>105</v>
      </c>
      <c r="E112" s="157">
        <v>354845.9</v>
      </c>
      <c r="F112" s="88">
        <v>1871344.44</v>
      </c>
      <c r="G112" s="157">
        <v>2226190.34</v>
      </c>
    </row>
    <row r="113" spans="1:7">
      <c r="A113" s="155"/>
      <c r="B113" s="59" t="s">
        <v>140</v>
      </c>
      <c r="C113" s="156"/>
      <c r="D113" s="156"/>
      <c r="E113" s="94"/>
      <c r="F113" s="81" t="s">
        <v>132</v>
      </c>
      <c r="G113" s="94"/>
    </row>
    <row r="114" spans="1:7">
      <c r="A114" s="96" t="s">
        <v>133</v>
      </c>
      <c r="B114" s="133" t="s">
        <v>128</v>
      </c>
      <c r="C114" s="126" t="s">
        <v>67</v>
      </c>
      <c r="D114" s="130" t="s">
        <v>104</v>
      </c>
      <c r="E114" s="157">
        <v>0</v>
      </c>
      <c r="F114" s="88">
        <v>-3698341.81</v>
      </c>
      <c r="G114" s="157">
        <v>-3698341.81</v>
      </c>
    </row>
    <row r="115" spans="1:7">
      <c r="A115" s="141"/>
      <c r="B115" s="133" t="s">
        <v>128</v>
      </c>
      <c r="C115" s="149"/>
      <c r="D115" s="130" t="s">
        <v>105</v>
      </c>
      <c r="E115" s="157">
        <v>-3698341.81</v>
      </c>
      <c r="F115" s="88">
        <v>-546273.67000000004</v>
      </c>
      <c r="G115" s="157">
        <v>-4244615.4800000004</v>
      </c>
    </row>
    <row r="116" spans="1:7">
      <c r="A116" s="155"/>
      <c r="B116" s="59" t="s">
        <v>141</v>
      </c>
      <c r="C116" s="156"/>
      <c r="D116" s="156"/>
      <c r="E116" s="94"/>
      <c r="F116" s="81" t="s">
        <v>134</v>
      </c>
      <c r="G116" s="94"/>
    </row>
    <row r="117" spans="1:7">
      <c r="A117" s="96" t="s">
        <v>135</v>
      </c>
      <c r="B117" s="133" t="s">
        <v>131</v>
      </c>
      <c r="C117" s="126" t="s">
        <v>67</v>
      </c>
      <c r="D117" s="130" t="s">
        <v>104</v>
      </c>
      <c r="E117" s="157">
        <v>0</v>
      </c>
      <c r="F117" s="88">
        <v>-604616.97</v>
      </c>
      <c r="G117" s="157">
        <v>-604616.97</v>
      </c>
    </row>
    <row r="118" spans="1:7">
      <c r="A118" s="141"/>
      <c r="B118" s="133" t="s">
        <v>131</v>
      </c>
      <c r="C118" s="149"/>
      <c r="D118" s="130" t="s">
        <v>105</v>
      </c>
      <c r="E118" s="157">
        <v>-604616.97</v>
      </c>
      <c r="F118" s="88">
        <v>-55160.73</v>
      </c>
      <c r="G118" s="157">
        <v>-659777.70000000007</v>
      </c>
    </row>
    <row r="119" spans="1:7">
      <c r="A119" s="155"/>
      <c r="B119" s="59" t="s">
        <v>142</v>
      </c>
      <c r="C119" s="156"/>
      <c r="D119" s="156"/>
      <c r="E119" s="94"/>
      <c r="F119" s="81" t="s">
        <v>136</v>
      </c>
      <c r="G119" s="94"/>
    </row>
    <row r="121" spans="1:7">
      <c r="A121" s="163" t="s">
        <v>102</v>
      </c>
      <c r="B121" s="163"/>
      <c r="C121" s="163"/>
      <c r="D121" s="163"/>
      <c r="E121" s="163"/>
      <c r="F121" s="163"/>
      <c r="G121" s="163"/>
    </row>
    <row r="122" spans="1:7">
      <c r="A122" s="163"/>
      <c r="B122" s="163"/>
      <c r="C122" s="163"/>
      <c r="D122" s="163"/>
      <c r="E122" s="163"/>
      <c r="F122" s="163"/>
      <c r="G122" s="163"/>
    </row>
    <row r="123" spans="1:7">
      <c r="A123" s="176" t="s">
        <v>56</v>
      </c>
      <c r="B123" s="170"/>
      <c r="C123" s="193" t="s">
        <v>153</v>
      </c>
      <c r="D123" s="170"/>
      <c r="E123" s="170"/>
      <c r="F123" s="170"/>
      <c r="G123" s="170"/>
    </row>
    <row r="124" spans="1:7">
      <c r="A124" s="170"/>
      <c r="B124" s="170"/>
      <c r="C124" s="170"/>
      <c r="D124" s="170"/>
      <c r="E124" s="170"/>
      <c r="F124" s="170"/>
      <c r="G124" s="170"/>
    </row>
    <row r="125" spans="1:7" ht="25.5">
      <c r="A125" s="177" t="s">
        <v>57</v>
      </c>
      <c r="B125" s="178" t="s">
        <v>58</v>
      </c>
      <c r="C125" s="176" t="s">
        <v>59</v>
      </c>
      <c r="D125" s="179" t="s">
        <v>60</v>
      </c>
      <c r="E125" s="180" t="s">
        <v>61</v>
      </c>
      <c r="F125" s="179" t="s">
        <v>62</v>
      </c>
      <c r="G125" s="179" t="s">
        <v>63</v>
      </c>
    </row>
    <row r="126" spans="1:7">
      <c r="A126" s="181" t="s">
        <v>144</v>
      </c>
      <c r="B126" s="178" t="s">
        <v>145</v>
      </c>
      <c r="C126" s="182" t="s">
        <v>66</v>
      </c>
      <c r="D126" s="183" t="s">
        <v>103</v>
      </c>
      <c r="E126" s="184">
        <v>-13183.300000000001</v>
      </c>
      <c r="F126" s="185">
        <v>-9427.9600000000009</v>
      </c>
      <c r="G126" s="184">
        <v>-22611.260000000002</v>
      </c>
    </row>
    <row r="127" spans="1:7">
      <c r="A127" s="186"/>
      <c r="B127" s="178" t="s">
        <v>145</v>
      </c>
      <c r="C127" s="187"/>
      <c r="D127" s="183" t="s">
        <v>104</v>
      </c>
      <c r="E127" s="184">
        <v>-22611.260000000002</v>
      </c>
      <c r="F127" s="185">
        <v>-10130.85</v>
      </c>
      <c r="G127" s="184">
        <v>-32742.11</v>
      </c>
    </row>
    <row r="128" spans="1:7">
      <c r="A128" s="186"/>
      <c r="B128" s="178" t="s">
        <v>145</v>
      </c>
      <c r="C128" s="188"/>
      <c r="D128" s="183" t="s">
        <v>105</v>
      </c>
      <c r="E128" s="184">
        <v>-32742.11</v>
      </c>
      <c r="F128" s="185">
        <v>-11511.32</v>
      </c>
      <c r="G128" s="184">
        <v>-44253.43</v>
      </c>
    </row>
    <row r="129" spans="1:7">
      <c r="A129" s="186"/>
      <c r="B129" s="189"/>
      <c r="C129" s="189"/>
      <c r="D129" s="189"/>
      <c r="E129" s="190"/>
      <c r="F129" s="191" t="s">
        <v>146</v>
      </c>
      <c r="G129" s="190"/>
    </row>
    <row r="130" spans="1:7">
      <c r="A130" s="186"/>
      <c r="B130" s="178" t="s">
        <v>145</v>
      </c>
      <c r="C130" s="182" t="s">
        <v>67</v>
      </c>
      <c r="D130" s="183" t="s">
        <v>103</v>
      </c>
      <c r="E130" s="184">
        <v>-7576.41</v>
      </c>
      <c r="F130" s="185">
        <v>-8265.91</v>
      </c>
      <c r="G130" s="184">
        <v>-15842.32</v>
      </c>
    </row>
    <row r="131" spans="1:7">
      <c r="A131" s="186"/>
      <c r="B131" s="178" t="s">
        <v>145</v>
      </c>
      <c r="C131" s="187"/>
      <c r="D131" s="183" t="s">
        <v>104</v>
      </c>
      <c r="E131" s="184">
        <v>-15842.32</v>
      </c>
      <c r="F131" s="185">
        <v>-10494.81</v>
      </c>
      <c r="G131" s="184">
        <v>-26337.13</v>
      </c>
    </row>
    <row r="132" spans="1:7">
      <c r="A132" s="186"/>
      <c r="B132" s="178" t="s">
        <v>145</v>
      </c>
      <c r="C132" s="188"/>
      <c r="D132" s="183" t="s">
        <v>105</v>
      </c>
      <c r="E132" s="184">
        <v>-26337.13</v>
      </c>
      <c r="F132" s="185">
        <v>-12552.49</v>
      </c>
      <c r="G132" s="184">
        <v>-38889.620000000003</v>
      </c>
    </row>
    <row r="133" spans="1:7">
      <c r="A133" s="192"/>
      <c r="B133" s="189"/>
      <c r="C133" s="189"/>
      <c r="D133" s="189"/>
      <c r="E133" s="190"/>
      <c r="F133" s="191" t="s">
        <v>147</v>
      </c>
      <c r="G133" s="190"/>
    </row>
    <row r="134" spans="1:7">
      <c r="A134" s="189"/>
      <c r="B134" s="189"/>
      <c r="C134" s="189"/>
      <c r="D134" s="189"/>
      <c r="E134" s="190"/>
      <c r="F134" s="191" t="s">
        <v>148</v>
      </c>
      <c r="G134" s="190"/>
    </row>
    <row r="135" spans="1:7">
      <c r="A135" s="181" t="s">
        <v>149</v>
      </c>
      <c r="B135" s="178" t="s">
        <v>150</v>
      </c>
      <c r="C135" s="182" t="s">
        <v>66</v>
      </c>
      <c r="D135" s="183" t="s">
        <v>103</v>
      </c>
      <c r="E135" s="184">
        <v>1595.23</v>
      </c>
      <c r="F135" s="185">
        <v>0</v>
      </c>
      <c r="G135" s="184">
        <v>1595.23</v>
      </c>
    </row>
    <row r="136" spans="1:7">
      <c r="A136" s="186"/>
      <c r="B136" s="178" t="s">
        <v>150</v>
      </c>
      <c r="C136" s="187"/>
      <c r="D136" s="183" t="s">
        <v>104</v>
      </c>
      <c r="E136" s="184">
        <v>1595.23</v>
      </c>
      <c r="F136" s="185">
        <v>440.45</v>
      </c>
      <c r="G136" s="184">
        <v>2035.68</v>
      </c>
    </row>
    <row r="137" spans="1:7">
      <c r="A137" s="186"/>
      <c r="B137" s="178" t="s">
        <v>150</v>
      </c>
      <c r="C137" s="188"/>
      <c r="D137" s="183" t="s">
        <v>105</v>
      </c>
      <c r="E137" s="184">
        <v>2035.68</v>
      </c>
      <c r="F137" s="185">
        <v>3471.6800000000003</v>
      </c>
      <c r="G137" s="184">
        <v>5507.36</v>
      </c>
    </row>
    <row r="138" spans="1:7">
      <c r="A138" s="186"/>
      <c r="B138" s="189"/>
      <c r="C138" s="189"/>
      <c r="D138" s="189"/>
      <c r="E138" s="190"/>
      <c r="F138" s="191" t="s">
        <v>151</v>
      </c>
      <c r="G138" s="190"/>
    </row>
    <row r="139" spans="1:7">
      <c r="A139" s="186"/>
      <c r="B139" s="178" t="s">
        <v>150</v>
      </c>
      <c r="C139" s="182" t="s">
        <v>67</v>
      </c>
      <c r="D139" s="183" t="s">
        <v>103</v>
      </c>
      <c r="E139" s="184">
        <v>707.29</v>
      </c>
      <c r="F139" s="185">
        <v>0</v>
      </c>
      <c r="G139" s="184">
        <v>707.29</v>
      </c>
    </row>
    <row r="140" spans="1:7">
      <c r="A140" s="186"/>
      <c r="B140" s="178" t="s">
        <v>150</v>
      </c>
      <c r="C140" s="187"/>
      <c r="D140" s="183" t="s">
        <v>104</v>
      </c>
      <c r="E140" s="184">
        <v>707.29</v>
      </c>
      <c r="F140" s="185">
        <v>0</v>
      </c>
      <c r="G140" s="184">
        <v>707.29</v>
      </c>
    </row>
    <row r="141" spans="1:7">
      <c r="A141" s="186"/>
      <c r="B141" s="178" t="s">
        <v>150</v>
      </c>
      <c r="C141" s="188"/>
      <c r="D141" s="183" t="s">
        <v>105</v>
      </c>
      <c r="E141" s="184">
        <v>707.29</v>
      </c>
      <c r="F141" s="185">
        <v>0</v>
      </c>
      <c r="G141" s="184">
        <v>707.29</v>
      </c>
    </row>
    <row r="142" spans="1:7">
      <c r="A142" s="192"/>
      <c r="B142" s="189"/>
      <c r="C142" s="189"/>
      <c r="D142" s="189"/>
      <c r="E142" s="190"/>
      <c r="F142" s="191" t="s">
        <v>94</v>
      </c>
      <c r="G142" s="190"/>
    </row>
    <row r="143" spans="1:7">
      <c r="A143" s="189"/>
      <c r="B143" s="189"/>
      <c r="C143" s="189"/>
      <c r="D143" s="189"/>
      <c r="E143" s="190"/>
      <c r="F143" s="191" t="s">
        <v>151</v>
      </c>
      <c r="G143" s="190"/>
    </row>
    <row r="144" spans="1:7">
      <c r="A144" s="189"/>
      <c r="B144" s="189"/>
      <c r="C144" s="189"/>
      <c r="D144" s="189"/>
      <c r="E144" s="190"/>
      <c r="F144" s="191" t="s">
        <v>152</v>
      </c>
      <c r="G144" s="190"/>
    </row>
  </sheetData>
  <mergeCells count="3">
    <mergeCell ref="A51:H51"/>
    <mergeCell ref="A1:H1"/>
    <mergeCell ref="A101:H101"/>
  </mergeCells>
  <printOptions horizontalCentered="1"/>
  <pageMargins left="0.7" right="0.7" top="1.1399999999999999" bottom="0.75" header="0.5" footer="0.5"/>
  <pageSetup scale="85" orientation="portrait" r:id="rId1"/>
  <headerFooter>
    <oddHeader>&amp;CAvista Corporation Decoupling Mechanism
Washington Jurisdiction
Quarterly Report for 2nd Quarter 2015</oddHeader>
    <oddFooter>&amp;Cfile: &amp;F / &amp;A&amp;RPage &amp;P of &amp;N</oddFooter>
  </headerFooter>
  <rowBreaks count="1" manualBreakCount="1">
    <brk id="10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8" zoomScaleNormal="100" workbookViewId="0">
      <selection activeCell="T49" sqref="T49"/>
    </sheetView>
  </sheetViews>
  <sheetFormatPr defaultRowHeight="15"/>
  <cols>
    <col min="1" max="1" width="4" customWidth="1"/>
    <col min="2" max="2" width="20.7109375" customWidth="1"/>
    <col min="4" max="4" width="7.5703125" customWidth="1"/>
    <col min="5" max="5" width="10.28515625" customWidth="1"/>
    <col min="6" max="6" width="10.7109375" customWidth="1"/>
    <col min="7" max="7" width="10.140625" customWidth="1"/>
    <col min="8" max="8" width="8" customWidth="1"/>
    <col min="9" max="9" width="3.85546875" customWidth="1"/>
    <col min="10" max="10" width="5.7109375" customWidth="1"/>
  </cols>
  <sheetData>
    <row r="1" spans="1:10">
      <c r="A1" t="s">
        <v>97</v>
      </c>
    </row>
    <row r="3" spans="1:10">
      <c r="A3" s="208" t="s">
        <v>155</v>
      </c>
      <c r="B3" s="208"/>
      <c r="C3" s="208"/>
      <c r="D3" s="208"/>
      <c r="E3" s="208"/>
      <c r="F3" s="208"/>
      <c r="G3" s="208"/>
      <c r="H3" s="208"/>
      <c r="I3" s="208"/>
      <c r="J3" s="208"/>
    </row>
    <row r="4" spans="1:10">
      <c r="A4" s="208"/>
      <c r="B4" s="208"/>
      <c r="C4" s="208"/>
      <c r="D4" s="208"/>
      <c r="E4" s="208"/>
      <c r="F4" s="208"/>
      <c r="G4" s="208"/>
      <c r="H4" s="208"/>
      <c r="I4" s="208"/>
      <c r="J4" s="208"/>
    </row>
    <row r="5" spans="1:10" ht="74.45" customHeight="1">
      <c r="A5" s="208"/>
      <c r="B5" s="208"/>
      <c r="C5" s="208"/>
      <c r="D5" s="208"/>
      <c r="E5" s="208"/>
      <c r="F5" s="208"/>
      <c r="G5" s="208"/>
      <c r="H5" s="208"/>
      <c r="I5" s="208"/>
      <c r="J5" s="208"/>
    </row>
    <row r="6" spans="1:10" s="163" customFormat="1" ht="14.45" customHeight="1">
      <c r="A6" s="197"/>
      <c r="B6" s="197"/>
      <c r="C6" s="197"/>
      <c r="D6" s="197"/>
      <c r="E6" s="197"/>
      <c r="F6" s="197"/>
      <c r="G6" s="197"/>
      <c r="H6" s="197"/>
      <c r="I6" s="197"/>
      <c r="J6" s="197"/>
    </row>
    <row r="7" spans="1:10" s="163" customFormat="1" ht="43.9" customHeight="1">
      <c r="A7" s="208" t="s">
        <v>169</v>
      </c>
      <c r="B7" s="208"/>
      <c r="C7" s="208"/>
      <c r="D7" s="208"/>
      <c r="E7" s="208"/>
      <c r="F7" s="208"/>
      <c r="G7" s="208"/>
      <c r="H7" s="208"/>
      <c r="I7" s="208"/>
      <c r="J7" s="208"/>
    </row>
    <row r="8" spans="1:10" ht="14.45" customHeight="1"/>
    <row r="9" spans="1:10" ht="14.45" customHeight="1">
      <c r="A9" s="209" t="s">
        <v>165</v>
      </c>
      <c r="B9" s="209"/>
      <c r="C9" s="209"/>
      <c r="D9" s="209"/>
      <c r="E9" s="209"/>
      <c r="F9" s="209"/>
      <c r="G9" s="209"/>
      <c r="H9" s="209"/>
      <c r="I9" s="209"/>
      <c r="J9" s="209"/>
    </row>
    <row r="10" spans="1:10" s="163" customFormat="1" ht="13.9" customHeight="1">
      <c r="A10" s="209" t="s">
        <v>166</v>
      </c>
      <c r="B10" s="209"/>
      <c r="C10" s="209"/>
      <c r="D10" s="209"/>
      <c r="E10" s="209"/>
      <c r="F10" s="209"/>
      <c r="G10" s="209"/>
      <c r="H10" s="209"/>
      <c r="I10" s="209"/>
      <c r="J10" s="209"/>
    </row>
    <row r="11" spans="1:10" ht="14.45" customHeight="1">
      <c r="A11" s="194"/>
      <c r="B11" s="194"/>
      <c r="C11" s="194"/>
      <c r="E11" s="199" t="s">
        <v>158</v>
      </c>
      <c r="F11" s="199" t="s">
        <v>159</v>
      </c>
      <c r="G11" s="199" t="s">
        <v>160</v>
      </c>
      <c r="H11" s="199" t="s">
        <v>161</v>
      </c>
      <c r="I11" s="194"/>
      <c r="J11" s="194"/>
    </row>
    <row r="12" spans="1:10" ht="14.45" customHeight="1">
      <c r="A12" s="198" t="s">
        <v>156</v>
      </c>
      <c r="B12" s="70"/>
      <c r="C12" s="70"/>
      <c r="E12" s="70"/>
      <c r="F12" s="70"/>
      <c r="G12" s="70"/>
      <c r="H12" s="70"/>
      <c r="I12" s="70"/>
      <c r="J12" s="70"/>
    </row>
    <row r="13" spans="1:10" ht="14.45" customHeight="1">
      <c r="A13" s="195"/>
      <c r="B13" s="195" t="s">
        <v>157</v>
      </c>
      <c r="C13" s="195"/>
      <c r="E13" s="201">
        <v>-300</v>
      </c>
      <c r="F13" s="201">
        <v>-16</v>
      </c>
      <c r="G13" s="201">
        <v>-316</v>
      </c>
      <c r="H13" s="202">
        <v>-5.3999999999999999E-2</v>
      </c>
      <c r="I13" s="195"/>
      <c r="J13" s="195"/>
    </row>
    <row r="14" spans="1:10" ht="14.45" customHeight="1">
      <c r="A14" s="195"/>
      <c r="B14" s="195" t="s">
        <v>167</v>
      </c>
      <c r="C14" s="195"/>
      <c r="E14" s="200">
        <v>-14.15</v>
      </c>
      <c r="F14" s="200">
        <v>-6.41</v>
      </c>
      <c r="G14" s="200">
        <v>-20.57</v>
      </c>
      <c r="H14" s="202">
        <v>-5.8000000000000003E-2</v>
      </c>
      <c r="I14" s="195"/>
      <c r="J14" s="195"/>
    </row>
    <row r="15" spans="1:10">
      <c r="B15" s="163" t="s">
        <v>168</v>
      </c>
      <c r="E15" s="200">
        <v>14.15</v>
      </c>
      <c r="F15" s="200">
        <v>6.41</v>
      </c>
      <c r="G15" s="200">
        <v>20.57</v>
      </c>
    </row>
    <row r="16" spans="1:10" s="163" customFormat="1" ht="6" customHeight="1">
      <c r="E16" s="200"/>
      <c r="F16" s="200"/>
      <c r="G16" s="200"/>
    </row>
    <row r="17" spans="1:10">
      <c r="A17" s="198" t="s">
        <v>162</v>
      </c>
      <c r="B17" s="70"/>
      <c r="C17" s="70"/>
      <c r="E17" s="70"/>
      <c r="F17" s="70"/>
      <c r="G17" s="70"/>
      <c r="H17" s="70"/>
      <c r="I17" s="196"/>
      <c r="J17" s="196"/>
    </row>
    <row r="18" spans="1:10">
      <c r="A18" s="195"/>
      <c r="B18" s="195" t="s">
        <v>157</v>
      </c>
      <c r="C18" s="195"/>
      <c r="E18" s="201">
        <v>-639</v>
      </c>
      <c r="F18" s="201">
        <v>1474</v>
      </c>
      <c r="G18" s="201">
        <v>835</v>
      </c>
      <c r="H18" s="202">
        <v>2.9000000000000001E-2</v>
      </c>
      <c r="I18" s="196"/>
      <c r="J18" s="196"/>
    </row>
    <row r="19" spans="1:10" ht="14.45" customHeight="1">
      <c r="A19" s="195"/>
      <c r="B19" s="195" t="s">
        <v>167</v>
      </c>
      <c r="C19" s="195"/>
      <c r="E19" s="200">
        <v>-31.87</v>
      </c>
      <c r="F19" s="200">
        <v>98.06</v>
      </c>
      <c r="G19" s="200">
        <v>66.16</v>
      </c>
      <c r="H19" s="202">
        <v>3.3000000000000002E-2</v>
      </c>
      <c r="I19" s="196"/>
      <c r="J19" s="196"/>
    </row>
    <row r="20" spans="1:10">
      <c r="B20" s="163" t="s">
        <v>168</v>
      </c>
      <c r="E20" s="200">
        <v>31.87</v>
      </c>
      <c r="F20" s="200">
        <v>-98.06</v>
      </c>
      <c r="G20" s="200">
        <v>-66.16</v>
      </c>
    </row>
    <row r="21" spans="1:10" s="163" customFormat="1" ht="9" customHeight="1"/>
    <row r="22" spans="1:10" ht="14.45" customHeight="1">
      <c r="A22" s="198" t="s">
        <v>163</v>
      </c>
      <c r="B22" s="70"/>
      <c r="C22" s="70"/>
      <c r="E22" s="70"/>
      <c r="F22" s="70"/>
      <c r="G22" s="70"/>
      <c r="H22" s="70"/>
    </row>
    <row r="23" spans="1:10" ht="14.45" customHeight="1">
      <c r="A23" s="195"/>
      <c r="B23" s="195" t="s">
        <v>157</v>
      </c>
      <c r="C23" s="195"/>
      <c r="E23" s="201">
        <v>-50</v>
      </c>
      <c r="F23" s="201">
        <v>-32</v>
      </c>
      <c r="G23" s="201">
        <v>-81</v>
      </c>
      <c r="H23" s="202">
        <v>-0.17799999999999999</v>
      </c>
    </row>
    <row r="24" spans="1:10">
      <c r="A24" s="195"/>
      <c r="B24" s="195" t="s">
        <v>167</v>
      </c>
      <c r="C24" s="195"/>
      <c r="E24" s="200">
        <v>-15.04</v>
      </c>
      <c r="F24" s="200">
        <v>-14.46</v>
      </c>
      <c r="G24" s="200">
        <v>-29.5</v>
      </c>
      <c r="H24" s="202">
        <v>-0.17899999999999999</v>
      </c>
    </row>
    <row r="25" spans="1:10" s="163" customFormat="1">
      <c r="A25" s="195"/>
      <c r="B25" s="163" t="s">
        <v>168</v>
      </c>
      <c r="C25" s="195"/>
      <c r="E25" s="200">
        <v>15.04</v>
      </c>
      <c r="F25" s="200">
        <v>14.46</v>
      </c>
      <c r="G25" s="200">
        <v>29.5</v>
      </c>
      <c r="H25" s="202"/>
    </row>
    <row r="26" spans="1:10" ht="9" customHeight="1">
      <c r="A26" s="163"/>
      <c r="B26" s="163"/>
      <c r="C26" s="163"/>
      <c r="E26" s="163"/>
      <c r="F26" s="163"/>
      <c r="G26" s="163"/>
      <c r="H26" s="163"/>
    </row>
    <row r="27" spans="1:10">
      <c r="A27" s="198" t="s">
        <v>164</v>
      </c>
      <c r="B27" s="70"/>
      <c r="C27" s="70"/>
      <c r="E27" s="70"/>
      <c r="F27" s="70"/>
      <c r="G27" s="70"/>
      <c r="H27" s="70"/>
    </row>
    <row r="28" spans="1:10">
      <c r="A28" s="195"/>
      <c r="B28" s="195" t="s">
        <v>157</v>
      </c>
      <c r="C28" s="195"/>
      <c r="E28" s="201">
        <v>-991</v>
      </c>
      <c r="F28" s="201">
        <v>-202</v>
      </c>
      <c r="G28" s="201">
        <v>-1193</v>
      </c>
      <c r="H28" s="202">
        <v>-0.111</v>
      </c>
    </row>
    <row r="29" spans="1:10">
      <c r="A29" s="195"/>
      <c r="B29" s="195" t="s">
        <v>167</v>
      </c>
      <c r="C29" s="195"/>
      <c r="E29" s="200">
        <v>-200.81</v>
      </c>
      <c r="F29" s="200">
        <v>-60.06</v>
      </c>
      <c r="G29" s="200">
        <v>-260.89999999999998</v>
      </c>
      <c r="H29" s="202">
        <v>-0.109</v>
      </c>
    </row>
    <row r="30" spans="1:10">
      <c r="B30" s="163" t="s">
        <v>168</v>
      </c>
      <c r="E30" s="200">
        <v>200.81</v>
      </c>
      <c r="F30" s="200">
        <v>60.06</v>
      </c>
      <c r="G30" s="200">
        <v>260.89999999999998</v>
      </c>
    </row>
  </sheetData>
  <mergeCells count="4">
    <mergeCell ref="A3:J5"/>
    <mergeCell ref="A9:J9"/>
    <mergeCell ref="A10:J10"/>
    <mergeCell ref="A7:J7"/>
  </mergeCells>
  <pageMargins left="0.7" right="0.7" top="1.43" bottom="0.75" header="0.75" footer="0.73"/>
  <pageSetup orientation="portrait" r:id="rId1"/>
  <headerFooter>
    <oddHeader>&amp;CAvista Corporation Decoupling Mechanism
Washington Jurisdiction
Quarterly Report for 2nd Quarter 2015</oddHeader>
    <oddFooter>&amp;Cfile: &amp;F /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2015-08-14T07:00:00+00:00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140188</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61B534-75A6-4775-B549-FD802DFD9C36}"/>
</file>

<file path=customXml/itemProps2.xml><?xml version="1.0" encoding="utf-8"?>
<ds:datastoreItem xmlns:ds="http://schemas.openxmlformats.org/officeDocument/2006/customXml" ds:itemID="{DA6B1BC9-2762-4D4D-A009-B750F22AF41B}"/>
</file>

<file path=customXml/itemProps3.xml><?xml version="1.0" encoding="utf-8"?>
<ds:datastoreItem xmlns:ds="http://schemas.openxmlformats.org/officeDocument/2006/customXml" ds:itemID="{35BA54EB-D693-4317-8BDE-FD8F63342B89}"/>
</file>

<file path=customXml/itemProps4.xml><?xml version="1.0" encoding="utf-8"?>
<ds:datastoreItem xmlns:ds="http://schemas.openxmlformats.org/officeDocument/2006/customXml" ds:itemID="{1DA64789-3F72-4143-AACD-1E6E5CF1C8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2015-08-14T20:42:22Z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ies>
</file>